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17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6.xml" ContentType="application/vnd.openxmlformats-officedocument.spreadsheetml.worksheet+xml"/>
  <Override PartName="/xl/styles.xml" ContentType="application/vnd.openxmlformats-officedocument.spreadsheetml.styles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5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kumenty\VO CBTČ\CBTČ Veľká kotolňa\Realizácia diela\"/>
    </mc:Choice>
  </mc:AlternateContent>
  <bookViews>
    <workbookView xWindow="28680" yWindow="-120" windowWidth="29040" windowHeight="15720"/>
  </bookViews>
  <sheets>
    <sheet name="Rekapitulácia stavby" sheetId="1" r:id="rId1"/>
    <sheet name="E1.1,2 - Architektúra +  ..." sheetId="2" r:id="rId2"/>
    <sheet name="Legenda miestností_NP" sheetId="17" r:id="rId3"/>
    <sheet name="E1.3 - Zdravotechnika" sheetId="3" r:id="rId4"/>
    <sheet name="E1.5 - Plynoinštalácia" sheetId="4" r:id="rId5"/>
    <sheet name="E1.6-1 - ELI + MaR - DT01" sheetId="5" r:id="rId6"/>
    <sheet name="E1.6-3 - ELI + MaR - DT03" sheetId="6" r:id="rId7"/>
    <sheet name="E1.6-2A - ELI  MaR - DT02A" sheetId="7" r:id="rId8"/>
    <sheet name="E1.6-2B - ELI + MaR - DT02B" sheetId="8" r:id="rId9"/>
    <sheet name="E1.6-4 - ELI + MaR - PRIS4.1" sheetId="9" r:id="rId10"/>
    <sheet name="E1.4 - Technologia kotoln..." sheetId="10" r:id="rId11"/>
    <sheet name="E2.1 - SO 02.1  Búracie p..." sheetId="11" r:id="rId12"/>
    <sheet name="E2.1-A - Teplovod pre obj..." sheetId="12" r:id="rId13"/>
    <sheet name="E2.1-B - Teplovod pre obj..." sheetId="13" r:id="rId14"/>
    <sheet name="E2.1.-C - Teplovod pre ob..." sheetId="14" r:id="rId15"/>
    <sheet name="E2.1-Cz - Teplovod pre ob..." sheetId="15" r:id="rId16"/>
    <sheet name="E2.1-D - Teplovod pre obj..." sheetId="16" r:id="rId17"/>
  </sheets>
  <definedNames>
    <definedName name="_xlnm._FilterDatabase" localSheetId="1" hidden="1">'E1.1,2 - Architektúra +  ...'!$C$145:$K$907</definedName>
    <definedName name="_xlnm._FilterDatabase" localSheetId="3" hidden="1">'E1.3 - Zdravotechnika'!$C$129:$K$293</definedName>
    <definedName name="_xlnm._FilterDatabase" localSheetId="10" hidden="1">'E1.4 - Technologia kotoln...'!$C$133:$K$448</definedName>
    <definedName name="_xlnm._FilterDatabase" localSheetId="4" hidden="1">'E1.5 - Plynoinštalácia'!$C$124:$K$155</definedName>
    <definedName name="_xlnm._FilterDatabase" localSheetId="5" hidden="1">'E1.6-1 - ELI + MaR - DT01'!$C$141:$K$365</definedName>
    <definedName name="_xlnm._FilterDatabase" localSheetId="7" hidden="1">'E1.6-2A - ELI  MaR - DT02A'!$C$133:$K$242</definedName>
    <definedName name="_xlnm._FilterDatabase" localSheetId="8" hidden="1">'E1.6-2B - ELI + MaR - DT02B'!$C$132:$K$233</definedName>
    <definedName name="_xlnm._FilterDatabase" localSheetId="6" hidden="1">'E1.6-3 - ELI + MaR - DT03'!$C$133:$K$232</definedName>
    <definedName name="_xlnm._FilterDatabase" localSheetId="9" hidden="1">'E1.6-4 - ELI + MaR - PRIS4.1'!$C$123:$K$150</definedName>
    <definedName name="_xlnm._FilterDatabase" localSheetId="11" hidden="1">'E2.1 - SO 02.1  Búracie p...'!$C$122:$K$146</definedName>
    <definedName name="_xlnm._FilterDatabase" localSheetId="14" hidden="1">'E2.1.-C - Teplovod pre ob...'!$C$129:$K$186</definedName>
    <definedName name="_xlnm._FilterDatabase" localSheetId="12" hidden="1">'E2.1-A - Teplovod pre obj...'!$C$130:$K$194</definedName>
    <definedName name="_xlnm._FilterDatabase" localSheetId="13" hidden="1">'E2.1-B - Teplovod pre obj...'!$C$131:$K$212</definedName>
    <definedName name="_xlnm._FilterDatabase" localSheetId="15" hidden="1">'E2.1-Cz - Teplovod pre ob...'!$C$132:$K$203</definedName>
    <definedName name="_xlnm._FilterDatabase" localSheetId="16" hidden="1">'E2.1-D - Teplovod pre obj...'!$C$129:$K$181</definedName>
    <definedName name="_xlnm.Print_Titles" localSheetId="1">'E1.1,2 - Architektúra +  ...'!$145:$145</definedName>
    <definedName name="_xlnm.Print_Titles" localSheetId="3">'E1.3 - Zdravotechnika'!$129:$129</definedName>
    <definedName name="_xlnm.Print_Titles" localSheetId="10">'E1.4 - Technologia kotoln...'!$133:$133</definedName>
    <definedName name="_xlnm.Print_Titles" localSheetId="4">'E1.5 - Plynoinštalácia'!$124:$124</definedName>
    <definedName name="_xlnm.Print_Titles" localSheetId="5">'E1.6-1 - ELI + MaR - DT01'!$141:$141</definedName>
    <definedName name="_xlnm.Print_Titles" localSheetId="7">'E1.6-2A - ELI  MaR - DT02A'!$133:$133</definedName>
    <definedName name="_xlnm.Print_Titles" localSheetId="8">'E1.6-2B - ELI + MaR - DT02B'!$132:$132</definedName>
    <definedName name="_xlnm.Print_Titles" localSheetId="6">'E1.6-3 - ELI + MaR - DT03'!$133:$133</definedName>
    <definedName name="_xlnm.Print_Titles" localSheetId="9">'E1.6-4 - ELI + MaR - PRIS4.1'!$123:$123</definedName>
    <definedName name="_xlnm.Print_Titles" localSheetId="11">'E2.1 - SO 02.1  Búracie p...'!$122:$122</definedName>
    <definedName name="_xlnm.Print_Titles" localSheetId="14">'E2.1.-C - Teplovod pre ob...'!$129:$129</definedName>
    <definedName name="_xlnm.Print_Titles" localSheetId="12">'E2.1-A - Teplovod pre obj...'!$130:$130</definedName>
    <definedName name="_xlnm.Print_Titles" localSheetId="13">'E2.1-B - Teplovod pre obj...'!$131:$131</definedName>
    <definedName name="_xlnm.Print_Titles" localSheetId="15">'E2.1-Cz - Teplovod pre ob...'!$132:$132</definedName>
    <definedName name="_xlnm.Print_Titles" localSheetId="16">'E2.1-D - Teplovod pre obj...'!$129:$129</definedName>
    <definedName name="_xlnm.Print_Titles" localSheetId="0">'Rekapitulácia stavby'!$92:$92</definedName>
    <definedName name="_xlnm.Print_Area" localSheetId="1">'E1.1,2 - Architektúra +  ...'!$C$4:$J$76,'E1.1,2 - Architektúra +  ...'!$C$131:$J$907</definedName>
    <definedName name="_xlnm.Print_Area" localSheetId="3">'E1.3 - Zdravotechnika'!$C$4:$J$76,'E1.3 - Zdravotechnika'!$C$115:$J$293</definedName>
    <definedName name="_xlnm.Print_Area" localSheetId="10">'E1.4 - Technologia kotoln...'!$C$4:$J$76,'E1.4 - Technologia kotoln...'!$C$119:$J$448</definedName>
    <definedName name="_xlnm.Print_Area" localSheetId="4">'E1.5 - Plynoinštalácia'!$C$4:$J$76,'E1.5 - Plynoinštalácia'!$C$110:$J$155</definedName>
    <definedName name="_xlnm.Print_Area" localSheetId="5">'E1.6-1 - ELI + MaR - DT01'!$C$4:$J$76,'E1.6-1 - ELI + MaR - DT01'!$C$127:$J$365</definedName>
    <definedName name="_xlnm.Print_Area" localSheetId="7">'E1.6-2A - ELI  MaR - DT02A'!$C$4:$J$76,'E1.6-2A - ELI  MaR - DT02A'!$C$119:$J$242</definedName>
    <definedName name="_xlnm.Print_Area" localSheetId="8">'E1.6-2B - ELI + MaR - DT02B'!$C$4:$J$76,'E1.6-2B - ELI + MaR - DT02B'!$C$118:$J$233</definedName>
    <definedName name="_xlnm.Print_Area" localSheetId="6">'E1.6-3 - ELI + MaR - DT03'!$C$4:$J$76,'E1.6-3 - ELI + MaR - DT03'!$C$119:$J$232</definedName>
    <definedName name="_xlnm.Print_Area" localSheetId="9">'E1.6-4 - ELI + MaR - PRIS4.1'!$C$4:$J$76,'E1.6-4 - ELI + MaR - PRIS4.1'!$C$109:$J$150</definedName>
    <definedName name="_xlnm.Print_Area" localSheetId="11">'E2.1 - SO 02.1  Búracie p...'!$C$4:$J$76,'E2.1 - SO 02.1  Búracie p...'!$C$108:$J$146</definedName>
    <definedName name="_xlnm.Print_Area" localSheetId="14">'E2.1.-C - Teplovod pre ob...'!$C$4:$J$76,'E2.1.-C - Teplovod pre ob...'!$C$115:$J$186</definedName>
    <definedName name="_xlnm.Print_Area" localSheetId="12">'E2.1-A - Teplovod pre obj...'!$C$4:$J$76,'E2.1-A - Teplovod pre obj...'!$C$116:$J$194</definedName>
    <definedName name="_xlnm.Print_Area" localSheetId="13">'E2.1-B - Teplovod pre obj...'!$C$4:$J$76,'E2.1-B - Teplovod pre obj...'!$C$117:$J$212</definedName>
    <definedName name="_xlnm.Print_Area" localSheetId="15">'E2.1-Cz - Teplovod pre ob...'!$C$4:$J$76,'E2.1-Cz - Teplovod pre ob...'!$C$118:$J$203</definedName>
    <definedName name="_xlnm.Print_Area" localSheetId="16">'E2.1-D - Teplovod pre obj...'!$C$4:$J$76,'E2.1-D - Teplovod pre obj...'!$C$115:$J$181</definedName>
    <definedName name="_xlnm.Print_Area" localSheetId="0">'Rekapitulácia stavby'!$D$4:$AO$76,'Rekapitulácia stavby'!$C$82:$AQ$112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0" i="11" l="1"/>
  <c r="G129" i="11"/>
  <c r="G128" i="11"/>
  <c r="G127" i="11"/>
  <c r="G137" i="11"/>
  <c r="G136" i="11"/>
  <c r="G135" i="11"/>
  <c r="G142" i="11"/>
  <c r="G141" i="11"/>
  <c r="G140" i="11"/>
  <c r="G143" i="11" s="1"/>
  <c r="G138" i="11" l="1"/>
  <c r="H533" i="2"/>
  <c r="H534" i="2" s="1"/>
  <c r="H531" i="2"/>
  <c r="BK532" i="2"/>
  <c r="BI532" i="2"/>
  <c r="BH532" i="2"/>
  <c r="BG532" i="2"/>
  <c r="BE532" i="2"/>
  <c r="T532" i="2"/>
  <c r="R532" i="2"/>
  <c r="P532" i="2"/>
  <c r="BF532" i="2"/>
  <c r="BK529" i="2"/>
  <c r="BI529" i="2"/>
  <c r="BH529" i="2"/>
  <c r="BG529" i="2"/>
  <c r="BE529" i="2"/>
  <c r="T529" i="2"/>
  <c r="R529" i="2"/>
  <c r="P529" i="2"/>
  <c r="BF529" i="2"/>
  <c r="J14" i="2" l="1"/>
  <c r="Y35" i="17"/>
  <c r="X35" i="17"/>
  <c r="W35" i="17"/>
  <c r="V35" i="17"/>
  <c r="U35" i="17"/>
  <c r="T35" i="17"/>
  <c r="S35" i="17"/>
  <c r="R35" i="17"/>
  <c r="Q35" i="17"/>
  <c r="P35" i="17"/>
  <c r="M35" i="17"/>
  <c r="L35" i="17"/>
  <c r="I35" i="17"/>
  <c r="H35" i="17"/>
  <c r="G35" i="17"/>
  <c r="Y30" i="17"/>
  <c r="Y32" i="17" s="1"/>
  <c r="C30" i="17"/>
  <c r="C32" i="17" s="1"/>
  <c r="P26" i="17"/>
  <c r="W26" i="17" s="1"/>
  <c r="H26" i="17"/>
  <c r="P25" i="17"/>
  <c r="W25" i="17" s="1"/>
  <c r="H25" i="17"/>
  <c r="P24" i="17"/>
  <c r="X24" i="17" s="1"/>
  <c r="H24" i="17"/>
  <c r="X23" i="17"/>
  <c r="S23" i="17"/>
  <c r="P23" i="17"/>
  <c r="Q23" i="17" s="1"/>
  <c r="L23" i="17"/>
  <c r="H23" i="17"/>
  <c r="M22" i="17"/>
  <c r="R21" i="17"/>
  <c r="P21" i="17"/>
  <c r="X21" i="17" s="1"/>
  <c r="M21" i="17"/>
  <c r="I21" i="17"/>
  <c r="I30" i="17" s="1"/>
  <c r="H21" i="17"/>
  <c r="R20" i="17"/>
  <c r="P20" i="17"/>
  <c r="L20" i="17"/>
  <c r="H20" i="17"/>
  <c r="P19" i="17"/>
  <c r="X19" i="17" s="1"/>
  <c r="L19" i="17"/>
  <c r="H19" i="17"/>
  <c r="R18" i="17"/>
  <c r="P18" i="17"/>
  <c r="W18" i="17" s="1"/>
  <c r="L18" i="17"/>
  <c r="H18" i="17"/>
  <c r="R17" i="17"/>
  <c r="W17" i="17" s="1"/>
  <c r="Q17" i="17"/>
  <c r="P17" i="17"/>
  <c r="L17" i="17"/>
  <c r="H17" i="17"/>
  <c r="R16" i="17"/>
  <c r="P16" i="17"/>
  <c r="L16" i="17"/>
  <c r="H16" i="17"/>
  <c r="S15" i="17"/>
  <c r="R15" i="17"/>
  <c r="P15" i="17"/>
  <c r="Q15" i="17" s="1"/>
  <c r="L15" i="17"/>
  <c r="G15" i="17"/>
  <c r="R14" i="17"/>
  <c r="P14" i="17"/>
  <c r="X14" i="17" s="1"/>
  <c r="L14" i="17"/>
  <c r="H14" i="17"/>
  <c r="H30" i="17" s="1"/>
  <c r="R13" i="17"/>
  <c r="X13" i="17" s="1"/>
  <c r="P13" i="17"/>
  <c r="L13" i="17"/>
  <c r="G13" i="17"/>
  <c r="R12" i="17"/>
  <c r="P12" i="17"/>
  <c r="L12" i="17"/>
  <c r="H12" i="17"/>
  <c r="T11" i="17"/>
  <c r="U11" i="17" s="1"/>
  <c r="U30" i="17" s="1"/>
  <c r="S11" i="17"/>
  <c r="X11" i="17" s="1"/>
  <c r="L11" i="17"/>
  <c r="G11" i="17"/>
  <c r="G30" i="17" s="1"/>
  <c r="R10" i="17"/>
  <c r="Q10" i="17"/>
  <c r="P10" i="17"/>
  <c r="L10" i="17"/>
  <c r="L30" i="17" s="1"/>
  <c r="G10" i="17"/>
  <c r="H903" i="2"/>
  <c r="BF904" i="2"/>
  <c r="P904" i="2"/>
  <c r="R904" i="2"/>
  <c r="T904" i="2"/>
  <c r="BE904" i="2"/>
  <c r="BG904" i="2"/>
  <c r="BH904" i="2"/>
  <c r="BI904" i="2"/>
  <c r="BK904" i="2"/>
  <c r="BF905" i="2"/>
  <c r="P905" i="2"/>
  <c r="R905" i="2"/>
  <c r="T905" i="2"/>
  <c r="BE905" i="2"/>
  <c r="BG905" i="2"/>
  <c r="BH905" i="2"/>
  <c r="BI905" i="2"/>
  <c r="BK905" i="2"/>
  <c r="H897" i="2"/>
  <c r="H898" i="2" s="1"/>
  <c r="H891" i="2"/>
  <c r="H892" i="2" s="1"/>
  <c r="H889" i="2"/>
  <c r="H882" i="2"/>
  <c r="H865" i="2"/>
  <c r="H862" i="2"/>
  <c r="H847" i="2"/>
  <c r="H844" i="2"/>
  <c r="H837" i="2"/>
  <c r="H838" i="2" s="1"/>
  <c r="H831" i="2"/>
  <c r="H832" i="2" s="1"/>
  <c r="H823" i="2"/>
  <c r="H824" i="2" s="1"/>
  <c r="H821" i="2"/>
  <c r="H815" i="2"/>
  <c r="H816" i="2" s="1"/>
  <c r="H813" i="2"/>
  <c r="H810" i="2"/>
  <c r="H806" i="2"/>
  <c r="H803" i="2"/>
  <c r="H798" i="2"/>
  <c r="H787" i="2"/>
  <c r="H792" i="2" s="1"/>
  <c r="H785" i="2"/>
  <c r="H782" i="2"/>
  <c r="H773" i="2"/>
  <c r="H769" i="2"/>
  <c r="H764" i="2"/>
  <c r="H762" i="2"/>
  <c r="H760" i="2"/>
  <c r="R11" i="17" l="1"/>
  <c r="X10" i="17"/>
  <c r="W12" i="17"/>
  <c r="W13" i="17"/>
  <c r="W15" i="17"/>
  <c r="S16" i="17"/>
  <c r="X20" i="17"/>
  <c r="M30" i="17"/>
  <c r="M36" i="17" s="1"/>
  <c r="M37" i="17" s="1"/>
  <c r="W23" i="17"/>
  <c r="X15" i="17"/>
  <c r="P30" i="17"/>
  <c r="P36" i="17" s="1"/>
  <c r="P37" i="17" s="1"/>
  <c r="X25" i="17"/>
  <c r="T30" i="17"/>
  <c r="T32" i="17" s="1"/>
  <c r="H874" i="2"/>
  <c r="P32" i="17"/>
  <c r="G36" i="17"/>
  <c r="G37" i="17" s="1"/>
  <c r="G32" i="17"/>
  <c r="H36" i="17"/>
  <c r="H37" i="17" s="1"/>
  <c r="H32" i="17"/>
  <c r="U36" i="17"/>
  <c r="U37" i="17" s="1"/>
  <c r="U32" i="17"/>
  <c r="I32" i="17"/>
  <c r="I36" i="17"/>
  <c r="I37" i="17" s="1"/>
  <c r="M32" i="17"/>
  <c r="L32" i="17"/>
  <c r="L36" i="17"/>
  <c r="L37" i="17" s="1"/>
  <c r="R30" i="17"/>
  <c r="W10" i="17"/>
  <c r="Q12" i="17"/>
  <c r="S17" i="17"/>
  <c r="Q19" i="17"/>
  <c r="Q14" i="17"/>
  <c r="X17" i="17"/>
  <c r="Q24" i="17"/>
  <c r="X12" i="17"/>
  <c r="Q16" i="17"/>
  <c r="S24" i="17"/>
  <c r="X26" i="17"/>
  <c r="W14" i="17"/>
  <c r="W21" i="17"/>
  <c r="W24" i="17"/>
  <c r="T36" i="17"/>
  <c r="T37" i="17" s="1"/>
  <c r="W16" i="17"/>
  <c r="Q20" i="17"/>
  <c r="V11" i="17"/>
  <c r="V30" i="17" s="1"/>
  <c r="Q13" i="17"/>
  <c r="X16" i="17"/>
  <c r="S18" i="17"/>
  <c r="W11" i="17"/>
  <c r="S20" i="17"/>
  <c r="Q25" i="17"/>
  <c r="S13" i="17"/>
  <c r="X18" i="17"/>
  <c r="W20" i="17"/>
  <c r="S25" i="17"/>
  <c r="Y36" i="17"/>
  <c r="Y37" i="17" s="1"/>
  <c r="S10" i="17"/>
  <c r="S19" i="17"/>
  <c r="Q26" i="17"/>
  <c r="S12" i="17"/>
  <c r="W19" i="17"/>
  <c r="Q21" i="17"/>
  <c r="S26" i="17"/>
  <c r="S14" i="17"/>
  <c r="S21" i="17"/>
  <c r="Q18" i="17"/>
  <c r="H856" i="2"/>
  <c r="H766" i="2"/>
  <c r="X30" i="17" l="1"/>
  <c r="X36" i="17"/>
  <c r="X37" i="17" s="1"/>
  <c r="X32" i="17"/>
  <c r="V36" i="17"/>
  <c r="V37" i="17" s="1"/>
  <c r="V32" i="17"/>
  <c r="S30" i="17"/>
  <c r="Q30" i="17"/>
  <c r="W30" i="17"/>
  <c r="R36" i="17"/>
  <c r="R37" i="17" s="1"/>
  <c r="R32" i="17"/>
  <c r="W36" i="17" l="1"/>
  <c r="W37" i="17" s="1"/>
  <c r="W32" i="17"/>
  <c r="Q32" i="17"/>
  <c r="Q36" i="17"/>
  <c r="Q37" i="17" s="1"/>
  <c r="S36" i="17"/>
  <c r="S37" i="17" s="1"/>
  <c r="S32" i="17"/>
  <c r="H753" i="2" l="1"/>
  <c r="H750" i="2"/>
  <c r="H746" i="2"/>
  <c r="H741" i="2"/>
  <c r="H736" i="2"/>
  <c r="H730" i="2"/>
  <c r="H722" i="2"/>
  <c r="H716" i="2"/>
  <c r="H715" i="2"/>
  <c r="H712" i="2"/>
  <c r="H711" i="2"/>
  <c r="H710" i="2"/>
  <c r="H695" i="2"/>
  <c r="H694" i="2"/>
  <c r="H693" i="2"/>
  <c r="H692" i="2"/>
  <c r="H691" i="2"/>
  <c r="H690" i="2"/>
  <c r="H689" i="2"/>
  <c r="H688" i="2"/>
  <c r="H687" i="2"/>
  <c r="H686" i="2"/>
  <c r="H684" i="2"/>
  <c r="H681" i="2"/>
  <c r="H670" i="2"/>
  <c r="H669" i="2"/>
  <c r="H668" i="2"/>
  <c r="H660" i="2"/>
  <c r="H659" i="2"/>
  <c r="H653" i="2"/>
  <c r="H643" i="2"/>
  <c r="H645" i="2" s="1"/>
  <c r="H640" i="2"/>
  <c r="H639" i="2"/>
  <c r="H638" i="2"/>
  <c r="H637" i="2"/>
  <c r="H636" i="2"/>
  <c r="H635" i="2"/>
  <c r="H641" i="2" s="1"/>
  <c r="H632" i="2"/>
  <c r="H631" i="2"/>
  <c r="H628" i="2"/>
  <c r="H627" i="2"/>
  <c r="H626" i="2"/>
  <c r="H625" i="2"/>
  <c r="H622" i="2"/>
  <c r="H621" i="2"/>
  <c r="H618" i="2"/>
  <c r="H617" i="2"/>
  <c r="H616" i="2"/>
  <c r="H614" i="2"/>
  <c r="H610" i="2"/>
  <c r="H607" i="2"/>
  <c r="H604" i="2"/>
  <c r="H601" i="2"/>
  <c r="H586" i="2"/>
  <c r="H587" i="2" s="1"/>
  <c r="H583" i="2"/>
  <c r="H584" i="2" s="1"/>
  <c r="H578" i="2"/>
  <c r="H577" i="2"/>
  <c r="H595" i="2"/>
  <c r="H591" i="2"/>
  <c r="H574" i="2"/>
  <c r="H568" i="2"/>
  <c r="H569" i="2" s="1"/>
  <c r="H565" i="2"/>
  <c r="H560" i="2"/>
  <c r="H559" i="2"/>
  <c r="H558" i="2"/>
  <c r="H552" i="2"/>
  <c r="H553" i="2" s="1"/>
  <c r="BF551" i="2"/>
  <c r="P551" i="2"/>
  <c r="R551" i="2"/>
  <c r="T551" i="2"/>
  <c r="BE551" i="2"/>
  <c r="BG551" i="2"/>
  <c r="BH551" i="2"/>
  <c r="BI551" i="2"/>
  <c r="BK551" i="2"/>
  <c r="BF554" i="2"/>
  <c r="P554" i="2"/>
  <c r="R554" i="2"/>
  <c r="T554" i="2"/>
  <c r="BE554" i="2"/>
  <c r="BG554" i="2"/>
  <c r="BH554" i="2"/>
  <c r="BI554" i="2"/>
  <c r="BK554" i="2"/>
  <c r="H544" i="2"/>
  <c r="H545" i="2" s="1"/>
  <c r="H541" i="2"/>
  <c r="H542" i="2" s="1"/>
  <c r="BF546" i="2"/>
  <c r="P546" i="2"/>
  <c r="R546" i="2"/>
  <c r="T546" i="2"/>
  <c r="BE546" i="2"/>
  <c r="BG546" i="2"/>
  <c r="BH546" i="2"/>
  <c r="BI546" i="2"/>
  <c r="BK546" i="2"/>
  <c r="H527" i="2"/>
  <c r="H528" i="2" s="1"/>
  <c r="H525" i="2"/>
  <c r="H521" i="2"/>
  <c r="H522" i="2" s="1"/>
  <c r="H519" i="2"/>
  <c r="H515" i="2"/>
  <c r="H514" i="2"/>
  <c r="H537" i="2"/>
  <c r="H499" i="2"/>
  <c r="H500" i="2" s="1"/>
  <c r="H496" i="2"/>
  <c r="H495" i="2"/>
  <c r="H493" i="2"/>
  <c r="H490" i="2"/>
  <c r="H487" i="2"/>
  <c r="H484" i="2"/>
  <c r="H481" i="2"/>
  <c r="H478" i="2"/>
  <c r="H475" i="2"/>
  <c r="H472" i="2"/>
  <c r="H467" i="2"/>
  <c r="H468" i="2" s="1"/>
  <c r="H464" i="2"/>
  <c r="H465" i="2" s="1"/>
  <c r="H461" i="2"/>
  <c r="H462" i="2" s="1"/>
  <c r="H458" i="2"/>
  <c r="H457" i="2"/>
  <c r="H456" i="2"/>
  <c r="H455" i="2"/>
  <c r="H454" i="2"/>
  <c r="H453" i="2"/>
  <c r="H450" i="2"/>
  <c r="H449" i="2"/>
  <c r="BF463" i="2"/>
  <c r="P463" i="2"/>
  <c r="R463" i="2"/>
  <c r="T463" i="2"/>
  <c r="BE463" i="2"/>
  <c r="BG463" i="2"/>
  <c r="BH463" i="2"/>
  <c r="BI463" i="2"/>
  <c r="BK463" i="2"/>
  <c r="BF466" i="2"/>
  <c r="P466" i="2"/>
  <c r="R466" i="2"/>
  <c r="T466" i="2"/>
  <c r="BE466" i="2"/>
  <c r="BG466" i="2"/>
  <c r="BH466" i="2"/>
  <c r="BI466" i="2"/>
  <c r="BK466" i="2"/>
  <c r="H447" i="2"/>
  <c r="H444" i="2"/>
  <c r="H441" i="2"/>
  <c r="H433" i="2"/>
  <c r="BF445" i="2"/>
  <c r="P445" i="2"/>
  <c r="R445" i="2"/>
  <c r="T445" i="2"/>
  <c r="BE445" i="2"/>
  <c r="BG445" i="2"/>
  <c r="BH445" i="2"/>
  <c r="BI445" i="2"/>
  <c r="BK445" i="2"/>
  <c r="BF448" i="2"/>
  <c r="P448" i="2"/>
  <c r="R448" i="2"/>
  <c r="T448" i="2"/>
  <c r="BE448" i="2"/>
  <c r="BG448" i="2"/>
  <c r="BH448" i="2"/>
  <c r="BI448" i="2"/>
  <c r="BK448" i="2"/>
  <c r="BF452" i="2"/>
  <c r="P452" i="2"/>
  <c r="R452" i="2"/>
  <c r="T452" i="2"/>
  <c r="BE452" i="2"/>
  <c r="BG452" i="2"/>
  <c r="BH452" i="2"/>
  <c r="BI452" i="2"/>
  <c r="BK452" i="2"/>
  <c r="H428" i="2"/>
  <c r="H427" i="2"/>
  <c r="H424" i="2"/>
  <c r="H425" i="2" s="1"/>
  <c r="H421" i="2"/>
  <c r="H420" i="2"/>
  <c r="H419" i="2"/>
  <c r="H418" i="2"/>
  <c r="H417" i="2"/>
  <c r="H415" i="2"/>
  <c r="H412" i="2"/>
  <c r="H401" i="2"/>
  <c r="H397" i="2"/>
  <c r="H392" i="2"/>
  <c r="H388" i="2"/>
  <c r="H387" i="2"/>
  <c r="H386" i="2"/>
  <c r="H385" i="2"/>
  <c r="H382" i="2"/>
  <c r="H381" i="2"/>
  <c r="H380" i="2"/>
  <c r="H379" i="2"/>
  <c r="H376" i="2"/>
  <c r="H377" i="2" s="1"/>
  <c r="H373" i="2"/>
  <c r="H372" i="2"/>
  <c r="H371" i="2"/>
  <c r="H717" i="2" l="1"/>
  <c r="H713" i="2"/>
  <c r="H696" i="2"/>
  <c r="H671" i="2"/>
  <c r="H661" i="2"/>
  <c r="H629" i="2"/>
  <c r="H633" i="2"/>
  <c r="H623" i="2"/>
  <c r="H619" i="2"/>
  <c r="H579" i="2"/>
  <c r="H561" i="2"/>
  <c r="H516" i="2"/>
  <c r="H497" i="2"/>
  <c r="H451" i="2"/>
  <c r="H429" i="2"/>
  <c r="H459" i="2"/>
  <c r="H422" i="2"/>
  <c r="H389" i="2"/>
  <c r="H374" i="2"/>
  <c r="H383" i="2"/>
  <c r="H368" i="2" l="1"/>
  <c r="H367" i="2"/>
  <c r="H366" i="2"/>
  <c r="H365" i="2"/>
  <c r="H364" i="2"/>
  <c r="H363" i="2"/>
  <c r="H362" i="2"/>
  <c r="H361" i="2"/>
  <c r="H360" i="2"/>
  <c r="H359" i="2"/>
  <c r="H357" i="2"/>
  <c r="H354" i="2"/>
  <c r="H350" i="2"/>
  <c r="H351" i="2" s="1"/>
  <c r="H347" i="2"/>
  <c r="H348" i="2" s="1"/>
  <c r="H344" i="2"/>
  <c r="H345" i="2" s="1"/>
  <c r="H337" i="2"/>
  <c r="H331" i="2"/>
  <c r="H327" i="2"/>
  <c r="H323" i="2"/>
  <c r="H318" i="2"/>
  <c r="H316" i="2"/>
  <c r="H315" i="2"/>
  <c r="H314" i="2"/>
  <c r="H311" i="2"/>
  <c r="H312" i="2" s="1"/>
  <c r="H309" i="2"/>
  <c r="H305" i="2"/>
  <c r="H306" i="2" s="1"/>
  <c r="H302" i="2"/>
  <c r="H301" i="2"/>
  <c r="H300" i="2"/>
  <c r="H297" i="2"/>
  <c r="H298" i="2" s="1"/>
  <c r="H294" i="2"/>
  <c r="H295" i="2" s="1"/>
  <c r="H290" i="2"/>
  <c r="H292" i="2" s="1"/>
  <c r="H287" i="2"/>
  <c r="H288" i="2" s="1"/>
  <c r="H284" i="2"/>
  <c r="H282" i="2"/>
  <c r="H281" i="2"/>
  <c r="H280" i="2"/>
  <c r="H277" i="2"/>
  <c r="H278" i="2" s="1"/>
  <c r="H275" i="2"/>
  <c r="H270" i="2"/>
  <c r="H272" i="2" s="1"/>
  <c r="H267" i="2"/>
  <c r="H266" i="2"/>
  <c r="H265" i="2"/>
  <c r="H256" i="2"/>
  <c r="H257" i="2" s="1"/>
  <c r="H263" i="2"/>
  <c r="H260" i="2"/>
  <c r="H253" i="2"/>
  <c r="H252" i="2"/>
  <c r="H250" i="2"/>
  <c r="H247" i="2"/>
  <c r="H243" i="2"/>
  <c r="H239" i="2"/>
  <c r="H234" i="2"/>
  <c r="H235" i="2" s="1"/>
  <c r="H231" i="2"/>
  <c r="H232" i="2" s="1"/>
  <c r="H228" i="2"/>
  <c r="H229" i="2" s="1"/>
  <c r="H225" i="2"/>
  <c r="H226" i="2" s="1"/>
  <c r="H221" i="2"/>
  <c r="H222" i="2" s="1"/>
  <c r="H217" i="2"/>
  <c r="H218" i="2" s="1"/>
  <c r="H214" i="2"/>
  <c r="H215" i="2" s="1"/>
  <c r="H210" i="2"/>
  <c r="H209" i="2"/>
  <c r="H208" i="2"/>
  <c r="H204" i="2"/>
  <c r="H205" i="2" s="1"/>
  <c r="H201" i="2"/>
  <c r="H198" i="2"/>
  <c r="H195" i="2"/>
  <c r="H192" i="2"/>
  <c r="H189" i="2"/>
  <c r="H186" i="2"/>
  <c r="H183" i="2"/>
  <c r="H179" i="2"/>
  <c r="H180" i="2" s="1"/>
  <c r="H175" i="2"/>
  <c r="H173" i="2"/>
  <c r="H172" i="2"/>
  <c r="H167" i="2"/>
  <c r="H168" i="2" s="1"/>
  <c r="H164" i="2"/>
  <c r="H165" i="2" s="1"/>
  <c r="H161" i="2"/>
  <c r="H162" i="2" s="1"/>
  <c r="H157" i="2"/>
  <c r="H158" i="2" s="1"/>
  <c r="H154" i="2"/>
  <c r="H155" i="2" s="1"/>
  <c r="H151" i="2"/>
  <c r="H150" i="2"/>
  <c r="H369" i="2" l="1"/>
  <c r="H317" i="2"/>
  <c r="H303" i="2"/>
  <c r="H299" i="2" s="1"/>
  <c r="H285" i="2"/>
  <c r="H268" i="2"/>
  <c r="H254" i="2"/>
  <c r="H211" i="2"/>
  <c r="H176" i="2"/>
  <c r="H152" i="2"/>
  <c r="J39" i="16" l="1"/>
  <c r="J38" i="16"/>
  <c r="AY111" i="1"/>
  <c r="J37" i="16"/>
  <c r="AX111" i="1" s="1"/>
  <c r="BI181" i="16"/>
  <c r="BH181" i="16"/>
  <c r="BG181" i="16"/>
  <c r="BE181" i="16"/>
  <c r="T181" i="16"/>
  <c r="T180" i="16" s="1"/>
  <c r="R181" i="16"/>
  <c r="R180" i="16" s="1"/>
  <c r="P181" i="16"/>
  <c r="P180" i="16"/>
  <c r="BI179" i="16"/>
  <c r="BH179" i="16"/>
  <c r="BG179" i="16"/>
  <c r="BE179" i="16"/>
  <c r="T179" i="16"/>
  <c r="R179" i="16"/>
  <c r="P179" i="16"/>
  <c r="BI178" i="16"/>
  <c r="BH178" i="16"/>
  <c r="BG178" i="16"/>
  <c r="BE178" i="16"/>
  <c r="T178" i="16"/>
  <c r="R178" i="16"/>
  <c r="P178" i="16"/>
  <c r="BI177" i="16"/>
  <c r="BH177" i="16"/>
  <c r="BG177" i="16"/>
  <c r="BE177" i="16"/>
  <c r="T177" i="16"/>
  <c r="R177" i="16"/>
  <c r="P177" i="16"/>
  <c r="BI176" i="16"/>
  <c r="BH176" i="16"/>
  <c r="BG176" i="16"/>
  <c r="BE176" i="16"/>
  <c r="T176" i="16"/>
  <c r="R176" i="16"/>
  <c r="P176" i="16"/>
  <c r="BI175" i="16"/>
  <c r="BH175" i="16"/>
  <c r="BG175" i="16"/>
  <c r="BE175" i="16"/>
  <c r="T175" i="16"/>
  <c r="R175" i="16"/>
  <c r="P175" i="16"/>
  <c r="BI173" i="16"/>
  <c r="BH173" i="16"/>
  <c r="BG173" i="16"/>
  <c r="BE173" i="16"/>
  <c r="T173" i="16"/>
  <c r="R173" i="16"/>
  <c r="P173" i="16"/>
  <c r="BI172" i="16"/>
  <c r="BH172" i="16"/>
  <c r="BG172" i="16"/>
  <c r="BE172" i="16"/>
  <c r="T172" i="16"/>
  <c r="R172" i="16"/>
  <c r="P172" i="16"/>
  <c r="BI171" i="16"/>
  <c r="BH171" i="16"/>
  <c r="BG171" i="16"/>
  <c r="BE171" i="16"/>
  <c r="T171" i="16"/>
  <c r="R171" i="16"/>
  <c r="P171" i="16"/>
  <c r="BI170" i="16"/>
  <c r="BH170" i="16"/>
  <c r="BG170" i="16"/>
  <c r="BE170" i="16"/>
  <c r="T170" i="16"/>
  <c r="R170" i="16"/>
  <c r="P170" i="16"/>
  <c r="BI169" i="16"/>
  <c r="BH169" i="16"/>
  <c r="BG169" i="16"/>
  <c r="BE169" i="16"/>
  <c r="T169" i="16"/>
  <c r="R169" i="16"/>
  <c r="P169" i="16"/>
  <c r="BI168" i="16"/>
  <c r="BH168" i="16"/>
  <c r="BG168" i="16"/>
  <c r="BE168" i="16"/>
  <c r="T168" i="16"/>
  <c r="R168" i="16"/>
  <c r="P168" i="16"/>
  <c r="BI167" i="16"/>
  <c r="BH167" i="16"/>
  <c r="BG167" i="16"/>
  <c r="BE167" i="16"/>
  <c r="T167" i="16"/>
  <c r="R167" i="16"/>
  <c r="P167" i="16"/>
  <c r="BI166" i="16"/>
  <c r="BH166" i="16"/>
  <c r="BG166" i="16"/>
  <c r="BE166" i="16"/>
  <c r="T166" i="16"/>
  <c r="R166" i="16"/>
  <c r="P166" i="16"/>
  <c r="BI164" i="16"/>
  <c r="BH164" i="16"/>
  <c r="BG164" i="16"/>
  <c r="BE164" i="16"/>
  <c r="T164" i="16"/>
  <c r="R164" i="16"/>
  <c r="P164" i="16"/>
  <c r="BI163" i="16"/>
  <c r="BH163" i="16"/>
  <c r="BG163" i="16"/>
  <c r="BE163" i="16"/>
  <c r="T163" i="16"/>
  <c r="R163" i="16"/>
  <c r="P163" i="16"/>
  <c r="BI162" i="16"/>
  <c r="BH162" i="16"/>
  <c r="BG162" i="16"/>
  <c r="BE162" i="16"/>
  <c r="T162" i="16"/>
  <c r="R162" i="16"/>
  <c r="P162" i="16"/>
  <c r="BI161" i="16"/>
  <c r="BH161" i="16"/>
  <c r="BG161" i="16"/>
  <c r="BE161" i="16"/>
  <c r="T161" i="16"/>
  <c r="R161" i="16"/>
  <c r="P161" i="16"/>
  <c r="BI160" i="16"/>
  <c r="BH160" i="16"/>
  <c r="BG160" i="16"/>
  <c r="BE160" i="16"/>
  <c r="T160" i="16"/>
  <c r="R160" i="16"/>
  <c r="P160" i="16"/>
  <c r="BI157" i="16"/>
  <c r="BH157" i="16"/>
  <c r="BG157" i="16"/>
  <c r="BE157" i="16"/>
  <c r="T157" i="16"/>
  <c r="R157" i="16"/>
  <c r="P157" i="16"/>
  <c r="BI156" i="16"/>
  <c r="BH156" i="16"/>
  <c r="BG156" i="16"/>
  <c r="BE156" i="16"/>
  <c r="T156" i="16"/>
  <c r="R156" i="16"/>
  <c r="P156" i="16"/>
  <c r="BI154" i="16"/>
  <c r="BH154" i="16"/>
  <c r="BG154" i="16"/>
  <c r="BE154" i="16"/>
  <c r="T154" i="16"/>
  <c r="R154" i="16"/>
  <c r="P154" i="16"/>
  <c r="BI153" i="16"/>
  <c r="BH153" i="16"/>
  <c r="BG153" i="16"/>
  <c r="BE153" i="16"/>
  <c r="T153" i="16"/>
  <c r="R153" i="16"/>
  <c r="P153" i="16"/>
  <c r="BI152" i="16"/>
  <c r="BH152" i="16"/>
  <c r="BG152" i="16"/>
  <c r="BE152" i="16"/>
  <c r="T152" i="16"/>
  <c r="R152" i="16"/>
  <c r="P152" i="16"/>
  <c r="BI151" i="16"/>
  <c r="BH151" i="16"/>
  <c r="BG151" i="16"/>
  <c r="BE151" i="16"/>
  <c r="T151" i="16"/>
  <c r="R151" i="16"/>
  <c r="P151" i="16"/>
  <c r="BI150" i="16"/>
  <c r="BH150" i="16"/>
  <c r="BG150" i="16"/>
  <c r="BE150" i="16"/>
  <c r="T150" i="16"/>
  <c r="R150" i="16"/>
  <c r="P150" i="16"/>
  <c r="BI149" i="16"/>
  <c r="BH149" i="16"/>
  <c r="BG149" i="16"/>
  <c r="BE149" i="16"/>
  <c r="T149" i="16"/>
  <c r="R149" i="16"/>
  <c r="P149" i="16"/>
  <c r="BI147" i="16"/>
  <c r="BH147" i="16"/>
  <c r="BG147" i="16"/>
  <c r="BE147" i="16"/>
  <c r="T147" i="16"/>
  <c r="R147" i="16"/>
  <c r="P147" i="16"/>
  <c r="BI146" i="16"/>
  <c r="BH146" i="16"/>
  <c r="BG146" i="16"/>
  <c r="BE146" i="16"/>
  <c r="T146" i="16"/>
  <c r="R146" i="16"/>
  <c r="P146" i="16"/>
  <c r="BI145" i="16"/>
  <c r="BH145" i="16"/>
  <c r="BG145" i="16"/>
  <c r="BE145" i="16"/>
  <c r="T145" i="16"/>
  <c r="R145" i="16"/>
  <c r="P145" i="16"/>
  <c r="BI144" i="16"/>
  <c r="BH144" i="16"/>
  <c r="BG144" i="16"/>
  <c r="BE144" i="16"/>
  <c r="T144" i="16"/>
  <c r="R144" i="16"/>
  <c r="P144" i="16"/>
  <c r="BI143" i="16"/>
  <c r="BH143" i="16"/>
  <c r="BG143" i="16"/>
  <c r="BE143" i="16"/>
  <c r="T143" i="16"/>
  <c r="R143" i="16"/>
  <c r="P143" i="16"/>
  <c r="BI142" i="16"/>
  <c r="BH142" i="16"/>
  <c r="BG142" i="16"/>
  <c r="BE142" i="16"/>
  <c r="T142" i="16"/>
  <c r="R142" i="16"/>
  <c r="P142" i="16"/>
  <c r="BI141" i="16"/>
  <c r="BH141" i="16"/>
  <c r="BG141" i="16"/>
  <c r="BE141" i="16"/>
  <c r="T141" i="16"/>
  <c r="R141" i="16"/>
  <c r="P141" i="16"/>
  <c r="BI140" i="16"/>
  <c r="BH140" i="16"/>
  <c r="BG140" i="16"/>
  <c r="BE140" i="16"/>
  <c r="T140" i="16"/>
  <c r="R140" i="16"/>
  <c r="P140" i="16"/>
  <c r="BI139" i="16"/>
  <c r="BH139" i="16"/>
  <c r="BG139" i="16"/>
  <c r="BE139" i="16"/>
  <c r="T139" i="16"/>
  <c r="R139" i="16"/>
  <c r="P139" i="16"/>
  <c r="BI138" i="16"/>
  <c r="BH138" i="16"/>
  <c r="BG138" i="16"/>
  <c r="BE138" i="16"/>
  <c r="T138" i="16"/>
  <c r="R138" i="16"/>
  <c r="P138" i="16"/>
  <c r="BI137" i="16"/>
  <c r="BH137" i="16"/>
  <c r="BG137" i="16"/>
  <c r="BE137" i="16"/>
  <c r="T137" i="16"/>
  <c r="R137" i="16"/>
  <c r="P137" i="16"/>
  <c r="BI136" i="16"/>
  <c r="BH136" i="16"/>
  <c r="BG136" i="16"/>
  <c r="BE136" i="16"/>
  <c r="T136" i="16"/>
  <c r="R136" i="16"/>
  <c r="P136" i="16"/>
  <c r="BI134" i="16"/>
  <c r="BH134" i="16"/>
  <c r="BG134" i="16"/>
  <c r="BE134" i="16"/>
  <c r="T134" i="16"/>
  <c r="R134" i="16"/>
  <c r="P134" i="16"/>
  <c r="BI133" i="16"/>
  <c r="BH133" i="16"/>
  <c r="BG133" i="16"/>
  <c r="BE133" i="16"/>
  <c r="T133" i="16"/>
  <c r="R133" i="16"/>
  <c r="P133" i="16"/>
  <c r="F124" i="16"/>
  <c r="E122" i="16"/>
  <c r="F91" i="16"/>
  <c r="E89" i="16"/>
  <c r="J26" i="16"/>
  <c r="E26" i="16"/>
  <c r="J94" i="16" s="1"/>
  <c r="J25" i="16"/>
  <c r="J23" i="16"/>
  <c r="E23" i="16"/>
  <c r="J126" i="16" s="1"/>
  <c r="J22" i="16"/>
  <c r="J20" i="16"/>
  <c r="E20" i="16"/>
  <c r="F127" i="16"/>
  <c r="J19" i="16"/>
  <c r="J17" i="16"/>
  <c r="E17" i="16"/>
  <c r="F126" i="16" s="1"/>
  <c r="J16" i="16"/>
  <c r="J14" i="16"/>
  <c r="J124" i="16" s="1"/>
  <c r="E7" i="16"/>
  <c r="E85" i="16" s="1"/>
  <c r="J39" i="15"/>
  <c r="J38" i="15"/>
  <c r="AY110" i="1" s="1"/>
  <c r="J37" i="15"/>
  <c r="AX110" i="1" s="1"/>
  <c r="BI203" i="15"/>
  <c r="BH203" i="15"/>
  <c r="BG203" i="15"/>
  <c r="BE203" i="15"/>
  <c r="T203" i="15"/>
  <c r="T202" i="15" s="1"/>
  <c r="R203" i="15"/>
  <c r="R202" i="15" s="1"/>
  <c r="P203" i="15"/>
  <c r="P202" i="15" s="1"/>
  <c r="BI201" i="15"/>
  <c r="BH201" i="15"/>
  <c r="BG201" i="15"/>
  <c r="BE201" i="15"/>
  <c r="T201" i="15"/>
  <c r="R201" i="15"/>
  <c r="P201" i="15"/>
  <c r="BI200" i="15"/>
  <c r="BH200" i="15"/>
  <c r="BG200" i="15"/>
  <c r="BE200" i="15"/>
  <c r="T200" i="15"/>
  <c r="R200" i="15"/>
  <c r="P200" i="15"/>
  <c r="BI198" i="15"/>
  <c r="BH198" i="15"/>
  <c r="BG198" i="15"/>
  <c r="BE198" i="15"/>
  <c r="T198" i="15"/>
  <c r="R198" i="15"/>
  <c r="P198" i="15"/>
  <c r="BI197" i="15"/>
  <c r="BH197" i="15"/>
  <c r="BG197" i="15"/>
  <c r="BE197" i="15"/>
  <c r="T197" i="15"/>
  <c r="R197" i="15"/>
  <c r="P197" i="15"/>
  <c r="BI196" i="15"/>
  <c r="BH196" i="15"/>
  <c r="BG196" i="15"/>
  <c r="BE196" i="15"/>
  <c r="T196" i="15"/>
  <c r="R196" i="15"/>
  <c r="P196" i="15"/>
  <c r="BI195" i="15"/>
  <c r="BH195" i="15"/>
  <c r="BG195" i="15"/>
  <c r="BE195" i="15"/>
  <c r="T195" i="15"/>
  <c r="R195" i="15"/>
  <c r="P195" i="15"/>
  <c r="BI193" i="15"/>
  <c r="BH193" i="15"/>
  <c r="BG193" i="15"/>
  <c r="BE193" i="15"/>
  <c r="T193" i="15"/>
  <c r="R193" i="15"/>
  <c r="P193" i="15"/>
  <c r="BI192" i="15"/>
  <c r="BH192" i="15"/>
  <c r="BG192" i="15"/>
  <c r="BE192" i="15"/>
  <c r="T192" i="15"/>
  <c r="R192" i="15"/>
  <c r="P192" i="15"/>
  <c r="BI191" i="15"/>
  <c r="BH191" i="15"/>
  <c r="BG191" i="15"/>
  <c r="BE191" i="15"/>
  <c r="T191" i="15"/>
  <c r="R191" i="15"/>
  <c r="P191" i="15"/>
  <c r="BI190" i="15"/>
  <c r="BH190" i="15"/>
  <c r="BG190" i="15"/>
  <c r="BE190" i="15"/>
  <c r="T190" i="15"/>
  <c r="R190" i="15"/>
  <c r="P190" i="15"/>
  <c r="BI189" i="15"/>
  <c r="BH189" i="15"/>
  <c r="BG189" i="15"/>
  <c r="BE189" i="15"/>
  <c r="T189" i="15"/>
  <c r="R189" i="15"/>
  <c r="P189" i="15"/>
  <c r="BI188" i="15"/>
  <c r="BH188" i="15"/>
  <c r="BG188" i="15"/>
  <c r="BE188" i="15"/>
  <c r="T188" i="15"/>
  <c r="R188" i="15"/>
  <c r="P188" i="15"/>
  <c r="BI187" i="15"/>
  <c r="BH187" i="15"/>
  <c r="BG187" i="15"/>
  <c r="BE187" i="15"/>
  <c r="T187" i="15"/>
  <c r="R187" i="15"/>
  <c r="P187" i="15"/>
  <c r="BI186" i="15"/>
  <c r="BH186" i="15"/>
  <c r="BG186" i="15"/>
  <c r="BE186" i="15"/>
  <c r="T186" i="15"/>
  <c r="R186" i="15"/>
  <c r="P186" i="15"/>
  <c r="BI184" i="15"/>
  <c r="BH184" i="15"/>
  <c r="BG184" i="15"/>
  <c r="BE184" i="15"/>
  <c r="T184" i="15"/>
  <c r="R184" i="15"/>
  <c r="P184" i="15"/>
  <c r="BI183" i="15"/>
  <c r="BH183" i="15"/>
  <c r="BG183" i="15"/>
  <c r="BE183" i="15"/>
  <c r="T183" i="15"/>
  <c r="R183" i="15"/>
  <c r="P183" i="15"/>
  <c r="BI182" i="15"/>
  <c r="BH182" i="15"/>
  <c r="BG182" i="15"/>
  <c r="BE182" i="15"/>
  <c r="T182" i="15"/>
  <c r="R182" i="15"/>
  <c r="P182" i="15"/>
  <c r="BI181" i="15"/>
  <c r="BH181" i="15"/>
  <c r="BG181" i="15"/>
  <c r="BE181" i="15"/>
  <c r="T181" i="15"/>
  <c r="R181" i="15"/>
  <c r="P181" i="15"/>
  <c r="BI180" i="15"/>
  <c r="BH180" i="15"/>
  <c r="BG180" i="15"/>
  <c r="BE180" i="15"/>
  <c r="T180" i="15"/>
  <c r="R180" i="15"/>
  <c r="P180" i="15"/>
  <c r="BI179" i="15"/>
  <c r="BH179" i="15"/>
  <c r="BG179" i="15"/>
  <c r="BE179" i="15"/>
  <c r="T179" i="15"/>
  <c r="R179" i="15"/>
  <c r="P179" i="15"/>
  <c r="BI178" i="15"/>
  <c r="BH178" i="15"/>
  <c r="BG178" i="15"/>
  <c r="BE178" i="15"/>
  <c r="T178" i="15"/>
  <c r="R178" i="15"/>
  <c r="P178" i="15"/>
  <c r="BI177" i="15"/>
  <c r="BH177" i="15"/>
  <c r="BG177" i="15"/>
  <c r="BE177" i="15"/>
  <c r="T177" i="15"/>
  <c r="R177" i="15"/>
  <c r="P177" i="15"/>
  <c r="BI175" i="15"/>
  <c r="BH175" i="15"/>
  <c r="BG175" i="15"/>
  <c r="BE175" i="15"/>
  <c r="T175" i="15"/>
  <c r="R175" i="15"/>
  <c r="P175" i="15"/>
  <c r="BI174" i="15"/>
  <c r="BH174" i="15"/>
  <c r="BG174" i="15"/>
  <c r="BE174" i="15"/>
  <c r="T174" i="15"/>
  <c r="R174" i="15"/>
  <c r="P174" i="15"/>
  <c r="BI173" i="15"/>
  <c r="BH173" i="15"/>
  <c r="BG173" i="15"/>
  <c r="BE173" i="15"/>
  <c r="T173" i="15"/>
  <c r="R173" i="15"/>
  <c r="P173" i="15"/>
  <c r="BI172" i="15"/>
  <c r="BH172" i="15"/>
  <c r="BG172" i="15"/>
  <c r="BE172" i="15"/>
  <c r="T172" i="15"/>
  <c r="R172" i="15"/>
  <c r="P172" i="15"/>
  <c r="BI171" i="15"/>
  <c r="BH171" i="15"/>
  <c r="BG171" i="15"/>
  <c r="BE171" i="15"/>
  <c r="T171" i="15"/>
  <c r="R171" i="15"/>
  <c r="P171" i="15"/>
  <c r="BI170" i="15"/>
  <c r="BH170" i="15"/>
  <c r="BG170" i="15"/>
  <c r="BE170" i="15"/>
  <c r="T170" i="15"/>
  <c r="R170" i="15"/>
  <c r="P170" i="15"/>
  <c r="BI167" i="15"/>
  <c r="BH167" i="15"/>
  <c r="BG167" i="15"/>
  <c r="BE167" i="15"/>
  <c r="T167" i="15"/>
  <c r="R167" i="15"/>
  <c r="P167" i="15"/>
  <c r="BI166" i="15"/>
  <c r="BH166" i="15"/>
  <c r="BG166" i="15"/>
  <c r="BE166" i="15"/>
  <c r="T166" i="15"/>
  <c r="R166" i="15"/>
  <c r="P166" i="15"/>
  <c r="BI164" i="15"/>
  <c r="BH164" i="15"/>
  <c r="BG164" i="15"/>
  <c r="BE164" i="15"/>
  <c r="T164" i="15"/>
  <c r="R164" i="15"/>
  <c r="P164" i="15"/>
  <c r="BI163" i="15"/>
  <c r="BH163" i="15"/>
  <c r="BG163" i="15"/>
  <c r="BE163" i="15"/>
  <c r="T163" i="15"/>
  <c r="R163" i="15"/>
  <c r="P163" i="15"/>
  <c r="BI162" i="15"/>
  <c r="BH162" i="15"/>
  <c r="BG162" i="15"/>
  <c r="BE162" i="15"/>
  <c r="T162" i="15"/>
  <c r="R162" i="15"/>
  <c r="P162" i="15"/>
  <c r="BI161" i="15"/>
  <c r="BH161" i="15"/>
  <c r="BG161" i="15"/>
  <c r="BE161" i="15"/>
  <c r="T161" i="15"/>
  <c r="R161" i="15"/>
  <c r="P161" i="15"/>
  <c r="BI160" i="15"/>
  <c r="BH160" i="15"/>
  <c r="BG160" i="15"/>
  <c r="BE160" i="15"/>
  <c r="T160" i="15"/>
  <c r="R160" i="15"/>
  <c r="P160" i="15"/>
  <c r="BI159" i="15"/>
  <c r="BH159" i="15"/>
  <c r="BG159" i="15"/>
  <c r="BE159" i="15"/>
  <c r="T159" i="15"/>
  <c r="R159" i="15"/>
  <c r="P159" i="15"/>
  <c r="BI158" i="15"/>
  <c r="BH158" i="15"/>
  <c r="BG158" i="15"/>
  <c r="BE158" i="15"/>
  <c r="T158" i="15"/>
  <c r="R158" i="15"/>
  <c r="P158" i="15"/>
  <c r="BI156" i="15"/>
  <c r="BH156" i="15"/>
  <c r="BG156" i="15"/>
  <c r="BE156" i="15"/>
  <c r="T156" i="15"/>
  <c r="R156" i="15"/>
  <c r="P156" i="15"/>
  <c r="BI155" i="15"/>
  <c r="BH155" i="15"/>
  <c r="BG155" i="15"/>
  <c r="BE155" i="15"/>
  <c r="T155" i="15"/>
  <c r="R155" i="15"/>
  <c r="P155" i="15"/>
  <c r="BI154" i="15"/>
  <c r="BH154" i="15"/>
  <c r="BG154" i="15"/>
  <c r="BE154" i="15"/>
  <c r="T154" i="15"/>
  <c r="R154" i="15"/>
  <c r="P154" i="15"/>
  <c r="BI153" i="15"/>
  <c r="BH153" i="15"/>
  <c r="BG153" i="15"/>
  <c r="BE153" i="15"/>
  <c r="T153" i="15"/>
  <c r="R153" i="15"/>
  <c r="P153" i="15"/>
  <c r="BI152" i="15"/>
  <c r="BH152" i="15"/>
  <c r="BG152" i="15"/>
  <c r="BE152" i="15"/>
  <c r="T152" i="15"/>
  <c r="R152" i="15"/>
  <c r="P152" i="15"/>
  <c r="BI151" i="15"/>
  <c r="BH151" i="15"/>
  <c r="BG151" i="15"/>
  <c r="BE151" i="15"/>
  <c r="T151" i="15"/>
  <c r="R151" i="15"/>
  <c r="P151" i="15"/>
  <c r="BI149" i="15"/>
  <c r="BH149" i="15"/>
  <c r="BG149" i="15"/>
  <c r="BE149" i="15"/>
  <c r="T149" i="15"/>
  <c r="R149" i="15"/>
  <c r="P149" i="15"/>
  <c r="BI148" i="15"/>
  <c r="BH148" i="15"/>
  <c r="BG148" i="15"/>
  <c r="BE148" i="15"/>
  <c r="T148" i="15"/>
  <c r="R148" i="15"/>
  <c r="P148" i="15"/>
  <c r="BI146" i="15"/>
  <c r="BH146" i="15"/>
  <c r="BG146" i="15"/>
  <c r="BE146" i="15"/>
  <c r="T146" i="15"/>
  <c r="R146" i="15"/>
  <c r="P146" i="15"/>
  <c r="BI145" i="15"/>
  <c r="BH145" i="15"/>
  <c r="BG145" i="15"/>
  <c r="BE145" i="15"/>
  <c r="T145" i="15"/>
  <c r="R145" i="15"/>
  <c r="P145" i="15"/>
  <c r="BI144" i="15"/>
  <c r="BH144" i="15"/>
  <c r="BG144" i="15"/>
  <c r="BE144" i="15"/>
  <c r="T144" i="15"/>
  <c r="R144" i="15"/>
  <c r="P144" i="15"/>
  <c r="BI143" i="15"/>
  <c r="BH143" i="15"/>
  <c r="BG143" i="15"/>
  <c r="BE143" i="15"/>
  <c r="T143" i="15"/>
  <c r="R143" i="15"/>
  <c r="P143" i="15"/>
  <c r="BI142" i="15"/>
  <c r="BH142" i="15"/>
  <c r="BG142" i="15"/>
  <c r="BE142" i="15"/>
  <c r="T142" i="15"/>
  <c r="R142" i="15"/>
  <c r="P142" i="15"/>
  <c r="BI141" i="15"/>
  <c r="BH141" i="15"/>
  <c r="BG141" i="15"/>
  <c r="BE141" i="15"/>
  <c r="T141" i="15"/>
  <c r="R141" i="15"/>
  <c r="P141" i="15"/>
  <c r="BI140" i="15"/>
  <c r="BH140" i="15"/>
  <c r="BG140" i="15"/>
  <c r="BE140" i="15"/>
  <c r="T140" i="15"/>
  <c r="R140" i="15"/>
  <c r="P140" i="15"/>
  <c r="BI139" i="15"/>
  <c r="BH139" i="15"/>
  <c r="BG139" i="15"/>
  <c r="BE139" i="15"/>
  <c r="T139" i="15"/>
  <c r="R139" i="15"/>
  <c r="P139" i="15"/>
  <c r="BI138" i="15"/>
  <c r="BH138" i="15"/>
  <c r="BG138" i="15"/>
  <c r="BE138" i="15"/>
  <c r="T138" i="15"/>
  <c r="R138" i="15"/>
  <c r="P138" i="15"/>
  <c r="BI137" i="15"/>
  <c r="BH137" i="15"/>
  <c r="BG137" i="15"/>
  <c r="BE137" i="15"/>
  <c r="T137" i="15"/>
  <c r="R137" i="15"/>
  <c r="P137" i="15"/>
  <c r="BI136" i="15"/>
  <c r="BH136" i="15"/>
  <c r="BG136" i="15"/>
  <c r="BE136" i="15"/>
  <c r="T136" i="15"/>
  <c r="R136" i="15"/>
  <c r="P136" i="15"/>
  <c r="F127" i="15"/>
  <c r="E125" i="15"/>
  <c r="F91" i="15"/>
  <c r="E89" i="15"/>
  <c r="J26" i="15"/>
  <c r="E26" i="15"/>
  <c r="J94" i="15" s="1"/>
  <c r="J25" i="15"/>
  <c r="J23" i="15"/>
  <c r="E23" i="15"/>
  <c r="J129" i="15" s="1"/>
  <c r="J22" i="15"/>
  <c r="J20" i="15"/>
  <c r="E20" i="15"/>
  <c r="F130" i="15" s="1"/>
  <c r="J19" i="15"/>
  <c r="J17" i="15"/>
  <c r="E17" i="15"/>
  <c r="F129" i="15" s="1"/>
  <c r="J16" i="15"/>
  <c r="J14" i="15"/>
  <c r="J91" i="15" s="1"/>
  <c r="E7" i="15"/>
  <c r="E121" i="15" s="1"/>
  <c r="J39" i="14"/>
  <c r="J38" i="14"/>
  <c r="AY109" i="1" s="1"/>
  <c r="J37" i="14"/>
  <c r="AX109" i="1" s="1"/>
  <c r="BI186" i="14"/>
  <c r="BH186" i="14"/>
  <c r="BG186" i="14"/>
  <c r="BE186" i="14"/>
  <c r="T186" i="14"/>
  <c r="T185" i="14"/>
  <c r="R186" i="14"/>
  <c r="R185" i="14" s="1"/>
  <c r="P186" i="14"/>
  <c r="P185" i="14"/>
  <c r="BI184" i="14"/>
  <c r="BH184" i="14"/>
  <c r="BG184" i="14"/>
  <c r="BE184" i="14"/>
  <c r="T184" i="14"/>
  <c r="R184" i="14"/>
  <c r="P184" i="14"/>
  <c r="BI183" i="14"/>
  <c r="BH183" i="14"/>
  <c r="BG183" i="14"/>
  <c r="BE183" i="14"/>
  <c r="T183" i="14"/>
  <c r="R183" i="14"/>
  <c r="P183" i="14"/>
  <c r="BI182" i="14"/>
  <c r="BH182" i="14"/>
  <c r="BG182" i="14"/>
  <c r="BE182" i="14"/>
  <c r="T182" i="14"/>
  <c r="R182" i="14"/>
  <c r="P182" i="14"/>
  <c r="BI181" i="14"/>
  <c r="BH181" i="14"/>
  <c r="BG181" i="14"/>
  <c r="BE181" i="14"/>
  <c r="T181" i="14"/>
  <c r="R181" i="14"/>
  <c r="P181" i="14"/>
  <c r="BI180" i="14"/>
  <c r="BH180" i="14"/>
  <c r="BG180" i="14"/>
  <c r="BE180" i="14"/>
  <c r="T180" i="14"/>
  <c r="R180" i="14"/>
  <c r="P180" i="14"/>
  <c r="BI179" i="14"/>
  <c r="BH179" i="14"/>
  <c r="BG179" i="14"/>
  <c r="BE179" i="14"/>
  <c r="T179" i="14"/>
  <c r="R179" i="14"/>
  <c r="P179" i="14"/>
  <c r="BI177" i="14"/>
  <c r="BH177" i="14"/>
  <c r="BG177" i="14"/>
  <c r="BE177" i="14"/>
  <c r="T177" i="14"/>
  <c r="R177" i="14"/>
  <c r="P177" i="14"/>
  <c r="BI176" i="14"/>
  <c r="BH176" i="14"/>
  <c r="BG176" i="14"/>
  <c r="BE176" i="14"/>
  <c r="T176" i="14"/>
  <c r="R176" i="14"/>
  <c r="P176" i="14"/>
  <c r="BI175" i="14"/>
  <c r="BH175" i="14"/>
  <c r="BG175" i="14"/>
  <c r="BE175" i="14"/>
  <c r="T175" i="14"/>
  <c r="R175" i="14"/>
  <c r="P175" i="14"/>
  <c r="BI174" i="14"/>
  <c r="BH174" i="14"/>
  <c r="BG174" i="14"/>
  <c r="BE174" i="14"/>
  <c r="T174" i="14"/>
  <c r="R174" i="14"/>
  <c r="P174" i="14"/>
  <c r="BI171" i="14"/>
  <c r="BH171" i="14"/>
  <c r="BG171" i="14"/>
  <c r="BE171" i="14"/>
  <c r="T171" i="14"/>
  <c r="R171" i="14"/>
  <c r="P171" i="14"/>
  <c r="BI170" i="14"/>
  <c r="BH170" i="14"/>
  <c r="BG170" i="14"/>
  <c r="BE170" i="14"/>
  <c r="T170" i="14"/>
  <c r="R170" i="14"/>
  <c r="P170" i="14"/>
  <c r="BI168" i="14"/>
  <c r="BH168" i="14"/>
  <c r="BG168" i="14"/>
  <c r="BE168" i="14"/>
  <c r="T168" i="14"/>
  <c r="R168" i="14"/>
  <c r="P168" i="14"/>
  <c r="BI167" i="14"/>
  <c r="BH167" i="14"/>
  <c r="BG167" i="14"/>
  <c r="BE167" i="14"/>
  <c r="T167" i="14"/>
  <c r="R167" i="14"/>
  <c r="P167" i="14"/>
  <c r="BI166" i="14"/>
  <c r="BH166" i="14"/>
  <c r="BG166" i="14"/>
  <c r="BE166" i="14"/>
  <c r="T166" i="14"/>
  <c r="R166" i="14"/>
  <c r="P166" i="14"/>
  <c r="BI165" i="14"/>
  <c r="BH165" i="14"/>
  <c r="BG165" i="14"/>
  <c r="BE165" i="14"/>
  <c r="T165" i="14"/>
  <c r="R165" i="14"/>
  <c r="P165" i="14"/>
  <c r="BI164" i="14"/>
  <c r="BH164" i="14"/>
  <c r="BG164" i="14"/>
  <c r="BE164" i="14"/>
  <c r="T164" i="14"/>
  <c r="R164" i="14"/>
  <c r="P164" i="14"/>
  <c r="BI163" i="14"/>
  <c r="BH163" i="14"/>
  <c r="BG163" i="14"/>
  <c r="BE163" i="14"/>
  <c r="T163" i="14"/>
  <c r="R163" i="14"/>
  <c r="P163" i="14"/>
  <c r="BI161" i="14"/>
  <c r="BH161" i="14"/>
  <c r="BG161" i="14"/>
  <c r="BE161" i="14"/>
  <c r="T161" i="14"/>
  <c r="R161" i="14"/>
  <c r="P161" i="14"/>
  <c r="BI160" i="14"/>
  <c r="BH160" i="14"/>
  <c r="BG160" i="14"/>
  <c r="BE160" i="14"/>
  <c r="T160" i="14"/>
  <c r="R160" i="14"/>
  <c r="P160" i="14"/>
  <c r="BI159" i="14"/>
  <c r="BH159" i="14"/>
  <c r="BG159" i="14"/>
  <c r="BE159" i="14"/>
  <c r="T159" i="14"/>
  <c r="R159" i="14"/>
  <c r="P159" i="14"/>
  <c r="BI158" i="14"/>
  <c r="BH158" i="14"/>
  <c r="BG158" i="14"/>
  <c r="BE158" i="14"/>
  <c r="T158" i="14"/>
  <c r="R158" i="14"/>
  <c r="P158" i="14"/>
  <c r="BI157" i="14"/>
  <c r="BH157" i="14"/>
  <c r="BG157" i="14"/>
  <c r="BE157" i="14"/>
  <c r="T157" i="14"/>
  <c r="R157" i="14"/>
  <c r="P157" i="14"/>
  <c r="BI156" i="14"/>
  <c r="BH156" i="14"/>
  <c r="BG156" i="14"/>
  <c r="BE156" i="14"/>
  <c r="T156" i="14"/>
  <c r="R156" i="14"/>
  <c r="P156" i="14"/>
  <c r="BI155" i="14"/>
  <c r="BH155" i="14"/>
  <c r="BG155" i="14"/>
  <c r="BE155" i="14"/>
  <c r="T155" i="14"/>
  <c r="R155" i="14"/>
  <c r="P155" i="14"/>
  <c r="BI154" i="14"/>
  <c r="BH154" i="14"/>
  <c r="BG154" i="14"/>
  <c r="BE154" i="14"/>
  <c r="T154" i="14"/>
  <c r="R154" i="14"/>
  <c r="P154" i="14"/>
  <c r="BI153" i="14"/>
  <c r="BH153" i="14"/>
  <c r="BG153" i="14"/>
  <c r="BE153" i="14"/>
  <c r="T153" i="14"/>
  <c r="R153" i="14"/>
  <c r="P153" i="14"/>
  <c r="BI152" i="14"/>
  <c r="BH152" i="14"/>
  <c r="BG152" i="14"/>
  <c r="BE152" i="14"/>
  <c r="T152" i="14"/>
  <c r="R152" i="14"/>
  <c r="P152" i="14"/>
  <c r="BI151" i="14"/>
  <c r="BH151" i="14"/>
  <c r="BG151" i="14"/>
  <c r="BE151" i="14"/>
  <c r="T151" i="14"/>
  <c r="R151" i="14"/>
  <c r="P151" i="14"/>
  <c r="BI150" i="14"/>
  <c r="BH150" i="14"/>
  <c r="BG150" i="14"/>
  <c r="BE150" i="14"/>
  <c r="T150" i="14"/>
  <c r="R150" i="14"/>
  <c r="P150" i="14"/>
  <c r="BI149" i="14"/>
  <c r="BH149" i="14"/>
  <c r="BG149" i="14"/>
  <c r="BE149" i="14"/>
  <c r="T149" i="14"/>
  <c r="R149" i="14"/>
  <c r="P149" i="14"/>
  <c r="BI148" i="14"/>
  <c r="BH148" i="14"/>
  <c r="BG148" i="14"/>
  <c r="BE148" i="14"/>
  <c r="T148" i="14"/>
  <c r="R148" i="14"/>
  <c r="P148" i="14"/>
  <c r="BI146" i="14"/>
  <c r="BH146" i="14"/>
  <c r="BG146" i="14"/>
  <c r="BE146" i="14"/>
  <c r="T146" i="14"/>
  <c r="R146" i="14"/>
  <c r="P146" i="14"/>
  <c r="BI145" i="14"/>
  <c r="BH145" i="14"/>
  <c r="BG145" i="14"/>
  <c r="BE145" i="14"/>
  <c r="T145" i="14"/>
  <c r="R145" i="14"/>
  <c r="P145" i="14"/>
  <c r="BI143" i="14"/>
  <c r="BH143" i="14"/>
  <c r="BG143" i="14"/>
  <c r="BE143" i="14"/>
  <c r="T143" i="14"/>
  <c r="R143" i="14"/>
  <c r="P143" i="14"/>
  <c r="BI142" i="14"/>
  <c r="BH142" i="14"/>
  <c r="BG142" i="14"/>
  <c r="BE142" i="14"/>
  <c r="T142" i="14"/>
  <c r="R142" i="14"/>
  <c r="P142" i="14"/>
  <c r="BI141" i="14"/>
  <c r="BH141" i="14"/>
  <c r="BG141" i="14"/>
  <c r="BE141" i="14"/>
  <c r="T141" i="14"/>
  <c r="R141" i="14"/>
  <c r="P141" i="14"/>
  <c r="BI140" i="14"/>
  <c r="BH140" i="14"/>
  <c r="BG140" i="14"/>
  <c r="BE140" i="14"/>
  <c r="T140" i="14"/>
  <c r="R140" i="14"/>
  <c r="P140" i="14"/>
  <c r="BI139" i="14"/>
  <c r="BH139" i="14"/>
  <c r="BG139" i="14"/>
  <c r="BE139" i="14"/>
  <c r="T139" i="14"/>
  <c r="R139" i="14"/>
  <c r="P139" i="14"/>
  <c r="BI138" i="14"/>
  <c r="BH138" i="14"/>
  <c r="BG138" i="14"/>
  <c r="BE138" i="14"/>
  <c r="T138" i="14"/>
  <c r="R138" i="14"/>
  <c r="P138" i="14"/>
  <c r="BI137" i="14"/>
  <c r="BH137" i="14"/>
  <c r="BG137" i="14"/>
  <c r="BE137" i="14"/>
  <c r="T137" i="14"/>
  <c r="R137" i="14"/>
  <c r="P137" i="14"/>
  <c r="BI136" i="14"/>
  <c r="BH136" i="14"/>
  <c r="BG136" i="14"/>
  <c r="BE136" i="14"/>
  <c r="T136" i="14"/>
  <c r="R136" i="14"/>
  <c r="P136" i="14"/>
  <c r="BI135" i="14"/>
  <c r="BH135" i="14"/>
  <c r="BG135" i="14"/>
  <c r="BE135" i="14"/>
  <c r="T135" i="14"/>
  <c r="R135" i="14"/>
  <c r="P135" i="14"/>
  <c r="BI134" i="14"/>
  <c r="BH134" i="14"/>
  <c r="BG134" i="14"/>
  <c r="BE134" i="14"/>
  <c r="T134" i="14"/>
  <c r="R134" i="14"/>
  <c r="P134" i="14"/>
  <c r="BI133" i="14"/>
  <c r="BH133" i="14"/>
  <c r="BG133" i="14"/>
  <c r="BE133" i="14"/>
  <c r="T133" i="14"/>
  <c r="R133" i="14"/>
  <c r="P133" i="14"/>
  <c r="F124" i="14"/>
  <c r="E122" i="14"/>
  <c r="F91" i="14"/>
  <c r="E89" i="14"/>
  <c r="J26" i="14"/>
  <c r="E26" i="14"/>
  <c r="J127" i="14" s="1"/>
  <c r="J25" i="14"/>
  <c r="J23" i="14"/>
  <c r="E23" i="14"/>
  <c r="J126" i="14" s="1"/>
  <c r="J22" i="14"/>
  <c r="J20" i="14"/>
  <c r="E20" i="14"/>
  <c r="F127" i="14"/>
  <c r="J19" i="14"/>
  <c r="J17" i="14"/>
  <c r="E17" i="14"/>
  <c r="F126" i="14" s="1"/>
  <c r="J16" i="14"/>
  <c r="J14" i="14"/>
  <c r="J124" i="14" s="1"/>
  <c r="E7" i="14"/>
  <c r="E85" i="14" s="1"/>
  <c r="J39" i="13"/>
  <c r="J38" i="13"/>
  <c r="AY108" i="1"/>
  <c r="J37" i="13"/>
  <c r="AX108" i="1"/>
  <c r="BI212" i="13"/>
  <c r="BH212" i="13"/>
  <c r="BG212" i="13"/>
  <c r="BE212" i="13"/>
  <c r="T212" i="13"/>
  <c r="T211" i="13" s="1"/>
  <c r="R212" i="13"/>
  <c r="R211" i="13" s="1"/>
  <c r="P212" i="13"/>
  <c r="P211" i="13"/>
  <c r="BI210" i="13"/>
  <c r="BH210" i="13"/>
  <c r="BG210" i="13"/>
  <c r="BE210" i="13"/>
  <c r="T210" i="13"/>
  <c r="R210" i="13"/>
  <c r="P210" i="13"/>
  <c r="BI209" i="13"/>
  <c r="BH209" i="13"/>
  <c r="BG209" i="13"/>
  <c r="BE209" i="13"/>
  <c r="T209" i="13"/>
  <c r="R209" i="13"/>
  <c r="P209" i="13"/>
  <c r="BI208" i="13"/>
  <c r="BH208" i="13"/>
  <c r="BG208" i="13"/>
  <c r="BE208" i="13"/>
  <c r="T208" i="13"/>
  <c r="R208" i="13"/>
  <c r="P208" i="13"/>
  <c r="BI207" i="13"/>
  <c r="BH207" i="13"/>
  <c r="BG207" i="13"/>
  <c r="BE207" i="13"/>
  <c r="T207" i="13"/>
  <c r="R207" i="13"/>
  <c r="P207" i="13"/>
  <c r="BI206" i="13"/>
  <c r="BH206" i="13"/>
  <c r="BG206" i="13"/>
  <c r="BE206" i="13"/>
  <c r="T206" i="13"/>
  <c r="R206" i="13"/>
  <c r="P206" i="13"/>
  <c r="BI204" i="13"/>
  <c r="BH204" i="13"/>
  <c r="BG204" i="13"/>
  <c r="BE204" i="13"/>
  <c r="T204" i="13"/>
  <c r="R204" i="13"/>
  <c r="P204" i="13"/>
  <c r="BI203" i="13"/>
  <c r="BH203" i="13"/>
  <c r="BG203" i="13"/>
  <c r="BE203" i="13"/>
  <c r="T203" i="13"/>
  <c r="R203" i="13"/>
  <c r="P203" i="13"/>
  <c r="BI202" i="13"/>
  <c r="BH202" i="13"/>
  <c r="BG202" i="13"/>
  <c r="BE202" i="13"/>
  <c r="T202" i="13"/>
  <c r="R202" i="13"/>
  <c r="P202" i="13"/>
  <c r="BI201" i="13"/>
  <c r="BH201" i="13"/>
  <c r="BG201" i="13"/>
  <c r="BE201" i="13"/>
  <c r="T201" i="13"/>
  <c r="R201" i="13"/>
  <c r="P201" i="13"/>
  <c r="BI200" i="13"/>
  <c r="BH200" i="13"/>
  <c r="BG200" i="13"/>
  <c r="BE200" i="13"/>
  <c r="T200" i="13"/>
  <c r="R200" i="13"/>
  <c r="P200" i="13"/>
  <c r="BI199" i="13"/>
  <c r="BH199" i="13"/>
  <c r="BG199" i="13"/>
  <c r="BE199" i="13"/>
  <c r="T199" i="13"/>
  <c r="R199" i="13"/>
  <c r="P199" i="13"/>
  <c r="BI198" i="13"/>
  <c r="BH198" i="13"/>
  <c r="BG198" i="13"/>
  <c r="BE198" i="13"/>
  <c r="T198" i="13"/>
  <c r="R198" i="13"/>
  <c r="P198" i="13"/>
  <c r="BI197" i="13"/>
  <c r="BH197" i="13"/>
  <c r="BG197" i="13"/>
  <c r="BE197" i="13"/>
  <c r="T197" i="13"/>
  <c r="R197" i="13"/>
  <c r="P197" i="13"/>
  <c r="BI195" i="13"/>
  <c r="BH195" i="13"/>
  <c r="BG195" i="13"/>
  <c r="BE195" i="13"/>
  <c r="T195" i="13"/>
  <c r="R195" i="13"/>
  <c r="P195" i="13"/>
  <c r="BI194" i="13"/>
  <c r="BH194" i="13"/>
  <c r="BG194" i="13"/>
  <c r="BE194" i="13"/>
  <c r="T194" i="13"/>
  <c r="R194" i="13"/>
  <c r="P194" i="13"/>
  <c r="BI193" i="13"/>
  <c r="BH193" i="13"/>
  <c r="BG193" i="13"/>
  <c r="BE193" i="13"/>
  <c r="T193" i="13"/>
  <c r="R193" i="13"/>
  <c r="P193" i="13"/>
  <c r="BI192" i="13"/>
  <c r="BH192" i="13"/>
  <c r="BG192" i="13"/>
  <c r="BE192" i="13"/>
  <c r="T192" i="13"/>
  <c r="R192" i="13"/>
  <c r="P192" i="13"/>
  <c r="BI191" i="13"/>
  <c r="BH191" i="13"/>
  <c r="BG191" i="13"/>
  <c r="BE191" i="13"/>
  <c r="T191" i="13"/>
  <c r="R191" i="13"/>
  <c r="P191" i="13"/>
  <c r="BI190" i="13"/>
  <c r="BH190" i="13"/>
  <c r="BG190" i="13"/>
  <c r="BE190" i="13"/>
  <c r="T190" i="13"/>
  <c r="R190" i="13"/>
  <c r="P190" i="13"/>
  <c r="BI189" i="13"/>
  <c r="BH189" i="13"/>
  <c r="BG189" i="13"/>
  <c r="BE189" i="13"/>
  <c r="T189" i="13"/>
  <c r="R189" i="13"/>
  <c r="P189" i="13"/>
  <c r="BI188" i="13"/>
  <c r="BH188" i="13"/>
  <c r="BG188" i="13"/>
  <c r="BE188" i="13"/>
  <c r="T188" i="13"/>
  <c r="R188" i="13"/>
  <c r="P188" i="13"/>
  <c r="BI187" i="13"/>
  <c r="BH187" i="13"/>
  <c r="BG187" i="13"/>
  <c r="BE187" i="13"/>
  <c r="T187" i="13"/>
  <c r="R187" i="13"/>
  <c r="P187" i="13"/>
  <c r="BI184" i="13"/>
  <c r="BH184" i="13"/>
  <c r="BG184" i="13"/>
  <c r="BE184" i="13"/>
  <c r="T184" i="13"/>
  <c r="R184" i="13"/>
  <c r="P184" i="13"/>
  <c r="BI183" i="13"/>
  <c r="BH183" i="13"/>
  <c r="BG183" i="13"/>
  <c r="BE183" i="13"/>
  <c r="T183" i="13"/>
  <c r="R183" i="13"/>
  <c r="P183" i="13"/>
  <c r="BI181" i="13"/>
  <c r="BH181" i="13"/>
  <c r="BG181" i="13"/>
  <c r="BE181" i="13"/>
  <c r="T181" i="13"/>
  <c r="R181" i="13"/>
  <c r="P181" i="13"/>
  <c r="BI180" i="13"/>
  <c r="BH180" i="13"/>
  <c r="BG180" i="13"/>
  <c r="BE180" i="13"/>
  <c r="T180" i="13"/>
  <c r="R180" i="13"/>
  <c r="P180" i="13"/>
  <c r="BI179" i="13"/>
  <c r="BH179" i="13"/>
  <c r="BG179" i="13"/>
  <c r="BE179" i="13"/>
  <c r="T179" i="13"/>
  <c r="R179" i="13"/>
  <c r="P179" i="13"/>
  <c r="BI178" i="13"/>
  <c r="BH178" i="13"/>
  <c r="BG178" i="13"/>
  <c r="BE178" i="13"/>
  <c r="T178" i="13"/>
  <c r="R178" i="13"/>
  <c r="P178" i="13"/>
  <c r="BI177" i="13"/>
  <c r="BH177" i="13"/>
  <c r="BG177" i="13"/>
  <c r="BE177" i="13"/>
  <c r="T177" i="13"/>
  <c r="R177" i="13"/>
  <c r="P177" i="13"/>
  <c r="BI176" i="13"/>
  <c r="BH176" i="13"/>
  <c r="BG176" i="13"/>
  <c r="BE176" i="13"/>
  <c r="T176" i="13"/>
  <c r="R176" i="13"/>
  <c r="P176" i="13"/>
  <c r="BI175" i="13"/>
  <c r="BH175" i="13"/>
  <c r="BG175" i="13"/>
  <c r="BE175" i="13"/>
  <c r="T175" i="13"/>
  <c r="R175" i="13"/>
  <c r="P175" i="13"/>
  <c r="BI174" i="13"/>
  <c r="BH174" i="13"/>
  <c r="BG174" i="13"/>
  <c r="BE174" i="13"/>
  <c r="T174" i="13"/>
  <c r="R174" i="13"/>
  <c r="P174" i="13"/>
  <c r="BI172" i="13"/>
  <c r="BH172" i="13"/>
  <c r="BG172" i="13"/>
  <c r="BE172" i="13"/>
  <c r="T172" i="13"/>
  <c r="R172" i="13"/>
  <c r="P172" i="13"/>
  <c r="BI171" i="13"/>
  <c r="BH171" i="13"/>
  <c r="BG171" i="13"/>
  <c r="BE171" i="13"/>
  <c r="T171" i="13"/>
  <c r="R171" i="13"/>
  <c r="P171" i="13"/>
  <c r="BI170" i="13"/>
  <c r="BH170" i="13"/>
  <c r="BG170" i="13"/>
  <c r="BE170" i="13"/>
  <c r="T170" i="13"/>
  <c r="R170" i="13"/>
  <c r="P170" i="13"/>
  <c r="BI169" i="13"/>
  <c r="BH169" i="13"/>
  <c r="BG169" i="13"/>
  <c r="BE169" i="13"/>
  <c r="T169" i="13"/>
  <c r="R169" i="13"/>
  <c r="P169" i="13"/>
  <c r="BI168" i="13"/>
  <c r="BH168" i="13"/>
  <c r="BG168" i="13"/>
  <c r="BE168" i="13"/>
  <c r="T168" i="13"/>
  <c r="R168" i="13"/>
  <c r="P168" i="13"/>
  <c r="BI167" i="13"/>
  <c r="BH167" i="13"/>
  <c r="BG167" i="13"/>
  <c r="BE167" i="13"/>
  <c r="T167" i="13"/>
  <c r="R167" i="13"/>
  <c r="P167" i="13"/>
  <c r="BI166" i="13"/>
  <c r="BH166" i="13"/>
  <c r="BG166" i="13"/>
  <c r="BE166" i="13"/>
  <c r="T166" i="13"/>
  <c r="R166" i="13"/>
  <c r="P166" i="13"/>
  <c r="BI165" i="13"/>
  <c r="BH165" i="13"/>
  <c r="BG165" i="13"/>
  <c r="BE165" i="13"/>
  <c r="T165" i="13"/>
  <c r="R165" i="13"/>
  <c r="P165" i="13"/>
  <c r="BI164" i="13"/>
  <c r="BH164" i="13"/>
  <c r="BG164" i="13"/>
  <c r="BE164" i="13"/>
  <c r="T164" i="13"/>
  <c r="R164" i="13"/>
  <c r="P164" i="13"/>
  <c r="BI163" i="13"/>
  <c r="BH163" i="13"/>
  <c r="BG163" i="13"/>
  <c r="BE163" i="13"/>
  <c r="T163" i="13"/>
  <c r="R163" i="13"/>
  <c r="P163" i="13"/>
  <c r="BI162" i="13"/>
  <c r="BH162" i="13"/>
  <c r="BG162" i="13"/>
  <c r="BE162" i="13"/>
  <c r="T162" i="13"/>
  <c r="R162" i="13"/>
  <c r="P162" i="13"/>
  <c r="BI161" i="13"/>
  <c r="BH161" i="13"/>
  <c r="BG161" i="13"/>
  <c r="BE161" i="13"/>
  <c r="T161" i="13"/>
  <c r="R161" i="13"/>
  <c r="P161" i="13"/>
  <c r="BI160" i="13"/>
  <c r="BH160" i="13"/>
  <c r="BG160" i="13"/>
  <c r="BE160" i="13"/>
  <c r="T160" i="13"/>
  <c r="R160" i="13"/>
  <c r="P160" i="13"/>
  <c r="BI159" i="13"/>
  <c r="BH159" i="13"/>
  <c r="BG159" i="13"/>
  <c r="BE159" i="13"/>
  <c r="T159" i="13"/>
  <c r="R159" i="13"/>
  <c r="P159" i="13"/>
  <c r="BI158" i="13"/>
  <c r="BH158" i="13"/>
  <c r="BG158" i="13"/>
  <c r="BE158" i="13"/>
  <c r="T158" i="13"/>
  <c r="R158" i="13"/>
  <c r="P158" i="13"/>
  <c r="BI156" i="13"/>
  <c r="BH156" i="13"/>
  <c r="BG156" i="13"/>
  <c r="BE156" i="13"/>
  <c r="T156" i="13"/>
  <c r="R156" i="13"/>
  <c r="P156" i="13"/>
  <c r="BI155" i="13"/>
  <c r="BH155" i="13"/>
  <c r="BG155" i="13"/>
  <c r="BE155" i="13"/>
  <c r="T155" i="13"/>
  <c r="R155" i="13"/>
  <c r="P155" i="13"/>
  <c r="BI154" i="13"/>
  <c r="BH154" i="13"/>
  <c r="BG154" i="13"/>
  <c r="BE154" i="13"/>
  <c r="T154" i="13"/>
  <c r="R154" i="13"/>
  <c r="P154" i="13"/>
  <c r="BI153" i="13"/>
  <c r="BH153" i="13"/>
  <c r="BG153" i="13"/>
  <c r="BE153" i="13"/>
  <c r="T153" i="13"/>
  <c r="R153" i="13"/>
  <c r="P153" i="13"/>
  <c r="BI151" i="13"/>
  <c r="BH151" i="13"/>
  <c r="BG151" i="13"/>
  <c r="BE151" i="13"/>
  <c r="T151" i="13"/>
  <c r="R151" i="13"/>
  <c r="P151" i="13"/>
  <c r="BI150" i="13"/>
  <c r="BH150" i="13"/>
  <c r="BG150" i="13"/>
  <c r="BE150" i="13"/>
  <c r="T150" i="13"/>
  <c r="R150" i="13"/>
  <c r="P150" i="13"/>
  <c r="BI148" i="13"/>
  <c r="BH148" i="13"/>
  <c r="BG148" i="13"/>
  <c r="BE148" i="13"/>
  <c r="T148" i="13"/>
  <c r="R148" i="13"/>
  <c r="P148" i="13"/>
  <c r="BI147" i="13"/>
  <c r="BH147" i="13"/>
  <c r="BG147" i="13"/>
  <c r="BE147" i="13"/>
  <c r="T147" i="13"/>
  <c r="R147" i="13"/>
  <c r="P147" i="13"/>
  <c r="BI146" i="13"/>
  <c r="BH146" i="13"/>
  <c r="BG146" i="13"/>
  <c r="BE146" i="13"/>
  <c r="T146" i="13"/>
  <c r="R146" i="13"/>
  <c r="P146" i="13"/>
  <c r="BI145" i="13"/>
  <c r="BH145" i="13"/>
  <c r="BG145" i="13"/>
  <c r="BE145" i="13"/>
  <c r="T145" i="13"/>
  <c r="R145" i="13"/>
  <c r="P145" i="13"/>
  <c r="BI144" i="13"/>
  <c r="BH144" i="13"/>
  <c r="BG144" i="13"/>
  <c r="BE144" i="13"/>
  <c r="T144" i="13"/>
  <c r="R144" i="13"/>
  <c r="P144" i="13"/>
  <c r="BI143" i="13"/>
  <c r="BH143" i="13"/>
  <c r="BG143" i="13"/>
  <c r="BE143" i="13"/>
  <c r="T143" i="13"/>
  <c r="R143" i="13"/>
  <c r="P143" i="13"/>
  <c r="BI142" i="13"/>
  <c r="BH142" i="13"/>
  <c r="BG142" i="13"/>
  <c r="BE142" i="13"/>
  <c r="T142" i="13"/>
  <c r="R142" i="13"/>
  <c r="P142" i="13"/>
  <c r="BI141" i="13"/>
  <c r="BH141" i="13"/>
  <c r="BG141" i="13"/>
  <c r="BE141" i="13"/>
  <c r="T141" i="13"/>
  <c r="R141" i="13"/>
  <c r="P141" i="13"/>
  <c r="BI140" i="13"/>
  <c r="BH140" i="13"/>
  <c r="BG140" i="13"/>
  <c r="BE140" i="13"/>
  <c r="T140" i="13"/>
  <c r="R140" i="13"/>
  <c r="P140" i="13"/>
  <c r="BI139" i="13"/>
  <c r="BH139" i="13"/>
  <c r="BG139" i="13"/>
  <c r="BE139" i="13"/>
  <c r="T139" i="13"/>
  <c r="R139" i="13"/>
  <c r="P139" i="13"/>
  <c r="BI138" i="13"/>
  <c r="BH138" i="13"/>
  <c r="BG138" i="13"/>
  <c r="BE138" i="13"/>
  <c r="T138" i="13"/>
  <c r="R138" i="13"/>
  <c r="P138" i="13"/>
  <c r="BI137" i="13"/>
  <c r="BH137" i="13"/>
  <c r="BG137" i="13"/>
  <c r="BE137" i="13"/>
  <c r="T137" i="13"/>
  <c r="R137" i="13"/>
  <c r="P137" i="13"/>
  <c r="BI136" i="13"/>
  <c r="BH136" i="13"/>
  <c r="BG136" i="13"/>
  <c r="BE136" i="13"/>
  <c r="T136" i="13"/>
  <c r="R136" i="13"/>
  <c r="P136" i="13"/>
  <c r="BI135" i="13"/>
  <c r="BH135" i="13"/>
  <c r="BG135" i="13"/>
  <c r="BE135" i="13"/>
  <c r="T135" i="13"/>
  <c r="R135" i="13"/>
  <c r="P135" i="13"/>
  <c r="F126" i="13"/>
  <c r="E124" i="13"/>
  <c r="F91" i="13"/>
  <c r="E89" i="13"/>
  <c r="J26" i="13"/>
  <c r="E26" i="13"/>
  <c r="J129" i="13" s="1"/>
  <c r="J25" i="13"/>
  <c r="J23" i="13"/>
  <c r="E23" i="13"/>
  <c r="J128" i="13" s="1"/>
  <c r="J22" i="13"/>
  <c r="J20" i="13"/>
  <c r="E20" i="13"/>
  <c r="F94" i="13"/>
  <c r="J19" i="13"/>
  <c r="J17" i="13"/>
  <c r="E17" i="13"/>
  <c r="F128" i="13" s="1"/>
  <c r="J16" i="13"/>
  <c r="J14" i="13"/>
  <c r="J126" i="13" s="1"/>
  <c r="E7" i="13"/>
  <c r="E85" i="13" s="1"/>
  <c r="J39" i="12"/>
  <c r="J38" i="12"/>
  <c r="AY107" i="1" s="1"/>
  <c r="J37" i="12"/>
  <c r="AX107" i="1"/>
  <c r="BI194" i="12"/>
  <c r="BH194" i="12"/>
  <c r="BG194" i="12"/>
  <c r="BE194" i="12"/>
  <c r="T194" i="12"/>
  <c r="T193" i="12" s="1"/>
  <c r="R194" i="12"/>
  <c r="R193" i="12"/>
  <c r="P194" i="12"/>
  <c r="P193" i="12" s="1"/>
  <c r="BI192" i="12"/>
  <c r="BH192" i="12"/>
  <c r="BG192" i="12"/>
  <c r="BE192" i="12"/>
  <c r="T192" i="12"/>
  <c r="R192" i="12"/>
  <c r="P192" i="12"/>
  <c r="BI191" i="12"/>
  <c r="BH191" i="12"/>
  <c r="BG191" i="12"/>
  <c r="BE191" i="12"/>
  <c r="T191" i="12"/>
  <c r="R191" i="12"/>
  <c r="P191" i="12"/>
  <c r="BI190" i="12"/>
  <c r="BH190" i="12"/>
  <c r="BG190" i="12"/>
  <c r="BE190" i="12"/>
  <c r="T190" i="12"/>
  <c r="R190" i="12"/>
  <c r="P190" i="12"/>
  <c r="BI189" i="12"/>
  <c r="BH189" i="12"/>
  <c r="BG189" i="12"/>
  <c r="BE189" i="12"/>
  <c r="T189" i="12"/>
  <c r="R189" i="12"/>
  <c r="P189" i="12"/>
  <c r="BI188" i="12"/>
  <c r="BH188" i="12"/>
  <c r="BG188" i="12"/>
  <c r="BE188" i="12"/>
  <c r="T188" i="12"/>
  <c r="R188" i="12"/>
  <c r="P188" i="12"/>
  <c r="BI187" i="12"/>
  <c r="BH187" i="12"/>
  <c r="BG187" i="12"/>
  <c r="BE187" i="12"/>
  <c r="T187" i="12"/>
  <c r="R187" i="12"/>
  <c r="P187" i="12"/>
  <c r="BI185" i="12"/>
  <c r="BH185" i="12"/>
  <c r="BG185" i="12"/>
  <c r="BE185" i="12"/>
  <c r="T185" i="12"/>
  <c r="R185" i="12"/>
  <c r="P185" i="12"/>
  <c r="BI184" i="12"/>
  <c r="BH184" i="12"/>
  <c r="BG184" i="12"/>
  <c r="BE184" i="12"/>
  <c r="T184" i="12"/>
  <c r="R184" i="12"/>
  <c r="P184" i="12"/>
  <c r="BI183" i="12"/>
  <c r="BH183" i="12"/>
  <c r="BG183" i="12"/>
  <c r="BE183" i="12"/>
  <c r="T183" i="12"/>
  <c r="R183" i="12"/>
  <c r="P183" i="12"/>
  <c r="BI182" i="12"/>
  <c r="BH182" i="12"/>
  <c r="BG182" i="12"/>
  <c r="BE182" i="12"/>
  <c r="T182" i="12"/>
  <c r="R182" i="12"/>
  <c r="P182" i="12"/>
  <c r="BI179" i="12"/>
  <c r="BH179" i="12"/>
  <c r="BG179" i="12"/>
  <c r="BE179" i="12"/>
  <c r="T179" i="12"/>
  <c r="R179" i="12"/>
  <c r="P179" i="12"/>
  <c r="BI178" i="12"/>
  <c r="BH178" i="12"/>
  <c r="BG178" i="12"/>
  <c r="BE178" i="12"/>
  <c r="T178" i="12"/>
  <c r="R178" i="12"/>
  <c r="P178" i="12"/>
  <c r="BI176" i="12"/>
  <c r="BH176" i="12"/>
  <c r="BG176" i="12"/>
  <c r="BE176" i="12"/>
  <c r="T176" i="12"/>
  <c r="R176" i="12"/>
  <c r="P176" i="12"/>
  <c r="BI175" i="12"/>
  <c r="BH175" i="12"/>
  <c r="BG175" i="12"/>
  <c r="BE175" i="12"/>
  <c r="T175" i="12"/>
  <c r="R175" i="12"/>
  <c r="P175" i="12"/>
  <c r="BI174" i="12"/>
  <c r="BH174" i="12"/>
  <c r="BG174" i="12"/>
  <c r="BE174" i="12"/>
  <c r="T174" i="12"/>
  <c r="R174" i="12"/>
  <c r="P174" i="12"/>
  <c r="BI173" i="12"/>
  <c r="BH173" i="12"/>
  <c r="BG173" i="12"/>
  <c r="BE173" i="12"/>
  <c r="T173" i="12"/>
  <c r="R173" i="12"/>
  <c r="P173" i="12"/>
  <c r="BI172" i="12"/>
  <c r="BH172" i="12"/>
  <c r="BG172" i="12"/>
  <c r="BE172" i="12"/>
  <c r="T172" i="12"/>
  <c r="R172" i="12"/>
  <c r="P172" i="12"/>
  <c r="BI171" i="12"/>
  <c r="BH171" i="12"/>
  <c r="BG171" i="12"/>
  <c r="BE171" i="12"/>
  <c r="T171" i="12"/>
  <c r="R171" i="12"/>
  <c r="P171" i="12"/>
  <c r="BI170" i="12"/>
  <c r="BH170" i="12"/>
  <c r="BG170" i="12"/>
  <c r="BE170" i="12"/>
  <c r="T170" i="12"/>
  <c r="R170" i="12"/>
  <c r="P170" i="12"/>
  <c r="BI168" i="12"/>
  <c r="BH168" i="12"/>
  <c r="BG168" i="12"/>
  <c r="BE168" i="12"/>
  <c r="T168" i="12"/>
  <c r="R168" i="12"/>
  <c r="P168" i="12"/>
  <c r="BI167" i="12"/>
  <c r="BH167" i="12"/>
  <c r="BG167" i="12"/>
  <c r="BE167" i="12"/>
  <c r="T167" i="12"/>
  <c r="R167" i="12"/>
  <c r="P167" i="12"/>
  <c r="BI166" i="12"/>
  <c r="BH166" i="12"/>
  <c r="BG166" i="12"/>
  <c r="BE166" i="12"/>
  <c r="T166" i="12"/>
  <c r="R166" i="12"/>
  <c r="P166" i="12"/>
  <c r="BI165" i="12"/>
  <c r="BH165" i="12"/>
  <c r="BG165" i="12"/>
  <c r="BE165" i="12"/>
  <c r="T165" i="12"/>
  <c r="R165" i="12"/>
  <c r="P165" i="12"/>
  <c r="BI164" i="12"/>
  <c r="BH164" i="12"/>
  <c r="BG164" i="12"/>
  <c r="BE164" i="12"/>
  <c r="T164" i="12"/>
  <c r="R164" i="12"/>
  <c r="P164" i="12"/>
  <c r="BI163" i="12"/>
  <c r="BH163" i="12"/>
  <c r="BG163" i="12"/>
  <c r="BE163" i="12"/>
  <c r="T163" i="12"/>
  <c r="R163" i="12"/>
  <c r="P163" i="12"/>
  <c r="BI162" i="12"/>
  <c r="BH162" i="12"/>
  <c r="BG162" i="12"/>
  <c r="BE162" i="12"/>
  <c r="T162" i="12"/>
  <c r="R162" i="12"/>
  <c r="P162" i="12"/>
  <c r="BI161" i="12"/>
  <c r="BH161" i="12"/>
  <c r="BG161" i="12"/>
  <c r="BE161" i="12"/>
  <c r="T161" i="12"/>
  <c r="R161" i="12"/>
  <c r="P161" i="12"/>
  <c r="BI160" i="12"/>
  <c r="BH160" i="12"/>
  <c r="BG160" i="12"/>
  <c r="BE160" i="12"/>
  <c r="T160" i="12"/>
  <c r="R160" i="12"/>
  <c r="P160" i="12"/>
  <c r="BI159" i="12"/>
  <c r="BH159" i="12"/>
  <c r="BG159" i="12"/>
  <c r="BE159" i="12"/>
  <c r="T159" i="12"/>
  <c r="R159" i="12"/>
  <c r="P159" i="12"/>
  <c r="BI158" i="12"/>
  <c r="BH158" i="12"/>
  <c r="BG158" i="12"/>
  <c r="BE158" i="12"/>
  <c r="T158" i="12"/>
  <c r="R158" i="12"/>
  <c r="P158" i="12"/>
  <c r="BI157" i="12"/>
  <c r="BH157" i="12"/>
  <c r="BG157" i="12"/>
  <c r="BE157" i="12"/>
  <c r="T157" i="12"/>
  <c r="R157" i="12"/>
  <c r="P157" i="12"/>
  <c r="BI155" i="12"/>
  <c r="BH155" i="12"/>
  <c r="BG155" i="12"/>
  <c r="BE155" i="12"/>
  <c r="T155" i="12"/>
  <c r="R155" i="12"/>
  <c r="P155" i="12"/>
  <c r="BI154" i="12"/>
  <c r="BH154" i="12"/>
  <c r="BG154" i="12"/>
  <c r="BE154" i="12"/>
  <c r="T154" i="12"/>
  <c r="R154" i="12"/>
  <c r="P154" i="12"/>
  <c r="BI153" i="12"/>
  <c r="BH153" i="12"/>
  <c r="BG153" i="12"/>
  <c r="BE153" i="12"/>
  <c r="T153" i="12"/>
  <c r="R153" i="12"/>
  <c r="P153" i="12"/>
  <c r="BI152" i="12"/>
  <c r="BH152" i="12"/>
  <c r="BG152" i="12"/>
  <c r="BE152" i="12"/>
  <c r="T152" i="12"/>
  <c r="R152" i="12"/>
  <c r="P152" i="12"/>
  <c r="BI150" i="12"/>
  <c r="BH150" i="12"/>
  <c r="BG150" i="12"/>
  <c r="BE150" i="12"/>
  <c r="T150" i="12"/>
  <c r="R150" i="12"/>
  <c r="P150" i="12"/>
  <c r="BI149" i="12"/>
  <c r="BH149" i="12"/>
  <c r="BG149" i="12"/>
  <c r="BE149" i="12"/>
  <c r="T149" i="12"/>
  <c r="R149" i="12"/>
  <c r="P149" i="12"/>
  <c r="BI147" i="12"/>
  <c r="BH147" i="12"/>
  <c r="BG147" i="12"/>
  <c r="BE147" i="12"/>
  <c r="T147" i="12"/>
  <c r="R147" i="12"/>
  <c r="P147" i="12"/>
  <c r="BI146" i="12"/>
  <c r="BH146" i="12"/>
  <c r="BG146" i="12"/>
  <c r="BE146" i="12"/>
  <c r="T146" i="12"/>
  <c r="R146" i="12"/>
  <c r="P146" i="12"/>
  <c r="BI145" i="12"/>
  <c r="BH145" i="12"/>
  <c r="BG145" i="12"/>
  <c r="BE145" i="12"/>
  <c r="T145" i="12"/>
  <c r="R145" i="12"/>
  <c r="P145" i="12"/>
  <c r="BI144" i="12"/>
  <c r="BH144" i="12"/>
  <c r="BG144" i="12"/>
  <c r="BE144" i="12"/>
  <c r="T144" i="12"/>
  <c r="R144" i="12"/>
  <c r="P144" i="12"/>
  <c r="BI143" i="12"/>
  <c r="BH143" i="12"/>
  <c r="BG143" i="12"/>
  <c r="BE143" i="12"/>
  <c r="T143" i="12"/>
  <c r="R143" i="12"/>
  <c r="P143" i="12"/>
  <c r="BI142" i="12"/>
  <c r="BH142" i="12"/>
  <c r="BG142" i="12"/>
  <c r="BE142" i="12"/>
  <c r="T142" i="12"/>
  <c r="R142" i="12"/>
  <c r="P142" i="12"/>
  <c r="BI141" i="12"/>
  <c r="BH141" i="12"/>
  <c r="BG141" i="12"/>
  <c r="BE141" i="12"/>
  <c r="T141" i="12"/>
  <c r="R141" i="12"/>
  <c r="P141" i="12"/>
  <c r="BI140" i="12"/>
  <c r="BH140" i="12"/>
  <c r="BG140" i="12"/>
  <c r="BE140" i="12"/>
  <c r="T140" i="12"/>
  <c r="R140" i="12"/>
  <c r="P140" i="12"/>
  <c r="BI139" i="12"/>
  <c r="BH139" i="12"/>
  <c r="BG139" i="12"/>
  <c r="BE139" i="12"/>
  <c r="T139" i="12"/>
  <c r="R139" i="12"/>
  <c r="P139" i="12"/>
  <c r="BI138" i="12"/>
  <c r="BH138" i="12"/>
  <c r="BG138" i="12"/>
  <c r="BE138" i="12"/>
  <c r="T138" i="12"/>
  <c r="R138" i="12"/>
  <c r="P138" i="12"/>
  <c r="BI137" i="12"/>
  <c r="BH137" i="12"/>
  <c r="BG137" i="12"/>
  <c r="BE137" i="12"/>
  <c r="T137" i="12"/>
  <c r="R137" i="12"/>
  <c r="P137" i="12"/>
  <c r="BI136" i="12"/>
  <c r="BH136" i="12"/>
  <c r="BG136" i="12"/>
  <c r="BE136" i="12"/>
  <c r="T136" i="12"/>
  <c r="R136" i="12"/>
  <c r="P136" i="12"/>
  <c r="BI135" i="12"/>
  <c r="BH135" i="12"/>
  <c r="BG135" i="12"/>
  <c r="BE135" i="12"/>
  <c r="T135" i="12"/>
  <c r="R135" i="12"/>
  <c r="P135" i="12"/>
  <c r="BI134" i="12"/>
  <c r="BH134" i="12"/>
  <c r="BG134" i="12"/>
  <c r="BE134" i="12"/>
  <c r="T134" i="12"/>
  <c r="R134" i="12"/>
  <c r="P134" i="12"/>
  <c r="F125" i="12"/>
  <c r="E123" i="12"/>
  <c r="F91" i="12"/>
  <c r="E89" i="12"/>
  <c r="J26" i="12"/>
  <c r="E26" i="12"/>
  <c r="J94" i="12" s="1"/>
  <c r="J25" i="12"/>
  <c r="J23" i="12"/>
  <c r="E23" i="12"/>
  <c r="J127" i="12" s="1"/>
  <c r="J22" i="12"/>
  <c r="J20" i="12"/>
  <c r="E20" i="12"/>
  <c r="F128" i="12" s="1"/>
  <c r="J19" i="12"/>
  <c r="J17" i="12"/>
  <c r="E17" i="12"/>
  <c r="F127" i="12" s="1"/>
  <c r="J16" i="12"/>
  <c r="J14" i="12"/>
  <c r="J125" i="12" s="1"/>
  <c r="E7" i="12"/>
  <c r="E119" i="12" s="1"/>
  <c r="J39" i="11"/>
  <c r="J38" i="11"/>
  <c r="AY106" i="1" s="1"/>
  <c r="J37" i="11"/>
  <c r="AX106" i="1" s="1"/>
  <c r="BI146" i="11"/>
  <c r="BH146" i="11"/>
  <c r="BG146" i="11"/>
  <c r="BE146" i="11"/>
  <c r="T146" i="11"/>
  <c r="R146" i="11"/>
  <c r="P146" i="11"/>
  <c r="BI145" i="11"/>
  <c r="BH145" i="11"/>
  <c r="BG145" i="11"/>
  <c r="BE145" i="11"/>
  <c r="T145" i="11"/>
  <c r="R145" i="11"/>
  <c r="P145" i="11"/>
  <c r="BI144" i="11"/>
  <c r="BH144" i="11"/>
  <c r="BG144" i="11"/>
  <c r="BE144" i="11"/>
  <c r="T144" i="11"/>
  <c r="R144" i="11"/>
  <c r="P144" i="11"/>
  <c r="BI139" i="11"/>
  <c r="BH139" i="11"/>
  <c r="BG139" i="11"/>
  <c r="BE139" i="11"/>
  <c r="T139" i="11"/>
  <c r="R139" i="11"/>
  <c r="P139" i="11"/>
  <c r="BI134" i="11"/>
  <c r="BH134" i="11"/>
  <c r="BG134" i="11"/>
  <c r="BE134" i="11"/>
  <c r="T134" i="11"/>
  <c r="R134" i="11"/>
  <c r="P134" i="11"/>
  <c r="BI132" i="11"/>
  <c r="BH132" i="11"/>
  <c r="BG132" i="11"/>
  <c r="BE132" i="11"/>
  <c r="T132" i="11"/>
  <c r="R132" i="11"/>
  <c r="P132" i="11"/>
  <c r="BI131" i="11"/>
  <c r="BH131" i="11"/>
  <c r="BG131" i="11"/>
  <c r="BE131" i="11"/>
  <c r="T131" i="11"/>
  <c r="R131" i="11"/>
  <c r="P131" i="11"/>
  <c r="BI126" i="11"/>
  <c r="BH126" i="11"/>
  <c r="BG126" i="11"/>
  <c r="BE126" i="11"/>
  <c r="T126" i="11"/>
  <c r="R126" i="11"/>
  <c r="P126" i="11"/>
  <c r="F117" i="11"/>
  <c r="E115" i="11"/>
  <c r="F91" i="11"/>
  <c r="E89" i="11"/>
  <c r="J26" i="11"/>
  <c r="E26" i="11"/>
  <c r="J94" i="11" s="1"/>
  <c r="J25" i="11"/>
  <c r="J23" i="11"/>
  <c r="E23" i="11"/>
  <c r="J93" i="11" s="1"/>
  <c r="J22" i="11"/>
  <c r="J20" i="11"/>
  <c r="E20" i="11"/>
  <c r="F120" i="11" s="1"/>
  <c r="J19" i="11"/>
  <c r="J17" i="11"/>
  <c r="E17" i="11"/>
  <c r="J16" i="11"/>
  <c r="J14" i="11"/>
  <c r="J117" i="11" s="1"/>
  <c r="E7" i="11"/>
  <c r="E85" i="11" s="1"/>
  <c r="J39" i="10"/>
  <c r="J38" i="10"/>
  <c r="AY104" i="1"/>
  <c r="J37" i="10"/>
  <c r="AX104" i="1" s="1"/>
  <c r="BI448" i="10"/>
  <c r="BH448" i="10"/>
  <c r="BG448" i="10"/>
  <c r="BE448" i="10"/>
  <c r="T448" i="10"/>
  <c r="T447" i="10" s="1"/>
  <c r="R448" i="10"/>
  <c r="R447" i="10" s="1"/>
  <c r="P448" i="10"/>
  <c r="P447" i="10" s="1"/>
  <c r="BI446" i="10"/>
  <c r="BH446" i="10"/>
  <c r="BG446" i="10"/>
  <c r="BE446" i="10"/>
  <c r="T446" i="10"/>
  <c r="R446" i="10"/>
  <c r="P446" i="10"/>
  <c r="BI445" i="10"/>
  <c r="BH445" i="10"/>
  <c r="BG445" i="10"/>
  <c r="BE445" i="10"/>
  <c r="T445" i="10"/>
  <c r="R445" i="10"/>
  <c r="P445" i="10"/>
  <c r="BI444" i="10"/>
  <c r="BH444" i="10"/>
  <c r="BG444" i="10"/>
  <c r="BE444" i="10"/>
  <c r="T444" i="10"/>
  <c r="R444" i="10"/>
  <c r="P444" i="10"/>
  <c r="BI443" i="10"/>
  <c r="BH443" i="10"/>
  <c r="BG443" i="10"/>
  <c r="BE443" i="10"/>
  <c r="T443" i="10"/>
  <c r="R443" i="10"/>
  <c r="P443" i="10"/>
  <c r="BI441" i="10"/>
  <c r="BH441" i="10"/>
  <c r="BG441" i="10"/>
  <c r="BE441" i="10"/>
  <c r="T441" i="10"/>
  <c r="R441" i="10"/>
  <c r="P441" i="10"/>
  <c r="BI440" i="10"/>
  <c r="BH440" i="10"/>
  <c r="BG440" i="10"/>
  <c r="BE440" i="10"/>
  <c r="T440" i="10"/>
  <c r="R440" i="10"/>
  <c r="P440" i="10"/>
  <c r="BI439" i="10"/>
  <c r="BH439" i="10"/>
  <c r="BG439" i="10"/>
  <c r="BE439" i="10"/>
  <c r="T439" i="10"/>
  <c r="R439" i="10"/>
  <c r="P439" i="10"/>
  <c r="BI438" i="10"/>
  <c r="BH438" i="10"/>
  <c r="BG438" i="10"/>
  <c r="BE438" i="10"/>
  <c r="T438" i="10"/>
  <c r="R438" i="10"/>
  <c r="P438" i="10"/>
  <c r="BI437" i="10"/>
  <c r="BH437" i="10"/>
  <c r="BG437" i="10"/>
  <c r="BE437" i="10"/>
  <c r="T437" i="10"/>
  <c r="R437" i="10"/>
  <c r="P437" i="10"/>
  <c r="BI436" i="10"/>
  <c r="BH436" i="10"/>
  <c r="BG436" i="10"/>
  <c r="BE436" i="10"/>
  <c r="T436" i="10"/>
  <c r="R436" i="10"/>
  <c r="P436" i="10"/>
  <c r="BI435" i="10"/>
  <c r="BH435" i="10"/>
  <c r="BG435" i="10"/>
  <c r="BE435" i="10"/>
  <c r="T435" i="10"/>
  <c r="R435" i="10"/>
  <c r="P435" i="10"/>
  <c r="BI434" i="10"/>
  <c r="BH434" i="10"/>
  <c r="BG434" i="10"/>
  <c r="BE434" i="10"/>
  <c r="T434" i="10"/>
  <c r="R434" i="10"/>
  <c r="P434" i="10"/>
  <c r="BI433" i="10"/>
  <c r="BH433" i="10"/>
  <c r="BG433" i="10"/>
  <c r="BE433" i="10"/>
  <c r="T433" i="10"/>
  <c r="R433" i="10"/>
  <c r="P433" i="10"/>
  <c r="BI432" i="10"/>
  <c r="BH432" i="10"/>
  <c r="BG432" i="10"/>
  <c r="BE432" i="10"/>
  <c r="T432" i="10"/>
  <c r="R432" i="10"/>
  <c r="P432" i="10"/>
  <c r="BI431" i="10"/>
  <c r="BH431" i="10"/>
  <c r="BG431" i="10"/>
  <c r="BE431" i="10"/>
  <c r="T431" i="10"/>
  <c r="R431" i="10"/>
  <c r="P431" i="10"/>
  <c r="BI430" i="10"/>
  <c r="BH430" i="10"/>
  <c r="BG430" i="10"/>
  <c r="BE430" i="10"/>
  <c r="T430" i="10"/>
  <c r="R430" i="10"/>
  <c r="P430" i="10"/>
  <c r="BI429" i="10"/>
  <c r="BH429" i="10"/>
  <c r="BG429" i="10"/>
  <c r="BE429" i="10"/>
  <c r="T429" i="10"/>
  <c r="R429" i="10"/>
  <c r="P429" i="10"/>
  <c r="BI428" i="10"/>
  <c r="BH428" i="10"/>
  <c r="BG428" i="10"/>
  <c r="BE428" i="10"/>
  <c r="T428" i="10"/>
  <c r="R428" i="10"/>
  <c r="P428" i="10"/>
  <c r="BI427" i="10"/>
  <c r="BH427" i="10"/>
  <c r="BG427" i="10"/>
  <c r="BE427" i="10"/>
  <c r="T427" i="10"/>
  <c r="R427" i="10"/>
  <c r="P427" i="10"/>
  <c r="BI426" i="10"/>
  <c r="BH426" i="10"/>
  <c r="BG426" i="10"/>
  <c r="BE426" i="10"/>
  <c r="T426" i="10"/>
  <c r="R426" i="10"/>
  <c r="P426" i="10"/>
  <c r="BI425" i="10"/>
  <c r="BH425" i="10"/>
  <c r="BG425" i="10"/>
  <c r="BE425" i="10"/>
  <c r="T425" i="10"/>
  <c r="R425" i="10"/>
  <c r="P425" i="10"/>
  <c r="BI424" i="10"/>
  <c r="BH424" i="10"/>
  <c r="BG424" i="10"/>
  <c r="BE424" i="10"/>
  <c r="T424" i="10"/>
  <c r="R424" i="10"/>
  <c r="P424" i="10"/>
  <c r="BI423" i="10"/>
  <c r="BH423" i="10"/>
  <c r="BG423" i="10"/>
  <c r="BE423" i="10"/>
  <c r="T423" i="10"/>
  <c r="R423" i="10"/>
  <c r="P423" i="10"/>
  <c r="BI421" i="10"/>
  <c r="BH421" i="10"/>
  <c r="BG421" i="10"/>
  <c r="BE421" i="10"/>
  <c r="T421" i="10"/>
  <c r="R421" i="10"/>
  <c r="P421" i="10"/>
  <c r="BI420" i="10"/>
  <c r="BH420" i="10"/>
  <c r="BG420" i="10"/>
  <c r="BE420" i="10"/>
  <c r="T420" i="10"/>
  <c r="R420" i="10"/>
  <c r="P420" i="10"/>
  <c r="BI419" i="10"/>
  <c r="BH419" i="10"/>
  <c r="BG419" i="10"/>
  <c r="BE419" i="10"/>
  <c r="T419" i="10"/>
  <c r="R419" i="10"/>
  <c r="P419" i="10"/>
  <c r="BI418" i="10"/>
  <c r="BH418" i="10"/>
  <c r="BG418" i="10"/>
  <c r="BE418" i="10"/>
  <c r="T418" i="10"/>
  <c r="R418" i="10"/>
  <c r="P418" i="10"/>
  <c r="BI416" i="10"/>
  <c r="BH416" i="10"/>
  <c r="BG416" i="10"/>
  <c r="BE416" i="10"/>
  <c r="T416" i="10"/>
  <c r="R416" i="10"/>
  <c r="P416" i="10"/>
  <c r="BI415" i="10"/>
  <c r="BH415" i="10"/>
  <c r="BG415" i="10"/>
  <c r="BE415" i="10"/>
  <c r="T415" i="10"/>
  <c r="R415" i="10"/>
  <c r="P415" i="10"/>
  <c r="BI414" i="10"/>
  <c r="BH414" i="10"/>
  <c r="BG414" i="10"/>
  <c r="BE414" i="10"/>
  <c r="T414" i="10"/>
  <c r="R414" i="10"/>
  <c r="P414" i="10"/>
  <c r="BI412" i="10"/>
  <c r="BH412" i="10"/>
  <c r="BG412" i="10"/>
  <c r="BE412" i="10"/>
  <c r="T412" i="10"/>
  <c r="R412" i="10"/>
  <c r="P412" i="10"/>
  <c r="BI411" i="10"/>
  <c r="BH411" i="10"/>
  <c r="BG411" i="10"/>
  <c r="BE411" i="10"/>
  <c r="T411" i="10"/>
  <c r="R411" i="10"/>
  <c r="P411" i="10"/>
  <c r="BI410" i="10"/>
  <c r="BH410" i="10"/>
  <c r="BG410" i="10"/>
  <c r="BE410" i="10"/>
  <c r="T410" i="10"/>
  <c r="R410" i="10"/>
  <c r="P410" i="10"/>
  <c r="BI409" i="10"/>
  <c r="BH409" i="10"/>
  <c r="BG409" i="10"/>
  <c r="BE409" i="10"/>
  <c r="T409" i="10"/>
  <c r="R409" i="10"/>
  <c r="P409" i="10"/>
  <c r="BI408" i="10"/>
  <c r="BH408" i="10"/>
  <c r="BG408" i="10"/>
  <c r="BE408" i="10"/>
  <c r="T408" i="10"/>
  <c r="R408" i="10"/>
  <c r="P408" i="10"/>
  <c r="BI407" i="10"/>
  <c r="BH407" i="10"/>
  <c r="BG407" i="10"/>
  <c r="BE407" i="10"/>
  <c r="T407" i="10"/>
  <c r="R407" i="10"/>
  <c r="P407" i="10"/>
  <c r="BI406" i="10"/>
  <c r="BH406" i="10"/>
  <c r="BG406" i="10"/>
  <c r="BE406" i="10"/>
  <c r="T406" i="10"/>
  <c r="R406" i="10"/>
  <c r="P406" i="10"/>
  <c r="BI405" i="10"/>
  <c r="BH405" i="10"/>
  <c r="BG405" i="10"/>
  <c r="BE405" i="10"/>
  <c r="T405" i="10"/>
  <c r="R405" i="10"/>
  <c r="P405" i="10"/>
  <c r="BI404" i="10"/>
  <c r="BH404" i="10"/>
  <c r="BG404" i="10"/>
  <c r="BE404" i="10"/>
  <c r="T404" i="10"/>
  <c r="R404" i="10"/>
  <c r="P404" i="10"/>
  <c r="BI403" i="10"/>
  <c r="BH403" i="10"/>
  <c r="BG403" i="10"/>
  <c r="BE403" i="10"/>
  <c r="T403" i="10"/>
  <c r="R403" i="10"/>
  <c r="P403" i="10"/>
  <c r="BI402" i="10"/>
  <c r="BH402" i="10"/>
  <c r="BG402" i="10"/>
  <c r="BE402" i="10"/>
  <c r="T402" i="10"/>
  <c r="R402" i="10"/>
  <c r="P402" i="10"/>
  <c r="BI401" i="10"/>
  <c r="BH401" i="10"/>
  <c r="BG401" i="10"/>
  <c r="BE401" i="10"/>
  <c r="T401" i="10"/>
  <c r="R401" i="10"/>
  <c r="P401" i="10"/>
  <c r="BI400" i="10"/>
  <c r="BH400" i="10"/>
  <c r="BG400" i="10"/>
  <c r="BE400" i="10"/>
  <c r="T400" i="10"/>
  <c r="R400" i="10"/>
  <c r="P400" i="10"/>
  <c r="BI399" i="10"/>
  <c r="BH399" i="10"/>
  <c r="BG399" i="10"/>
  <c r="BE399" i="10"/>
  <c r="T399" i="10"/>
  <c r="R399" i="10"/>
  <c r="P399" i="10"/>
  <c r="BI398" i="10"/>
  <c r="BH398" i="10"/>
  <c r="BG398" i="10"/>
  <c r="BE398" i="10"/>
  <c r="T398" i="10"/>
  <c r="R398" i="10"/>
  <c r="P398" i="10"/>
  <c r="BI397" i="10"/>
  <c r="BH397" i="10"/>
  <c r="BG397" i="10"/>
  <c r="BE397" i="10"/>
  <c r="T397" i="10"/>
  <c r="R397" i="10"/>
  <c r="P397" i="10"/>
  <c r="BI396" i="10"/>
  <c r="BH396" i="10"/>
  <c r="BG396" i="10"/>
  <c r="BE396" i="10"/>
  <c r="T396" i="10"/>
  <c r="R396" i="10"/>
  <c r="P396" i="10"/>
  <c r="BI395" i="10"/>
  <c r="BH395" i="10"/>
  <c r="BG395" i="10"/>
  <c r="BE395" i="10"/>
  <c r="T395" i="10"/>
  <c r="R395" i="10"/>
  <c r="P395" i="10"/>
  <c r="BI394" i="10"/>
  <c r="BH394" i="10"/>
  <c r="BG394" i="10"/>
  <c r="BE394" i="10"/>
  <c r="T394" i="10"/>
  <c r="R394" i="10"/>
  <c r="P394" i="10"/>
  <c r="BI393" i="10"/>
  <c r="BH393" i="10"/>
  <c r="BG393" i="10"/>
  <c r="BE393" i="10"/>
  <c r="T393" i="10"/>
  <c r="R393" i="10"/>
  <c r="P393" i="10"/>
  <c r="BI392" i="10"/>
  <c r="BH392" i="10"/>
  <c r="BG392" i="10"/>
  <c r="BE392" i="10"/>
  <c r="T392" i="10"/>
  <c r="R392" i="10"/>
  <c r="P392" i="10"/>
  <c r="BI391" i="10"/>
  <c r="BH391" i="10"/>
  <c r="BG391" i="10"/>
  <c r="BE391" i="10"/>
  <c r="T391" i="10"/>
  <c r="R391" i="10"/>
  <c r="P391" i="10"/>
  <c r="BI390" i="10"/>
  <c r="BH390" i="10"/>
  <c r="BG390" i="10"/>
  <c r="BE390" i="10"/>
  <c r="T390" i="10"/>
  <c r="R390" i="10"/>
  <c r="P390" i="10"/>
  <c r="BI389" i="10"/>
  <c r="BH389" i="10"/>
  <c r="BG389" i="10"/>
  <c r="BE389" i="10"/>
  <c r="T389" i="10"/>
  <c r="R389" i="10"/>
  <c r="P389" i="10"/>
  <c r="BI388" i="10"/>
  <c r="BH388" i="10"/>
  <c r="BG388" i="10"/>
  <c r="BE388" i="10"/>
  <c r="T388" i="10"/>
  <c r="R388" i="10"/>
  <c r="P388" i="10"/>
  <c r="BI387" i="10"/>
  <c r="BH387" i="10"/>
  <c r="BG387" i="10"/>
  <c r="BE387" i="10"/>
  <c r="T387" i="10"/>
  <c r="R387" i="10"/>
  <c r="P387" i="10"/>
  <c r="BI386" i="10"/>
  <c r="BH386" i="10"/>
  <c r="BG386" i="10"/>
  <c r="BE386" i="10"/>
  <c r="T386" i="10"/>
  <c r="R386" i="10"/>
  <c r="P386" i="10"/>
  <c r="BI385" i="10"/>
  <c r="BH385" i="10"/>
  <c r="BG385" i="10"/>
  <c r="BE385" i="10"/>
  <c r="T385" i="10"/>
  <c r="R385" i="10"/>
  <c r="P385" i="10"/>
  <c r="BI384" i="10"/>
  <c r="BH384" i="10"/>
  <c r="BG384" i="10"/>
  <c r="BE384" i="10"/>
  <c r="T384" i="10"/>
  <c r="R384" i="10"/>
  <c r="P384" i="10"/>
  <c r="BI383" i="10"/>
  <c r="BH383" i="10"/>
  <c r="BG383" i="10"/>
  <c r="BE383" i="10"/>
  <c r="T383" i="10"/>
  <c r="R383" i="10"/>
  <c r="P383" i="10"/>
  <c r="BI382" i="10"/>
  <c r="BH382" i="10"/>
  <c r="BG382" i="10"/>
  <c r="BE382" i="10"/>
  <c r="T382" i="10"/>
  <c r="R382" i="10"/>
  <c r="P382" i="10"/>
  <c r="BI381" i="10"/>
  <c r="BH381" i="10"/>
  <c r="BG381" i="10"/>
  <c r="BE381" i="10"/>
  <c r="T381" i="10"/>
  <c r="R381" i="10"/>
  <c r="P381" i="10"/>
  <c r="BI380" i="10"/>
  <c r="BH380" i="10"/>
  <c r="BG380" i="10"/>
  <c r="BE380" i="10"/>
  <c r="T380" i="10"/>
  <c r="R380" i="10"/>
  <c r="P380" i="10"/>
  <c r="BI379" i="10"/>
  <c r="BH379" i="10"/>
  <c r="BG379" i="10"/>
  <c r="BE379" i="10"/>
  <c r="T379" i="10"/>
  <c r="R379" i="10"/>
  <c r="P379" i="10"/>
  <c r="BI378" i="10"/>
  <c r="BH378" i="10"/>
  <c r="BG378" i="10"/>
  <c r="BE378" i="10"/>
  <c r="T378" i="10"/>
  <c r="R378" i="10"/>
  <c r="P378" i="10"/>
  <c r="BI377" i="10"/>
  <c r="BH377" i="10"/>
  <c r="BG377" i="10"/>
  <c r="BE377" i="10"/>
  <c r="T377" i="10"/>
  <c r="R377" i="10"/>
  <c r="P377" i="10"/>
  <c r="BI376" i="10"/>
  <c r="BH376" i="10"/>
  <c r="BG376" i="10"/>
  <c r="BE376" i="10"/>
  <c r="T376" i="10"/>
  <c r="R376" i="10"/>
  <c r="P376" i="10"/>
  <c r="BI375" i="10"/>
  <c r="BH375" i="10"/>
  <c r="BG375" i="10"/>
  <c r="BE375" i="10"/>
  <c r="T375" i="10"/>
  <c r="R375" i="10"/>
  <c r="P375" i="10"/>
  <c r="BI374" i="10"/>
  <c r="BH374" i="10"/>
  <c r="BG374" i="10"/>
  <c r="BE374" i="10"/>
  <c r="T374" i="10"/>
  <c r="R374" i="10"/>
  <c r="P374" i="10"/>
  <c r="BI373" i="10"/>
  <c r="BH373" i="10"/>
  <c r="BG373" i="10"/>
  <c r="BE373" i="10"/>
  <c r="T373" i="10"/>
  <c r="R373" i="10"/>
  <c r="P373" i="10"/>
  <c r="BI372" i="10"/>
  <c r="BH372" i="10"/>
  <c r="BG372" i="10"/>
  <c r="BE372" i="10"/>
  <c r="T372" i="10"/>
  <c r="R372" i="10"/>
  <c r="P372" i="10"/>
  <c r="BI371" i="10"/>
  <c r="BH371" i="10"/>
  <c r="BG371" i="10"/>
  <c r="BE371" i="10"/>
  <c r="T371" i="10"/>
  <c r="R371" i="10"/>
  <c r="P371" i="10"/>
  <c r="BI370" i="10"/>
  <c r="BH370" i="10"/>
  <c r="BG370" i="10"/>
  <c r="BE370" i="10"/>
  <c r="T370" i="10"/>
  <c r="R370" i="10"/>
  <c r="P370" i="10"/>
  <c r="BI369" i="10"/>
  <c r="BH369" i="10"/>
  <c r="BG369" i="10"/>
  <c r="BE369" i="10"/>
  <c r="T369" i="10"/>
  <c r="R369" i="10"/>
  <c r="P369" i="10"/>
  <c r="BI368" i="10"/>
  <c r="BH368" i="10"/>
  <c r="BG368" i="10"/>
  <c r="BE368" i="10"/>
  <c r="T368" i="10"/>
  <c r="R368" i="10"/>
  <c r="P368" i="10"/>
  <c r="BI367" i="10"/>
  <c r="BH367" i="10"/>
  <c r="BG367" i="10"/>
  <c r="BE367" i="10"/>
  <c r="T367" i="10"/>
  <c r="R367" i="10"/>
  <c r="P367" i="10"/>
  <c r="BI366" i="10"/>
  <c r="BH366" i="10"/>
  <c r="BG366" i="10"/>
  <c r="BE366" i="10"/>
  <c r="T366" i="10"/>
  <c r="R366" i="10"/>
  <c r="P366" i="10"/>
  <c r="BI365" i="10"/>
  <c r="BH365" i="10"/>
  <c r="BG365" i="10"/>
  <c r="BE365" i="10"/>
  <c r="T365" i="10"/>
  <c r="R365" i="10"/>
  <c r="P365" i="10"/>
  <c r="BI364" i="10"/>
  <c r="BH364" i="10"/>
  <c r="BG364" i="10"/>
  <c r="BE364" i="10"/>
  <c r="T364" i="10"/>
  <c r="R364" i="10"/>
  <c r="P364" i="10"/>
  <c r="BI363" i="10"/>
  <c r="BH363" i="10"/>
  <c r="BG363" i="10"/>
  <c r="BE363" i="10"/>
  <c r="T363" i="10"/>
  <c r="R363" i="10"/>
  <c r="P363" i="10"/>
  <c r="BI362" i="10"/>
  <c r="BH362" i="10"/>
  <c r="BG362" i="10"/>
  <c r="BE362" i="10"/>
  <c r="T362" i="10"/>
  <c r="R362" i="10"/>
  <c r="P362" i="10"/>
  <c r="BI361" i="10"/>
  <c r="BH361" i="10"/>
  <c r="BG361" i="10"/>
  <c r="BE361" i="10"/>
  <c r="T361" i="10"/>
  <c r="R361" i="10"/>
  <c r="P361" i="10"/>
  <c r="BI360" i="10"/>
  <c r="BH360" i="10"/>
  <c r="BG360" i="10"/>
  <c r="BE360" i="10"/>
  <c r="T360" i="10"/>
  <c r="R360" i="10"/>
  <c r="P360" i="10"/>
  <c r="BI359" i="10"/>
  <c r="BH359" i="10"/>
  <c r="BG359" i="10"/>
  <c r="BE359" i="10"/>
  <c r="T359" i="10"/>
  <c r="R359" i="10"/>
  <c r="P359" i="10"/>
  <c r="BI358" i="10"/>
  <c r="BH358" i="10"/>
  <c r="BG358" i="10"/>
  <c r="BE358" i="10"/>
  <c r="T358" i="10"/>
  <c r="R358" i="10"/>
  <c r="P358" i="10"/>
  <c r="BI357" i="10"/>
  <c r="BH357" i="10"/>
  <c r="BG357" i="10"/>
  <c r="BE357" i="10"/>
  <c r="T357" i="10"/>
  <c r="R357" i="10"/>
  <c r="P357" i="10"/>
  <c r="BI356" i="10"/>
  <c r="BH356" i="10"/>
  <c r="BG356" i="10"/>
  <c r="BE356" i="10"/>
  <c r="T356" i="10"/>
  <c r="R356" i="10"/>
  <c r="P356" i="10"/>
  <c r="BI355" i="10"/>
  <c r="BH355" i="10"/>
  <c r="BG355" i="10"/>
  <c r="BE355" i="10"/>
  <c r="T355" i="10"/>
  <c r="R355" i="10"/>
  <c r="P355" i="10"/>
  <c r="BI354" i="10"/>
  <c r="BH354" i="10"/>
  <c r="BG354" i="10"/>
  <c r="BE354" i="10"/>
  <c r="T354" i="10"/>
  <c r="R354" i="10"/>
  <c r="P354" i="10"/>
  <c r="BI353" i="10"/>
  <c r="BH353" i="10"/>
  <c r="BG353" i="10"/>
  <c r="BE353" i="10"/>
  <c r="T353" i="10"/>
  <c r="R353" i="10"/>
  <c r="P353" i="10"/>
  <c r="BI352" i="10"/>
  <c r="BH352" i="10"/>
  <c r="BG352" i="10"/>
  <c r="BE352" i="10"/>
  <c r="T352" i="10"/>
  <c r="R352" i="10"/>
  <c r="P352" i="10"/>
  <c r="BI351" i="10"/>
  <c r="BH351" i="10"/>
  <c r="BG351" i="10"/>
  <c r="BE351" i="10"/>
  <c r="T351" i="10"/>
  <c r="R351" i="10"/>
  <c r="P351" i="10"/>
  <c r="BI350" i="10"/>
  <c r="BH350" i="10"/>
  <c r="BG350" i="10"/>
  <c r="BE350" i="10"/>
  <c r="T350" i="10"/>
  <c r="R350" i="10"/>
  <c r="P350" i="10"/>
  <c r="BI349" i="10"/>
  <c r="BH349" i="10"/>
  <c r="BG349" i="10"/>
  <c r="BE349" i="10"/>
  <c r="T349" i="10"/>
  <c r="R349" i="10"/>
  <c r="P349" i="10"/>
  <c r="BI348" i="10"/>
  <c r="BH348" i="10"/>
  <c r="BG348" i="10"/>
  <c r="BE348" i="10"/>
  <c r="T348" i="10"/>
  <c r="R348" i="10"/>
  <c r="P348" i="10"/>
  <c r="BI347" i="10"/>
  <c r="BH347" i="10"/>
  <c r="BG347" i="10"/>
  <c r="BE347" i="10"/>
  <c r="T347" i="10"/>
  <c r="R347" i="10"/>
  <c r="P347" i="10"/>
  <c r="BI346" i="10"/>
  <c r="BH346" i="10"/>
  <c r="BG346" i="10"/>
  <c r="BE346" i="10"/>
  <c r="T346" i="10"/>
  <c r="R346" i="10"/>
  <c r="P346" i="10"/>
  <c r="BI345" i="10"/>
  <c r="BH345" i="10"/>
  <c r="BG345" i="10"/>
  <c r="BE345" i="10"/>
  <c r="T345" i="10"/>
  <c r="R345" i="10"/>
  <c r="P345" i="10"/>
  <c r="BI344" i="10"/>
  <c r="BH344" i="10"/>
  <c r="BG344" i="10"/>
  <c r="BE344" i="10"/>
  <c r="T344" i="10"/>
  <c r="R344" i="10"/>
  <c r="P344" i="10"/>
  <c r="BI343" i="10"/>
  <c r="BH343" i="10"/>
  <c r="BG343" i="10"/>
  <c r="BE343" i="10"/>
  <c r="T343" i="10"/>
  <c r="R343" i="10"/>
  <c r="P343" i="10"/>
  <c r="BI342" i="10"/>
  <c r="BH342" i="10"/>
  <c r="BG342" i="10"/>
  <c r="BE342" i="10"/>
  <c r="T342" i="10"/>
  <c r="R342" i="10"/>
  <c r="P342" i="10"/>
  <c r="BI341" i="10"/>
  <c r="BH341" i="10"/>
  <c r="BG341" i="10"/>
  <c r="BE341" i="10"/>
  <c r="T341" i="10"/>
  <c r="R341" i="10"/>
  <c r="P341" i="10"/>
  <c r="BI340" i="10"/>
  <c r="BH340" i="10"/>
  <c r="BG340" i="10"/>
  <c r="BE340" i="10"/>
  <c r="T340" i="10"/>
  <c r="R340" i="10"/>
  <c r="P340" i="10"/>
  <c r="BI339" i="10"/>
  <c r="BH339" i="10"/>
  <c r="BG339" i="10"/>
  <c r="BE339" i="10"/>
  <c r="T339" i="10"/>
  <c r="R339" i="10"/>
  <c r="P339" i="10"/>
  <c r="BI338" i="10"/>
  <c r="BH338" i="10"/>
  <c r="BG338" i="10"/>
  <c r="BE338" i="10"/>
  <c r="T338" i="10"/>
  <c r="R338" i="10"/>
  <c r="P338" i="10"/>
  <c r="BI337" i="10"/>
  <c r="BH337" i="10"/>
  <c r="BG337" i="10"/>
  <c r="BE337" i="10"/>
  <c r="T337" i="10"/>
  <c r="R337" i="10"/>
  <c r="P337" i="10"/>
  <c r="BI336" i="10"/>
  <c r="BH336" i="10"/>
  <c r="BG336" i="10"/>
  <c r="BE336" i="10"/>
  <c r="T336" i="10"/>
  <c r="R336" i="10"/>
  <c r="P336" i="10"/>
  <c r="BI335" i="10"/>
  <c r="BH335" i="10"/>
  <c r="BG335" i="10"/>
  <c r="BE335" i="10"/>
  <c r="T335" i="10"/>
  <c r="R335" i="10"/>
  <c r="P335" i="10"/>
  <c r="BI334" i="10"/>
  <c r="BH334" i="10"/>
  <c r="BG334" i="10"/>
  <c r="BE334" i="10"/>
  <c r="T334" i="10"/>
  <c r="R334" i="10"/>
  <c r="P334" i="10"/>
  <c r="BI333" i="10"/>
  <c r="BH333" i="10"/>
  <c r="BG333" i="10"/>
  <c r="BE333" i="10"/>
  <c r="T333" i="10"/>
  <c r="R333" i="10"/>
  <c r="P333" i="10"/>
  <c r="BI332" i="10"/>
  <c r="BH332" i="10"/>
  <c r="BG332" i="10"/>
  <c r="BE332" i="10"/>
  <c r="T332" i="10"/>
  <c r="R332" i="10"/>
  <c r="P332" i="10"/>
  <c r="BI331" i="10"/>
  <c r="BH331" i="10"/>
  <c r="BG331" i="10"/>
  <c r="BE331" i="10"/>
  <c r="T331" i="10"/>
  <c r="R331" i="10"/>
  <c r="P331" i="10"/>
  <c r="BI330" i="10"/>
  <c r="BH330" i="10"/>
  <c r="BG330" i="10"/>
  <c r="BE330" i="10"/>
  <c r="T330" i="10"/>
  <c r="R330" i="10"/>
  <c r="P330" i="10"/>
  <c r="BI329" i="10"/>
  <c r="BH329" i="10"/>
  <c r="BG329" i="10"/>
  <c r="BE329" i="10"/>
  <c r="T329" i="10"/>
  <c r="R329" i="10"/>
  <c r="P329" i="10"/>
  <c r="BI328" i="10"/>
  <c r="BH328" i="10"/>
  <c r="BG328" i="10"/>
  <c r="BE328" i="10"/>
  <c r="T328" i="10"/>
  <c r="R328" i="10"/>
  <c r="P328" i="10"/>
  <c r="BI326" i="10"/>
  <c r="BH326" i="10"/>
  <c r="BG326" i="10"/>
  <c r="BE326" i="10"/>
  <c r="T326" i="10"/>
  <c r="R326" i="10"/>
  <c r="P326" i="10"/>
  <c r="BI325" i="10"/>
  <c r="BH325" i="10"/>
  <c r="BG325" i="10"/>
  <c r="BE325" i="10"/>
  <c r="T325" i="10"/>
  <c r="R325" i="10"/>
  <c r="P325" i="10"/>
  <c r="BI324" i="10"/>
  <c r="BH324" i="10"/>
  <c r="BG324" i="10"/>
  <c r="BE324" i="10"/>
  <c r="T324" i="10"/>
  <c r="R324" i="10"/>
  <c r="P324" i="10"/>
  <c r="BI323" i="10"/>
  <c r="BH323" i="10"/>
  <c r="BG323" i="10"/>
  <c r="BE323" i="10"/>
  <c r="T323" i="10"/>
  <c r="R323" i="10"/>
  <c r="P323" i="10"/>
  <c r="BI322" i="10"/>
  <c r="BH322" i="10"/>
  <c r="BG322" i="10"/>
  <c r="BE322" i="10"/>
  <c r="T322" i="10"/>
  <c r="R322" i="10"/>
  <c r="P322" i="10"/>
  <c r="BI321" i="10"/>
  <c r="BH321" i="10"/>
  <c r="BG321" i="10"/>
  <c r="BE321" i="10"/>
  <c r="T321" i="10"/>
  <c r="R321" i="10"/>
  <c r="P321" i="10"/>
  <c r="BI320" i="10"/>
  <c r="BH320" i="10"/>
  <c r="BG320" i="10"/>
  <c r="BE320" i="10"/>
  <c r="T320" i="10"/>
  <c r="R320" i="10"/>
  <c r="P320" i="10"/>
  <c r="BI319" i="10"/>
  <c r="BH319" i="10"/>
  <c r="BG319" i="10"/>
  <c r="BE319" i="10"/>
  <c r="T319" i="10"/>
  <c r="R319" i="10"/>
  <c r="P319" i="10"/>
  <c r="BI318" i="10"/>
  <c r="BH318" i="10"/>
  <c r="BG318" i="10"/>
  <c r="BE318" i="10"/>
  <c r="T318" i="10"/>
  <c r="R318" i="10"/>
  <c r="P318" i="10"/>
  <c r="BI317" i="10"/>
  <c r="BH317" i="10"/>
  <c r="BG317" i="10"/>
  <c r="BE317" i="10"/>
  <c r="T317" i="10"/>
  <c r="R317" i="10"/>
  <c r="P317" i="10"/>
  <c r="BI316" i="10"/>
  <c r="BH316" i="10"/>
  <c r="BG316" i="10"/>
  <c r="BE316" i="10"/>
  <c r="T316" i="10"/>
  <c r="R316" i="10"/>
  <c r="P316" i="10"/>
  <c r="BI315" i="10"/>
  <c r="BH315" i="10"/>
  <c r="BG315" i="10"/>
  <c r="BE315" i="10"/>
  <c r="T315" i="10"/>
  <c r="R315" i="10"/>
  <c r="P315" i="10"/>
  <c r="BI314" i="10"/>
  <c r="BH314" i="10"/>
  <c r="BG314" i="10"/>
  <c r="BE314" i="10"/>
  <c r="T314" i="10"/>
  <c r="R314" i="10"/>
  <c r="P314" i="10"/>
  <c r="BI313" i="10"/>
  <c r="BH313" i="10"/>
  <c r="BG313" i="10"/>
  <c r="BE313" i="10"/>
  <c r="T313" i="10"/>
  <c r="R313" i="10"/>
  <c r="P313" i="10"/>
  <c r="BI312" i="10"/>
  <c r="BH312" i="10"/>
  <c r="BG312" i="10"/>
  <c r="BE312" i="10"/>
  <c r="T312" i="10"/>
  <c r="R312" i="10"/>
  <c r="P312" i="10"/>
  <c r="BI311" i="10"/>
  <c r="BH311" i="10"/>
  <c r="BG311" i="10"/>
  <c r="BE311" i="10"/>
  <c r="T311" i="10"/>
  <c r="R311" i="10"/>
  <c r="P311" i="10"/>
  <c r="BI310" i="10"/>
  <c r="BH310" i="10"/>
  <c r="BG310" i="10"/>
  <c r="BE310" i="10"/>
  <c r="T310" i="10"/>
  <c r="R310" i="10"/>
  <c r="P310" i="10"/>
  <c r="BI309" i="10"/>
  <c r="BH309" i="10"/>
  <c r="BG309" i="10"/>
  <c r="BE309" i="10"/>
  <c r="T309" i="10"/>
  <c r="R309" i="10"/>
  <c r="P309" i="10"/>
  <c r="BI308" i="10"/>
  <c r="BH308" i="10"/>
  <c r="BG308" i="10"/>
  <c r="BE308" i="10"/>
  <c r="T308" i="10"/>
  <c r="R308" i="10"/>
  <c r="P308" i="10"/>
  <c r="BI307" i="10"/>
  <c r="BH307" i="10"/>
  <c r="BG307" i="10"/>
  <c r="BE307" i="10"/>
  <c r="T307" i="10"/>
  <c r="R307" i="10"/>
  <c r="P307" i="10"/>
  <c r="BI306" i="10"/>
  <c r="BH306" i="10"/>
  <c r="BG306" i="10"/>
  <c r="BE306" i="10"/>
  <c r="T306" i="10"/>
  <c r="R306" i="10"/>
  <c r="P306" i="10"/>
  <c r="BI305" i="10"/>
  <c r="BH305" i="10"/>
  <c r="BG305" i="10"/>
  <c r="BE305" i="10"/>
  <c r="T305" i="10"/>
  <c r="R305" i="10"/>
  <c r="P305" i="10"/>
  <c r="BI304" i="10"/>
  <c r="BH304" i="10"/>
  <c r="BG304" i="10"/>
  <c r="BE304" i="10"/>
  <c r="T304" i="10"/>
  <c r="R304" i="10"/>
  <c r="P304" i="10"/>
  <c r="BI303" i="10"/>
  <c r="BH303" i="10"/>
  <c r="BG303" i="10"/>
  <c r="BE303" i="10"/>
  <c r="T303" i="10"/>
  <c r="R303" i="10"/>
  <c r="P303" i="10"/>
  <c r="BI302" i="10"/>
  <c r="BH302" i="10"/>
  <c r="BG302" i="10"/>
  <c r="BE302" i="10"/>
  <c r="T302" i="10"/>
  <c r="R302" i="10"/>
  <c r="P302" i="10"/>
  <c r="BI300" i="10"/>
  <c r="BH300" i="10"/>
  <c r="BG300" i="10"/>
  <c r="BE300" i="10"/>
  <c r="T300" i="10"/>
  <c r="R300" i="10"/>
  <c r="P300" i="10"/>
  <c r="BI299" i="10"/>
  <c r="BH299" i="10"/>
  <c r="BG299" i="10"/>
  <c r="BE299" i="10"/>
  <c r="T299" i="10"/>
  <c r="R299" i="10"/>
  <c r="P299" i="10"/>
  <c r="BI298" i="10"/>
  <c r="BH298" i="10"/>
  <c r="BG298" i="10"/>
  <c r="BE298" i="10"/>
  <c r="T298" i="10"/>
  <c r="R298" i="10"/>
  <c r="P298" i="10"/>
  <c r="BI297" i="10"/>
  <c r="BH297" i="10"/>
  <c r="BG297" i="10"/>
  <c r="BE297" i="10"/>
  <c r="T297" i="10"/>
  <c r="R297" i="10"/>
  <c r="P297" i="10"/>
  <c r="BI296" i="10"/>
  <c r="BH296" i="10"/>
  <c r="BG296" i="10"/>
  <c r="BE296" i="10"/>
  <c r="T296" i="10"/>
  <c r="R296" i="10"/>
  <c r="P296" i="10"/>
  <c r="BI295" i="10"/>
  <c r="BH295" i="10"/>
  <c r="BG295" i="10"/>
  <c r="BE295" i="10"/>
  <c r="T295" i="10"/>
  <c r="R295" i="10"/>
  <c r="P295" i="10"/>
  <c r="BI294" i="10"/>
  <c r="BH294" i="10"/>
  <c r="BG294" i="10"/>
  <c r="BE294" i="10"/>
  <c r="T294" i="10"/>
  <c r="R294" i="10"/>
  <c r="P294" i="10"/>
  <c r="BI293" i="10"/>
  <c r="BH293" i="10"/>
  <c r="BG293" i="10"/>
  <c r="BE293" i="10"/>
  <c r="T293" i="10"/>
  <c r="R293" i="10"/>
  <c r="P293" i="10"/>
  <c r="BI292" i="10"/>
  <c r="BH292" i="10"/>
  <c r="BG292" i="10"/>
  <c r="BE292" i="10"/>
  <c r="T292" i="10"/>
  <c r="R292" i="10"/>
  <c r="P292" i="10"/>
  <c r="BI291" i="10"/>
  <c r="BH291" i="10"/>
  <c r="BG291" i="10"/>
  <c r="BE291" i="10"/>
  <c r="T291" i="10"/>
  <c r="R291" i="10"/>
  <c r="P291" i="10"/>
  <c r="BI290" i="10"/>
  <c r="BH290" i="10"/>
  <c r="BG290" i="10"/>
  <c r="BE290" i="10"/>
  <c r="T290" i="10"/>
  <c r="R290" i="10"/>
  <c r="P290" i="10"/>
  <c r="BI289" i="10"/>
  <c r="BH289" i="10"/>
  <c r="BG289" i="10"/>
  <c r="BE289" i="10"/>
  <c r="T289" i="10"/>
  <c r="R289" i="10"/>
  <c r="P289" i="10"/>
  <c r="BI288" i="10"/>
  <c r="BH288" i="10"/>
  <c r="BG288" i="10"/>
  <c r="BE288" i="10"/>
  <c r="T288" i="10"/>
  <c r="R288" i="10"/>
  <c r="P288" i="10"/>
  <c r="BI287" i="10"/>
  <c r="BH287" i="10"/>
  <c r="BG287" i="10"/>
  <c r="BE287" i="10"/>
  <c r="T287" i="10"/>
  <c r="R287" i="10"/>
  <c r="P287" i="10"/>
  <c r="BI286" i="10"/>
  <c r="BH286" i="10"/>
  <c r="BG286" i="10"/>
  <c r="BE286" i="10"/>
  <c r="T286" i="10"/>
  <c r="R286" i="10"/>
  <c r="P286" i="10"/>
  <c r="BI285" i="10"/>
  <c r="BH285" i="10"/>
  <c r="BG285" i="10"/>
  <c r="BE285" i="10"/>
  <c r="T285" i="10"/>
  <c r="R285" i="10"/>
  <c r="P285" i="10"/>
  <c r="BI284" i="10"/>
  <c r="BH284" i="10"/>
  <c r="BG284" i="10"/>
  <c r="BE284" i="10"/>
  <c r="T284" i="10"/>
  <c r="R284" i="10"/>
  <c r="P284" i="10"/>
  <c r="BI283" i="10"/>
  <c r="BH283" i="10"/>
  <c r="BG283" i="10"/>
  <c r="BE283" i="10"/>
  <c r="T283" i="10"/>
  <c r="R283" i="10"/>
  <c r="P283" i="10"/>
  <c r="BI282" i="10"/>
  <c r="BH282" i="10"/>
  <c r="BG282" i="10"/>
  <c r="BE282" i="10"/>
  <c r="T282" i="10"/>
  <c r="R282" i="10"/>
  <c r="P282" i="10"/>
  <c r="BI281" i="10"/>
  <c r="BH281" i="10"/>
  <c r="BG281" i="10"/>
  <c r="BE281" i="10"/>
  <c r="T281" i="10"/>
  <c r="R281" i="10"/>
  <c r="P281" i="10"/>
  <c r="BI280" i="10"/>
  <c r="BH280" i="10"/>
  <c r="BG280" i="10"/>
  <c r="BE280" i="10"/>
  <c r="T280" i="10"/>
  <c r="R280" i="10"/>
  <c r="P280" i="10"/>
  <c r="BI279" i="10"/>
  <c r="BH279" i="10"/>
  <c r="BG279" i="10"/>
  <c r="BE279" i="10"/>
  <c r="T279" i="10"/>
  <c r="R279" i="10"/>
  <c r="P279" i="10"/>
  <c r="BI278" i="10"/>
  <c r="BH278" i="10"/>
  <c r="BG278" i="10"/>
  <c r="BE278" i="10"/>
  <c r="T278" i="10"/>
  <c r="R278" i="10"/>
  <c r="P278" i="10"/>
  <c r="BI277" i="10"/>
  <c r="BH277" i="10"/>
  <c r="BG277" i="10"/>
  <c r="BE277" i="10"/>
  <c r="T277" i="10"/>
  <c r="R277" i="10"/>
  <c r="P277" i="10"/>
  <c r="BI276" i="10"/>
  <c r="BH276" i="10"/>
  <c r="BG276" i="10"/>
  <c r="BE276" i="10"/>
  <c r="T276" i="10"/>
  <c r="R276" i="10"/>
  <c r="P276" i="10"/>
  <c r="BI275" i="10"/>
  <c r="BH275" i="10"/>
  <c r="BG275" i="10"/>
  <c r="BE275" i="10"/>
  <c r="T275" i="10"/>
  <c r="R275" i="10"/>
  <c r="P275" i="10"/>
  <c r="BI274" i="10"/>
  <c r="BH274" i="10"/>
  <c r="BG274" i="10"/>
  <c r="BE274" i="10"/>
  <c r="T274" i="10"/>
  <c r="R274" i="10"/>
  <c r="P274" i="10"/>
  <c r="BI273" i="10"/>
  <c r="BH273" i="10"/>
  <c r="BG273" i="10"/>
  <c r="BE273" i="10"/>
  <c r="T273" i="10"/>
  <c r="R273" i="10"/>
  <c r="P273" i="10"/>
  <c r="BI272" i="10"/>
  <c r="BH272" i="10"/>
  <c r="BG272" i="10"/>
  <c r="BE272" i="10"/>
  <c r="T272" i="10"/>
  <c r="R272" i="10"/>
  <c r="P272" i="10"/>
  <c r="BI271" i="10"/>
  <c r="BH271" i="10"/>
  <c r="BG271" i="10"/>
  <c r="BE271" i="10"/>
  <c r="T271" i="10"/>
  <c r="R271" i="10"/>
  <c r="P271" i="10"/>
  <c r="BI270" i="10"/>
  <c r="BH270" i="10"/>
  <c r="BG270" i="10"/>
  <c r="BE270" i="10"/>
  <c r="T270" i="10"/>
  <c r="R270" i="10"/>
  <c r="P270" i="10"/>
  <c r="BI269" i="10"/>
  <c r="BH269" i="10"/>
  <c r="BG269" i="10"/>
  <c r="BE269" i="10"/>
  <c r="T269" i="10"/>
  <c r="R269" i="10"/>
  <c r="P269" i="10"/>
  <c r="BI268" i="10"/>
  <c r="BH268" i="10"/>
  <c r="BG268" i="10"/>
  <c r="BE268" i="10"/>
  <c r="T268" i="10"/>
  <c r="R268" i="10"/>
  <c r="P268" i="10"/>
  <c r="BI267" i="10"/>
  <c r="BH267" i="10"/>
  <c r="BG267" i="10"/>
  <c r="BE267" i="10"/>
  <c r="T267" i="10"/>
  <c r="R267" i="10"/>
  <c r="P267" i="10"/>
  <c r="BI266" i="10"/>
  <c r="BH266" i="10"/>
  <c r="BG266" i="10"/>
  <c r="BE266" i="10"/>
  <c r="T266" i="10"/>
  <c r="R266" i="10"/>
  <c r="P266" i="10"/>
  <c r="BI265" i="10"/>
  <c r="BH265" i="10"/>
  <c r="BG265" i="10"/>
  <c r="BE265" i="10"/>
  <c r="T265" i="10"/>
  <c r="R265" i="10"/>
  <c r="P265" i="10"/>
  <c r="BI264" i="10"/>
  <c r="BH264" i="10"/>
  <c r="BG264" i="10"/>
  <c r="BE264" i="10"/>
  <c r="T264" i="10"/>
  <c r="R264" i="10"/>
  <c r="P264" i="10"/>
  <c r="BI263" i="10"/>
  <c r="BH263" i="10"/>
  <c r="BG263" i="10"/>
  <c r="BE263" i="10"/>
  <c r="T263" i="10"/>
  <c r="R263" i="10"/>
  <c r="P263" i="10"/>
  <c r="BI262" i="10"/>
  <c r="BH262" i="10"/>
  <c r="BG262" i="10"/>
  <c r="BE262" i="10"/>
  <c r="T262" i="10"/>
  <c r="R262" i="10"/>
  <c r="P262" i="10"/>
  <c r="BI261" i="10"/>
  <c r="BH261" i="10"/>
  <c r="BG261" i="10"/>
  <c r="BE261" i="10"/>
  <c r="T261" i="10"/>
  <c r="R261" i="10"/>
  <c r="P261" i="10"/>
  <c r="BI260" i="10"/>
  <c r="BH260" i="10"/>
  <c r="BG260" i="10"/>
  <c r="BE260" i="10"/>
  <c r="T260" i="10"/>
  <c r="R260" i="10"/>
  <c r="P260" i="10"/>
  <c r="BI259" i="10"/>
  <c r="BH259" i="10"/>
  <c r="BG259" i="10"/>
  <c r="BE259" i="10"/>
  <c r="T259" i="10"/>
  <c r="R259" i="10"/>
  <c r="P259" i="10"/>
  <c r="BI258" i="10"/>
  <c r="BH258" i="10"/>
  <c r="BG258" i="10"/>
  <c r="BE258" i="10"/>
  <c r="T258" i="10"/>
  <c r="R258" i="10"/>
  <c r="P258" i="10"/>
  <c r="BI257" i="10"/>
  <c r="BH257" i="10"/>
  <c r="BG257" i="10"/>
  <c r="BE257" i="10"/>
  <c r="T257" i="10"/>
  <c r="R257" i="10"/>
  <c r="P257" i="10"/>
  <c r="BI256" i="10"/>
  <c r="BH256" i="10"/>
  <c r="BG256" i="10"/>
  <c r="BE256" i="10"/>
  <c r="T256" i="10"/>
  <c r="R256" i="10"/>
  <c r="P256" i="10"/>
  <c r="BI255" i="10"/>
  <c r="BH255" i="10"/>
  <c r="BG255" i="10"/>
  <c r="BE255" i="10"/>
  <c r="T255" i="10"/>
  <c r="R255" i="10"/>
  <c r="P255" i="10"/>
  <c r="BI254" i="10"/>
  <c r="BH254" i="10"/>
  <c r="BG254" i="10"/>
  <c r="BE254" i="10"/>
  <c r="T254" i="10"/>
  <c r="R254" i="10"/>
  <c r="P254" i="10"/>
  <c r="BI253" i="10"/>
  <c r="BH253" i="10"/>
  <c r="BG253" i="10"/>
  <c r="BE253" i="10"/>
  <c r="T253" i="10"/>
  <c r="R253" i="10"/>
  <c r="P253" i="10"/>
  <c r="BI252" i="10"/>
  <c r="BH252" i="10"/>
  <c r="BG252" i="10"/>
  <c r="BE252" i="10"/>
  <c r="T252" i="10"/>
  <c r="R252" i="10"/>
  <c r="P252" i="10"/>
  <c r="BI250" i="10"/>
  <c r="BH250" i="10"/>
  <c r="BG250" i="10"/>
  <c r="BE250" i="10"/>
  <c r="T250" i="10"/>
  <c r="R250" i="10"/>
  <c r="P250" i="10"/>
  <c r="BI249" i="10"/>
  <c r="BH249" i="10"/>
  <c r="BG249" i="10"/>
  <c r="BE249" i="10"/>
  <c r="T249" i="10"/>
  <c r="R249" i="10"/>
  <c r="P249" i="10"/>
  <c r="BI248" i="10"/>
  <c r="BH248" i="10"/>
  <c r="BG248" i="10"/>
  <c r="BE248" i="10"/>
  <c r="T248" i="10"/>
  <c r="R248" i="10"/>
  <c r="P248" i="10"/>
  <c r="BI247" i="10"/>
  <c r="BH247" i="10"/>
  <c r="BG247" i="10"/>
  <c r="BE247" i="10"/>
  <c r="T247" i="10"/>
  <c r="R247" i="10"/>
  <c r="P247" i="10"/>
  <c r="BI246" i="10"/>
  <c r="BH246" i="10"/>
  <c r="BG246" i="10"/>
  <c r="BE246" i="10"/>
  <c r="T246" i="10"/>
  <c r="R246" i="10"/>
  <c r="P246" i="10"/>
  <c r="BI245" i="10"/>
  <c r="BH245" i="10"/>
  <c r="BG245" i="10"/>
  <c r="BE245" i="10"/>
  <c r="T245" i="10"/>
  <c r="R245" i="10"/>
  <c r="P245" i="10"/>
  <c r="BI244" i="10"/>
  <c r="BH244" i="10"/>
  <c r="BG244" i="10"/>
  <c r="BE244" i="10"/>
  <c r="T244" i="10"/>
  <c r="R244" i="10"/>
  <c r="P244" i="10"/>
  <c r="BI243" i="10"/>
  <c r="BH243" i="10"/>
  <c r="BG243" i="10"/>
  <c r="BE243" i="10"/>
  <c r="T243" i="10"/>
  <c r="R243" i="10"/>
  <c r="P243" i="10"/>
  <c r="BI242" i="10"/>
  <c r="BH242" i="10"/>
  <c r="BG242" i="10"/>
  <c r="BE242" i="10"/>
  <c r="T242" i="10"/>
  <c r="R242" i="10"/>
  <c r="P242" i="10"/>
  <c r="BI241" i="10"/>
  <c r="BH241" i="10"/>
  <c r="BG241" i="10"/>
  <c r="BE241" i="10"/>
  <c r="T241" i="10"/>
  <c r="R241" i="10"/>
  <c r="P241" i="10"/>
  <c r="BI240" i="10"/>
  <c r="BH240" i="10"/>
  <c r="BG240" i="10"/>
  <c r="BE240" i="10"/>
  <c r="T240" i="10"/>
  <c r="R240" i="10"/>
  <c r="P240" i="10"/>
  <c r="BI239" i="10"/>
  <c r="BH239" i="10"/>
  <c r="BG239" i="10"/>
  <c r="BE239" i="10"/>
  <c r="T239" i="10"/>
  <c r="R239" i="10"/>
  <c r="P239" i="10"/>
  <c r="BI238" i="10"/>
  <c r="BH238" i="10"/>
  <c r="BG238" i="10"/>
  <c r="BE238" i="10"/>
  <c r="T238" i="10"/>
  <c r="R238" i="10"/>
  <c r="P238" i="10"/>
  <c r="BI237" i="10"/>
  <c r="BH237" i="10"/>
  <c r="BG237" i="10"/>
  <c r="BE237" i="10"/>
  <c r="T237" i="10"/>
  <c r="R237" i="10"/>
  <c r="P237" i="10"/>
  <c r="BI236" i="10"/>
  <c r="BH236" i="10"/>
  <c r="BG236" i="10"/>
  <c r="BE236" i="10"/>
  <c r="T236" i="10"/>
  <c r="R236" i="10"/>
  <c r="P236" i="10"/>
  <c r="BI235" i="10"/>
  <c r="BH235" i="10"/>
  <c r="BG235" i="10"/>
  <c r="BE235" i="10"/>
  <c r="T235" i="10"/>
  <c r="R235" i="10"/>
  <c r="P235" i="10"/>
  <c r="BI234" i="10"/>
  <c r="BH234" i="10"/>
  <c r="BG234" i="10"/>
  <c r="BE234" i="10"/>
  <c r="T234" i="10"/>
  <c r="R234" i="10"/>
  <c r="P234" i="10"/>
  <c r="BI233" i="10"/>
  <c r="BH233" i="10"/>
  <c r="BG233" i="10"/>
  <c r="BE233" i="10"/>
  <c r="T233" i="10"/>
  <c r="R233" i="10"/>
  <c r="P233" i="10"/>
  <c r="BI232" i="10"/>
  <c r="BH232" i="10"/>
  <c r="BG232" i="10"/>
  <c r="BE232" i="10"/>
  <c r="T232" i="10"/>
  <c r="R232" i="10"/>
  <c r="P232" i="10"/>
  <c r="BI231" i="10"/>
  <c r="BH231" i="10"/>
  <c r="BG231" i="10"/>
  <c r="BE231" i="10"/>
  <c r="T231" i="10"/>
  <c r="R231" i="10"/>
  <c r="P231" i="10"/>
  <c r="BI230" i="10"/>
  <c r="BH230" i="10"/>
  <c r="BG230" i="10"/>
  <c r="BE230" i="10"/>
  <c r="T230" i="10"/>
  <c r="R230" i="10"/>
  <c r="P230" i="10"/>
  <c r="BI229" i="10"/>
  <c r="BH229" i="10"/>
  <c r="BG229" i="10"/>
  <c r="BE229" i="10"/>
  <c r="T229" i="10"/>
  <c r="R229" i="10"/>
  <c r="P229" i="10"/>
  <c r="BI228" i="10"/>
  <c r="BH228" i="10"/>
  <c r="BG228" i="10"/>
  <c r="BE228" i="10"/>
  <c r="T228" i="10"/>
  <c r="R228" i="10"/>
  <c r="P228" i="10"/>
  <c r="BI227" i="10"/>
  <c r="BH227" i="10"/>
  <c r="BG227" i="10"/>
  <c r="BE227" i="10"/>
  <c r="T227" i="10"/>
  <c r="R227" i="10"/>
  <c r="P227" i="10"/>
  <c r="BI226" i="10"/>
  <c r="BH226" i="10"/>
  <c r="BG226" i="10"/>
  <c r="BE226" i="10"/>
  <c r="T226" i="10"/>
  <c r="R226" i="10"/>
  <c r="P226" i="10"/>
  <c r="BI225" i="10"/>
  <c r="BH225" i="10"/>
  <c r="BG225" i="10"/>
  <c r="BE225" i="10"/>
  <c r="T225" i="10"/>
  <c r="R225" i="10"/>
  <c r="P225" i="10"/>
  <c r="BI224" i="10"/>
  <c r="BH224" i="10"/>
  <c r="BG224" i="10"/>
  <c r="BE224" i="10"/>
  <c r="T224" i="10"/>
  <c r="R224" i="10"/>
  <c r="P224" i="10"/>
  <c r="BI223" i="10"/>
  <c r="BH223" i="10"/>
  <c r="BG223" i="10"/>
  <c r="BE223" i="10"/>
  <c r="T223" i="10"/>
  <c r="R223" i="10"/>
  <c r="P223" i="10"/>
  <c r="BI222" i="10"/>
  <c r="BH222" i="10"/>
  <c r="BG222" i="10"/>
  <c r="BE222" i="10"/>
  <c r="T222" i="10"/>
  <c r="R222" i="10"/>
  <c r="P222" i="10"/>
  <c r="BI221" i="10"/>
  <c r="BH221" i="10"/>
  <c r="BG221" i="10"/>
  <c r="BE221" i="10"/>
  <c r="T221" i="10"/>
  <c r="R221" i="10"/>
  <c r="P221" i="10"/>
  <c r="BI220" i="10"/>
  <c r="BH220" i="10"/>
  <c r="BG220" i="10"/>
  <c r="BE220" i="10"/>
  <c r="T220" i="10"/>
  <c r="R220" i="10"/>
  <c r="P220" i="10"/>
  <c r="BI219" i="10"/>
  <c r="BH219" i="10"/>
  <c r="BG219" i="10"/>
  <c r="BE219" i="10"/>
  <c r="T219" i="10"/>
  <c r="R219" i="10"/>
  <c r="P219" i="10"/>
  <c r="BI218" i="10"/>
  <c r="BH218" i="10"/>
  <c r="BG218" i="10"/>
  <c r="BE218" i="10"/>
  <c r="T218" i="10"/>
  <c r="R218" i="10"/>
  <c r="P218" i="10"/>
  <c r="BI217" i="10"/>
  <c r="BH217" i="10"/>
  <c r="BG217" i="10"/>
  <c r="BE217" i="10"/>
  <c r="T217" i="10"/>
  <c r="R217" i="10"/>
  <c r="P217" i="10"/>
  <c r="BI216" i="10"/>
  <c r="BH216" i="10"/>
  <c r="BG216" i="10"/>
  <c r="BE216" i="10"/>
  <c r="T216" i="10"/>
  <c r="R216" i="10"/>
  <c r="P216" i="10"/>
  <c r="BI215" i="10"/>
  <c r="BH215" i="10"/>
  <c r="BG215" i="10"/>
  <c r="BE215" i="10"/>
  <c r="T215" i="10"/>
  <c r="R215" i="10"/>
  <c r="P215" i="10"/>
  <c r="BI214" i="10"/>
  <c r="BH214" i="10"/>
  <c r="BG214" i="10"/>
  <c r="BE214" i="10"/>
  <c r="T214" i="10"/>
  <c r="R214" i="10"/>
  <c r="P214" i="10"/>
  <c r="BI213" i="10"/>
  <c r="BH213" i="10"/>
  <c r="BG213" i="10"/>
  <c r="BE213" i="10"/>
  <c r="T213" i="10"/>
  <c r="R213" i="10"/>
  <c r="P213" i="10"/>
  <c r="BI212" i="10"/>
  <c r="BH212" i="10"/>
  <c r="BG212" i="10"/>
  <c r="BE212" i="10"/>
  <c r="T212" i="10"/>
  <c r="R212" i="10"/>
  <c r="P212" i="10"/>
  <c r="BI211" i="10"/>
  <c r="BH211" i="10"/>
  <c r="BG211" i="10"/>
  <c r="BE211" i="10"/>
  <c r="T211" i="10"/>
  <c r="R211" i="10"/>
  <c r="P211" i="10"/>
  <c r="BI210" i="10"/>
  <c r="BH210" i="10"/>
  <c r="BG210" i="10"/>
  <c r="BE210" i="10"/>
  <c r="T210" i="10"/>
  <c r="R210" i="10"/>
  <c r="P210" i="10"/>
  <c r="BI209" i="10"/>
  <c r="BH209" i="10"/>
  <c r="BG209" i="10"/>
  <c r="BE209" i="10"/>
  <c r="T209" i="10"/>
  <c r="R209" i="10"/>
  <c r="P209" i="10"/>
  <c r="BI208" i="10"/>
  <c r="BH208" i="10"/>
  <c r="BG208" i="10"/>
  <c r="BE208" i="10"/>
  <c r="T208" i="10"/>
  <c r="R208" i="10"/>
  <c r="P208" i="10"/>
  <c r="BI207" i="10"/>
  <c r="BH207" i="10"/>
  <c r="BG207" i="10"/>
  <c r="BE207" i="10"/>
  <c r="T207" i="10"/>
  <c r="R207" i="10"/>
  <c r="P207" i="10"/>
  <c r="BI206" i="10"/>
  <c r="BH206" i="10"/>
  <c r="BG206" i="10"/>
  <c r="BE206" i="10"/>
  <c r="T206" i="10"/>
  <c r="R206" i="10"/>
  <c r="P206" i="10"/>
  <c r="BI205" i="10"/>
  <c r="BH205" i="10"/>
  <c r="BG205" i="10"/>
  <c r="BE205" i="10"/>
  <c r="T205" i="10"/>
  <c r="R205" i="10"/>
  <c r="P205" i="10"/>
  <c r="BI204" i="10"/>
  <c r="BH204" i="10"/>
  <c r="BG204" i="10"/>
  <c r="BE204" i="10"/>
  <c r="T204" i="10"/>
  <c r="R204" i="10"/>
  <c r="P204" i="10"/>
  <c r="BI203" i="10"/>
  <c r="BH203" i="10"/>
  <c r="BG203" i="10"/>
  <c r="BE203" i="10"/>
  <c r="T203" i="10"/>
  <c r="R203" i="10"/>
  <c r="P203" i="10"/>
  <c r="BI202" i="10"/>
  <c r="BH202" i="10"/>
  <c r="BG202" i="10"/>
  <c r="BE202" i="10"/>
  <c r="T202" i="10"/>
  <c r="R202" i="10"/>
  <c r="P202" i="10"/>
  <c r="BI201" i="10"/>
  <c r="BH201" i="10"/>
  <c r="BG201" i="10"/>
  <c r="BE201" i="10"/>
  <c r="T201" i="10"/>
  <c r="R201" i="10"/>
  <c r="P201" i="10"/>
  <c r="BI200" i="10"/>
  <c r="BH200" i="10"/>
  <c r="BG200" i="10"/>
  <c r="BE200" i="10"/>
  <c r="T200" i="10"/>
  <c r="R200" i="10"/>
  <c r="P200" i="10"/>
  <c r="BI199" i="10"/>
  <c r="BH199" i="10"/>
  <c r="BG199" i="10"/>
  <c r="BE199" i="10"/>
  <c r="T199" i="10"/>
  <c r="R199" i="10"/>
  <c r="P199" i="10"/>
  <c r="BI198" i="10"/>
  <c r="BH198" i="10"/>
  <c r="BG198" i="10"/>
  <c r="BE198" i="10"/>
  <c r="T198" i="10"/>
  <c r="R198" i="10"/>
  <c r="P198" i="10"/>
  <c r="BI197" i="10"/>
  <c r="BH197" i="10"/>
  <c r="BG197" i="10"/>
  <c r="BE197" i="10"/>
  <c r="T197" i="10"/>
  <c r="R197" i="10"/>
  <c r="P197" i="10"/>
  <c r="BI196" i="10"/>
  <c r="BH196" i="10"/>
  <c r="BG196" i="10"/>
  <c r="BE196" i="10"/>
  <c r="T196" i="10"/>
  <c r="R196" i="10"/>
  <c r="P196" i="10"/>
  <c r="BI195" i="10"/>
  <c r="BH195" i="10"/>
  <c r="BG195" i="10"/>
  <c r="BE195" i="10"/>
  <c r="T195" i="10"/>
  <c r="R195" i="10"/>
  <c r="P195" i="10"/>
  <c r="BI194" i="10"/>
  <c r="BH194" i="10"/>
  <c r="BG194" i="10"/>
  <c r="BE194" i="10"/>
  <c r="T194" i="10"/>
  <c r="R194" i="10"/>
  <c r="P194" i="10"/>
  <c r="BI193" i="10"/>
  <c r="BH193" i="10"/>
  <c r="BG193" i="10"/>
  <c r="BE193" i="10"/>
  <c r="T193" i="10"/>
  <c r="R193" i="10"/>
  <c r="P193" i="10"/>
  <c r="BI192" i="10"/>
  <c r="BH192" i="10"/>
  <c r="BG192" i="10"/>
  <c r="BE192" i="10"/>
  <c r="T192" i="10"/>
  <c r="R192" i="10"/>
  <c r="P192" i="10"/>
  <c r="BI191" i="10"/>
  <c r="BH191" i="10"/>
  <c r="BG191" i="10"/>
  <c r="BE191" i="10"/>
  <c r="T191" i="10"/>
  <c r="R191" i="10"/>
  <c r="P191" i="10"/>
  <c r="BI190" i="10"/>
  <c r="BH190" i="10"/>
  <c r="BG190" i="10"/>
  <c r="BE190" i="10"/>
  <c r="T190" i="10"/>
  <c r="R190" i="10"/>
  <c r="P190" i="10"/>
  <c r="BI189" i="10"/>
  <c r="BH189" i="10"/>
  <c r="BG189" i="10"/>
  <c r="BE189" i="10"/>
  <c r="T189" i="10"/>
  <c r="R189" i="10"/>
  <c r="P189" i="10"/>
  <c r="BI188" i="10"/>
  <c r="BH188" i="10"/>
  <c r="BG188" i="10"/>
  <c r="BE188" i="10"/>
  <c r="T188" i="10"/>
  <c r="R188" i="10"/>
  <c r="P188" i="10"/>
  <c r="BI187" i="10"/>
  <c r="BH187" i="10"/>
  <c r="BG187" i="10"/>
  <c r="BE187" i="10"/>
  <c r="T187" i="10"/>
  <c r="R187" i="10"/>
  <c r="P187" i="10"/>
  <c r="BI186" i="10"/>
  <c r="BH186" i="10"/>
  <c r="BG186" i="10"/>
  <c r="BE186" i="10"/>
  <c r="T186" i="10"/>
  <c r="R186" i="10"/>
  <c r="P186" i="10"/>
  <c r="BI185" i="10"/>
  <c r="BH185" i="10"/>
  <c r="BG185" i="10"/>
  <c r="BE185" i="10"/>
  <c r="T185" i="10"/>
  <c r="R185" i="10"/>
  <c r="P185" i="10"/>
  <c r="BI184" i="10"/>
  <c r="BH184" i="10"/>
  <c r="BG184" i="10"/>
  <c r="BE184" i="10"/>
  <c r="T184" i="10"/>
  <c r="R184" i="10"/>
  <c r="P184" i="10"/>
  <c r="BI183" i="10"/>
  <c r="BH183" i="10"/>
  <c r="BG183" i="10"/>
  <c r="BE183" i="10"/>
  <c r="T183" i="10"/>
  <c r="R183" i="10"/>
  <c r="P183" i="10"/>
  <c r="BI182" i="10"/>
  <c r="BH182" i="10"/>
  <c r="BG182" i="10"/>
  <c r="BE182" i="10"/>
  <c r="T182" i="10"/>
  <c r="R182" i="10"/>
  <c r="P182" i="10"/>
  <c r="BI181" i="10"/>
  <c r="BH181" i="10"/>
  <c r="BG181" i="10"/>
  <c r="BE181" i="10"/>
  <c r="T181" i="10"/>
  <c r="R181" i="10"/>
  <c r="P181" i="10"/>
  <c r="BI180" i="10"/>
  <c r="BH180" i="10"/>
  <c r="BG180" i="10"/>
  <c r="BE180" i="10"/>
  <c r="T180" i="10"/>
  <c r="R180" i="10"/>
  <c r="P180" i="10"/>
  <c r="BI179" i="10"/>
  <c r="BH179" i="10"/>
  <c r="BG179" i="10"/>
  <c r="BE179" i="10"/>
  <c r="T179" i="10"/>
  <c r="R179" i="10"/>
  <c r="P179" i="10"/>
  <c r="BI178" i="10"/>
  <c r="BH178" i="10"/>
  <c r="BG178" i="10"/>
  <c r="BE178" i="10"/>
  <c r="T178" i="10"/>
  <c r="R178" i="10"/>
  <c r="P178" i="10"/>
  <c r="BI177" i="10"/>
  <c r="BH177" i="10"/>
  <c r="BG177" i="10"/>
  <c r="BE177" i="10"/>
  <c r="T177" i="10"/>
  <c r="R177" i="10"/>
  <c r="P177" i="10"/>
  <c r="BI176" i="10"/>
  <c r="BH176" i="10"/>
  <c r="BG176" i="10"/>
  <c r="BE176" i="10"/>
  <c r="T176" i="10"/>
  <c r="R176" i="10"/>
  <c r="P176" i="10"/>
  <c r="BI175" i="10"/>
  <c r="BH175" i="10"/>
  <c r="BG175" i="10"/>
  <c r="BE175" i="10"/>
  <c r="T175" i="10"/>
  <c r="R175" i="10"/>
  <c r="P175" i="10"/>
  <c r="BI174" i="10"/>
  <c r="BH174" i="10"/>
  <c r="BG174" i="10"/>
  <c r="BE174" i="10"/>
  <c r="T174" i="10"/>
  <c r="R174" i="10"/>
  <c r="P174" i="10"/>
  <c r="BI173" i="10"/>
  <c r="BH173" i="10"/>
  <c r="BG173" i="10"/>
  <c r="BE173" i="10"/>
  <c r="T173" i="10"/>
  <c r="R173" i="10"/>
  <c r="P173" i="10"/>
  <c r="BI172" i="10"/>
  <c r="BH172" i="10"/>
  <c r="BG172" i="10"/>
  <c r="BE172" i="10"/>
  <c r="T172" i="10"/>
  <c r="R172" i="10"/>
  <c r="P172" i="10"/>
  <c r="BI171" i="10"/>
  <c r="BH171" i="10"/>
  <c r="BG171" i="10"/>
  <c r="BE171" i="10"/>
  <c r="T171" i="10"/>
  <c r="R171" i="10"/>
  <c r="P171" i="10"/>
  <c r="BI170" i="10"/>
  <c r="BH170" i="10"/>
  <c r="BG170" i="10"/>
  <c r="BE170" i="10"/>
  <c r="T170" i="10"/>
  <c r="R170" i="10"/>
  <c r="P170" i="10"/>
  <c r="BI169" i="10"/>
  <c r="BH169" i="10"/>
  <c r="BG169" i="10"/>
  <c r="BE169" i="10"/>
  <c r="T169" i="10"/>
  <c r="R169" i="10"/>
  <c r="P169" i="10"/>
  <c r="BI168" i="10"/>
  <c r="BH168" i="10"/>
  <c r="BG168" i="10"/>
  <c r="BE168" i="10"/>
  <c r="T168" i="10"/>
  <c r="R168" i="10"/>
  <c r="P168" i="10"/>
  <c r="BI166" i="10"/>
  <c r="BH166" i="10"/>
  <c r="BG166" i="10"/>
  <c r="BE166" i="10"/>
  <c r="T166" i="10"/>
  <c r="R166" i="10"/>
  <c r="P166" i="10"/>
  <c r="BI165" i="10"/>
  <c r="BH165" i="10"/>
  <c r="BG165" i="10"/>
  <c r="BE165" i="10"/>
  <c r="T165" i="10"/>
  <c r="R165" i="10"/>
  <c r="P165" i="10"/>
  <c r="BI164" i="10"/>
  <c r="BH164" i="10"/>
  <c r="BG164" i="10"/>
  <c r="BE164" i="10"/>
  <c r="T164" i="10"/>
  <c r="R164" i="10"/>
  <c r="P164" i="10"/>
  <c r="BI163" i="10"/>
  <c r="BH163" i="10"/>
  <c r="BG163" i="10"/>
  <c r="BE163" i="10"/>
  <c r="T163" i="10"/>
  <c r="R163" i="10"/>
  <c r="P163" i="10"/>
  <c r="BI162" i="10"/>
  <c r="BH162" i="10"/>
  <c r="BG162" i="10"/>
  <c r="BE162" i="10"/>
  <c r="T162" i="10"/>
  <c r="R162" i="10"/>
  <c r="P162" i="10"/>
  <c r="BI161" i="10"/>
  <c r="BH161" i="10"/>
  <c r="BG161" i="10"/>
  <c r="BE161" i="10"/>
  <c r="T161" i="10"/>
  <c r="R161" i="10"/>
  <c r="P161" i="10"/>
  <c r="BI160" i="10"/>
  <c r="BH160" i="10"/>
  <c r="BG160" i="10"/>
  <c r="BE160" i="10"/>
  <c r="T160" i="10"/>
  <c r="R160" i="10"/>
  <c r="P160" i="10"/>
  <c r="BI159" i="10"/>
  <c r="BH159" i="10"/>
  <c r="BG159" i="10"/>
  <c r="BE159" i="10"/>
  <c r="T159" i="10"/>
  <c r="R159" i="10"/>
  <c r="P159" i="10"/>
  <c r="BI158" i="10"/>
  <c r="BH158" i="10"/>
  <c r="BG158" i="10"/>
  <c r="BE158" i="10"/>
  <c r="T158" i="10"/>
  <c r="R158" i="10"/>
  <c r="P158" i="10"/>
  <c r="BI157" i="10"/>
  <c r="BH157" i="10"/>
  <c r="BG157" i="10"/>
  <c r="BE157" i="10"/>
  <c r="T157" i="10"/>
  <c r="R157" i="10"/>
  <c r="P157" i="10"/>
  <c r="BI156" i="10"/>
  <c r="BH156" i="10"/>
  <c r="BG156" i="10"/>
  <c r="BE156" i="10"/>
  <c r="T156" i="10"/>
  <c r="R156" i="10"/>
  <c r="P156" i="10"/>
  <c r="BI155" i="10"/>
  <c r="BH155" i="10"/>
  <c r="BG155" i="10"/>
  <c r="BE155" i="10"/>
  <c r="T155" i="10"/>
  <c r="R155" i="10"/>
  <c r="P155" i="10"/>
  <c r="BI154" i="10"/>
  <c r="BH154" i="10"/>
  <c r="BG154" i="10"/>
  <c r="BE154" i="10"/>
  <c r="T154" i="10"/>
  <c r="R154" i="10"/>
  <c r="P154" i="10"/>
  <c r="BI153" i="10"/>
  <c r="BH153" i="10"/>
  <c r="BG153" i="10"/>
  <c r="BE153" i="10"/>
  <c r="T153" i="10"/>
  <c r="R153" i="10"/>
  <c r="P153" i="10"/>
  <c r="BI152" i="10"/>
  <c r="BH152" i="10"/>
  <c r="BG152" i="10"/>
  <c r="BE152" i="10"/>
  <c r="T152" i="10"/>
  <c r="R152" i="10"/>
  <c r="P152" i="10"/>
  <c r="BI151" i="10"/>
  <c r="BH151" i="10"/>
  <c r="BG151" i="10"/>
  <c r="BE151" i="10"/>
  <c r="T151" i="10"/>
  <c r="R151" i="10"/>
  <c r="P151" i="10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8" i="10"/>
  <c r="BH148" i="10"/>
  <c r="BG148" i="10"/>
  <c r="BE148" i="10"/>
  <c r="T148" i="10"/>
  <c r="R148" i="10"/>
  <c r="P148" i="10"/>
  <c r="BI147" i="10"/>
  <c r="BH147" i="10"/>
  <c r="BG147" i="10"/>
  <c r="BE147" i="10"/>
  <c r="T147" i="10"/>
  <c r="R147" i="10"/>
  <c r="P147" i="10"/>
  <c r="BI146" i="10"/>
  <c r="BH146" i="10"/>
  <c r="BG146" i="10"/>
  <c r="BE146" i="10"/>
  <c r="T146" i="10"/>
  <c r="R146" i="10"/>
  <c r="P146" i="10"/>
  <c r="BI143" i="10"/>
  <c r="BH143" i="10"/>
  <c r="BG143" i="10"/>
  <c r="BE143" i="10"/>
  <c r="T143" i="10"/>
  <c r="R143" i="10"/>
  <c r="P143" i="10"/>
  <c r="BI142" i="10"/>
  <c r="BH142" i="10"/>
  <c r="BG142" i="10"/>
  <c r="BE142" i="10"/>
  <c r="T142" i="10"/>
  <c r="R142" i="10"/>
  <c r="P142" i="10"/>
  <c r="BI141" i="10"/>
  <c r="BH141" i="10"/>
  <c r="BG141" i="10"/>
  <c r="BE141" i="10"/>
  <c r="T141" i="10"/>
  <c r="R141" i="10"/>
  <c r="P141" i="10"/>
  <c r="BI140" i="10"/>
  <c r="BH140" i="10"/>
  <c r="BG140" i="10"/>
  <c r="BE140" i="10"/>
  <c r="T140" i="10"/>
  <c r="R140" i="10"/>
  <c r="P140" i="10"/>
  <c r="BI139" i="10"/>
  <c r="BH139" i="10"/>
  <c r="BG139" i="10"/>
  <c r="BE139" i="10"/>
  <c r="T139" i="10"/>
  <c r="R139" i="10"/>
  <c r="P139" i="10"/>
  <c r="BI137" i="10"/>
  <c r="BH137" i="10"/>
  <c r="BG137" i="10"/>
  <c r="BE137" i="10"/>
  <c r="T137" i="10"/>
  <c r="T136" i="10" s="1"/>
  <c r="R137" i="10"/>
  <c r="R136" i="10" s="1"/>
  <c r="P137" i="10"/>
  <c r="P136" i="10" s="1"/>
  <c r="F128" i="10"/>
  <c r="E126" i="10"/>
  <c r="F91" i="10"/>
  <c r="E89" i="10"/>
  <c r="J26" i="10"/>
  <c r="E26" i="10"/>
  <c r="J94" i="10" s="1"/>
  <c r="J25" i="10"/>
  <c r="J23" i="10"/>
  <c r="E23" i="10"/>
  <c r="J93" i="10" s="1"/>
  <c r="J22" i="10"/>
  <c r="J20" i="10"/>
  <c r="E20" i="10"/>
  <c r="F131" i="10"/>
  <c r="J19" i="10"/>
  <c r="J17" i="10"/>
  <c r="E17" i="10"/>
  <c r="F130" i="10" s="1"/>
  <c r="J16" i="10"/>
  <c r="J14" i="10"/>
  <c r="J91" i="10" s="1"/>
  <c r="E7" i="10"/>
  <c r="E85" i="10" s="1"/>
  <c r="J39" i="9"/>
  <c r="J38" i="9"/>
  <c r="AY103" i="1" s="1"/>
  <c r="J37" i="9"/>
  <c r="AX103" i="1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BI138" i="9"/>
  <c r="BH138" i="9"/>
  <c r="BG138" i="9"/>
  <c r="BE138" i="9"/>
  <c r="T138" i="9"/>
  <c r="R138" i="9"/>
  <c r="P138" i="9"/>
  <c r="BI137" i="9"/>
  <c r="BH137" i="9"/>
  <c r="BG137" i="9"/>
  <c r="BE137" i="9"/>
  <c r="T137" i="9"/>
  <c r="R137" i="9"/>
  <c r="P137" i="9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R135" i="9"/>
  <c r="P135" i="9"/>
  <c r="BI134" i="9"/>
  <c r="BH134" i="9"/>
  <c r="BG134" i="9"/>
  <c r="BE134" i="9"/>
  <c r="T134" i="9"/>
  <c r="R134" i="9"/>
  <c r="P134" i="9"/>
  <c r="BI132" i="9"/>
  <c r="BH132" i="9"/>
  <c r="BG132" i="9"/>
  <c r="BE132" i="9"/>
  <c r="T132" i="9"/>
  <c r="R132" i="9"/>
  <c r="P132" i="9"/>
  <c r="BI131" i="9"/>
  <c r="BH131" i="9"/>
  <c r="BG131" i="9"/>
  <c r="BE131" i="9"/>
  <c r="T131" i="9"/>
  <c r="R131" i="9"/>
  <c r="P131" i="9"/>
  <c r="BI130" i="9"/>
  <c r="BH130" i="9"/>
  <c r="BG130" i="9"/>
  <c r="BE130" i="9"/>
  <c r="T130" i="9"/>
  <c r="R130" i="9"/>
  <c r="P130" i="9"/>
  <c r="BI129" i="9"/>
  <c r="BH129" i="9"/>
  <c r="BG129" i="9"/>
  <c r="BE129" i="9"/>
  <c r="T129" i="9"/>
  <c r="R129" i="9"/>
  <c r="P129" i="9"/>
  <c r="BI127" i="9"/>
  <c r="BH127" i="9"/>
  <c r="BG127" i="9"/>
  <c r="BE127" i="9"/>
  <c r="T127" i="9"/>
  <c r="T126" i="9" s="1"/>
  <c r="R127" i="9"/>
  <c r="R126" i="9" s="1"/>
  <c r="P127" i="9"/>
  <c r="P126" i="9" s="1"/>
  <c r="F118" i="9"/>
  <c r="E116" i="9"/>
  <c r="F91" i="9"/>
  <c r="E89" i="9"/>
  <c r="J26" i="9"/>
  <c r="E26" i="9"/>
  <c r="J94" i="9" s="1"/>
  <c r="J25" i="9"/>
  <c r="J23" i="9"/>
  <c r="E23" i="9"/>
  <c r="J120" i="9" s="1"/>
  <c r="J22" i="9"/>
  <c r="J20" i="9"/>
  <c r="E20" i="9"/>
  <c r="F121" i="9" s="1"/>
  <c r="J19" i="9"/>
  <c r="J17" i="9"/>
  <c r="E17" i="9"/>
  <c r="F93" i="9" s="1"/>
  <c r="J16" i="9"/>
  <c r="J14" i="9"/>
  <c r="J91" i="9" s="1"/>
  <c r="E7" i="9"/>
  <c r="E85" i="9" s="1"/>
  <c r="J101" i="8"/>
  <c r="J39" i="8"/>
  <c r="J38" i="8"/>
  <c r="AY102" i="1" s="1"/>
  <c r="J37" i="8"/>
  <c r="AX102" i="1"/>
  <c r="BI233" i="8"/>
  <c r="BH233" i="8"/>
  <c r="BG233" i="8"/>
  <c r="BE233" i="8"/>
  <c r="T233" i="8"/>
  <c r="R233" i="8"/>
  <c r="P233" i="8"/>
  <c r="BI232" i="8"/>
  <c r="BH232" i="8"/>
  <c r="BG232" i="8"/>
  <c r="BE232" i="8"/>
  <c r="T232" i="8"/>
  <c r="R232" i="8"/>
  <c r="P232" i="8"/>
  <c r="BI231" i="8"/>
  <c r="BH231" i="8"/>
  <c r="BG231" i="8"/>
  <c r="BE231" i="8"/>
  <c r="T231" i="8"/>
  <c r="R231" i="8"/>
  <c r="P231" i="8"/>
  <c r="BI230" i="8"/>
  <c r="BH230" i="8"/>
  <c r="BG230" i="8"/>
  <c r="BE230" i="8"/>
  <c r="T230" i="8"/>
  <c r="R230" i="8"/>
  <c r="P230" i="8"/>
  <c r="BI229" i="8"/>
  <c r="BH229" i="8"/>
  <c r="BG229" i="8"/>
  <c r="BE229" i="8"/>
  <c r="T229" i="8"/>
  <c r="R229" i="8"/>
  <c r="P229" i="8"/>
  <c r="BI228" i="8"/>
  <c r="BH228" i="8"/>
  <c r="BG228" i="8"/>
  <c r="BE228" i="8"/>
  <c r="T228" i="8"/>
  <c r="R228" i="8"/>
  <c r="P228" i="8"/>
  <c r="BI227" i="8"/>
  <c r="BH227" i="8"/>
  <c r="BG227" i="8"/>
  <c r="BE227" i="8"/>
  <c r="T227" i="8"/>
  <c r="R227" i="8"/>
  <c r="P227" i="8"/>
  <c r="BI226" i="8"/>
  <c r="BH226" i="8"/>
  <c r="BG226" i="8"/>
  <c r="BE226" i="8"/>
  <c r="T226" i="8"/>
  <c r="R226" i="8"/>
  <c r="P226" i="8"/>
  <c r="BI225" i="8"/>
  <c r="BH225" i="8"/>
  <c r="BG225" i="8"/>
  <c r="BE225" i="8"/>
  <c r="T225" i="8"/>
  <c r="R225" i="8"/>
  <c r="P225" i="8"/>
  <c r="BI223" i="8"/>
  <c r="BH223" i="8"/>
  <c r="BG223" i="8"/>
  <c r="BE223" i="8"/>
  <c r="T223" i="8"/>
  <c r="R223" i="8"/>
  <c r="P223" i="8"/>
  <c r="BI222" i="8"/>
  <c r="BH222" i="8"/>
  <c r="BG222" i="8"/>
  <c r="BE222" i="8"/>
  <c r="T222" i="8"/>
  <c r="R222" i="8"/>
  <c r="P222" i="8"/>
  <c r="BI220" i="8"/>
  <c r="BH220" i="8"/>
  <c r="BG220" i="8"/>
  <c r="BE220" i="8"/>
  <c r="T220" i="8"/>
  <c r="R220" i="8"/>
  <c r="P220" i="8"/>
  <c r="BI219" i="8"/>
  <c r="BH219" i="8"/>
  <c r="BG219" i="8"/>
  <c r="BE219" i="8"/>
  <c r="T219" i="8"/>
  <c r="R219" i="8"/>
  <c r="P219" i="8"/>
  <c r="BI218" i="8"/>
  <c r="BH218" i="8"/>
  <c r="BG218" i="8"/>
  <c r="BE218" i="8"/>
  <c r="T218" i="8"/>
  <c r="R218" i="8"/>
  <c r="P218" i="8"/>
  <c r="BI217" i="8"/>
  <c r="BH217" i="8"/>
  <c r="BG217" i="8"/>
  <c r="BE217" i="8"/>
  <c r="T217" i="8"/>
  <c r="R217" i="8"/>
  <c r="P217" i="8"/>
  <c r="BI216" i="8"/>
  <c r="BH216" i="8"/>
  <c r="BG216" i="8"/>
  <c r="BE216" i="8"/>
  <c r="T216" i="8"/>
  <c r="R216" i="8"/>
  <c r="P216" i="8"/>
  <c r="BI215" i="8"/>
  <c r="BH215" i="8"/>
  <c r="BG215" i="8"/>
  <c r="BE215" i="8"/>
  <c r="T215" i="8"/>
  <c r="R215" i="8"/>
  <c r="P215" i="8"/>
  <c r="BI214" i="8"/>
  <c r="BH214" i="8"/>
  <c r="BG214" i="8"/>
  <c r="BE214" i="8"/>
  <c r="T214" i="8"/>
  <c r="R214" i="8"/>
  <c r="P214" i="8"/>
  <c r="BI212" i="8"/>
  <c r="BH212" i="8"/>
  <c r="BG212" i="8"/>
  <c r="BE212" i="8"/>
  <c r="T212" i="8"/>
  <c r="R212" i="8"/>
  <c r="P212" i="8"/>
  <c r="BI211" i="8"/>
  <c r="BH211" i="8"/>
  <c r="BG211" i="8"/>
  <c r="BE211" i="8"/>
  <c r="T211" i="8"/>
  <c r="R211" i="8"/>
  <c r="P211" i="8"/>
  <c r="BI210" i="8"/>
  <c r="BH210" i="8"/>
  <c r="BG210" i="8"/>
  <c r="BE210" i="8"/>
  <c r="T210" i="8"/>
  <c r="R210" i="8"/>
  <c r="P210" i="8"/>
  <c r="BI209" i="8"/>
  <c r="BH209" i="8"/>
  <c r="BG209" i="8"/>
  <c r="BE209" i="8"/>
  <c r="T209" i="8"/>
  <c r="R209" i="8"/>
  <c r="P209" i="8"/>
  <c r="BI208" i="8"/>
  <c r="BH208" i="8"/>
  <c r="BG208" i="8"/>
  <c r="BE208" i="8"/>
  <c r="T208" i="8"/>
  <c r="R208" i="8"/>
  <c r="P208" i="8"/>
  <c r="BI207" i="8"/>
  <c r="BH207" i="8"/>
  <c r="BG207" i="8"/>
  <c r="BE207" i="8"/>
  <c r="T207" i="8"/>
  <c r="R207" i="8"/>
  <c r="P207" i="8"/>
  <c r="BI206" i="8"/>
  <c r="BH206" i="8"/>
  <c r="BG206" i="8"/>
  <c r="BE206" i="8"/>
  <c r="T206" i="8"/>
  <c r="R206" i="8"/>
  <c r="P206" i="8"/>
  <c r="BI205" i="8"/>
  <c r="BH205" i="8"/>
  <c r="BG205" i="8"/>
  <c r="BE205" i="8"/>
  <c r="T205" i="8"/>
  <c r="R205" i="8"/>
  <c r="P205" i="8"/>
  <c r="BI204" i="8"/>
  <c r="BH204" i="8"/>
  <c r="BG204" i="8"/>
  <c r="BE204" i="8"/>
  <c r="T204" i="8"/>
  <c r="R204" i="8"/>
  <c r="P204" i="8"/>
  <c r="BI203" i="8"/>
  <c r="BH203" i="8"/>
  <c r="BG203" i="8"/>
  <c r="BE203" i="8"/>
  <c r="T203" i="8"/>
  <c r="R203" i="8"/>
  <c r="P203" i="8"/>
  <c r="BI202" i="8"/>
  <c r="BH202" i="8"/>
  <c r="BG202" i="8"/>
  <c r="BE202" i="8"/>
  <c r="T202" i="8"/>
  <c r="R202" i="8"/>
  <c r="P202" i="8"/>
  <c r="BI201" i="8"/>
  <c r="BH201" i="8"/>
  <c r="BG201" i="8"/>
  <c r="BE201" i="8"/>
  <c r="T201" i="8"/>
  <c r="R201" i="8"/>
  <c r="P201" i="8"/>
  <c r="BI200" i="8"/>
  <c r="BH200" i="8"/>
  <c r="BG200" i="8"/>
  <c r="BE200" i="8"/>
  <c r="T200" i="8"/>
  <c r="R200" i="8"/>
  <c r="P200" i="8"/>
  <c r="BI199" i="8"/>
  <c r="BH199" i="8"/>
  <c r="BG199" i="8"/>
  <c r="BE199" i="8"/>
  <c r="T199" i="8"/>
  <c r="R199" i="8"/>
  <c r="P199" i="8"/>
  <c r="BI198" i="8"/>
  <c r="BH198" i="8"/>
  <c r="BG198" i="8"/>
  <c r="BE198" i="8"/>
  <c r="T198" i="8"/>
  <c r="R198" i="8"/>
  <c r="P198" i="8"/>
  <c r="BI197" i="8"/>
  <c r="BH197" i="8"/>
  <c r="BG197" i="8"/>
  <c r="BE197" i="8"/>
  <c r="T197" i="8"/>
  <c r="R197" i="8"/>
  <c r="P197" i="8"/>
  <c r="BI196" i="8"/>
  <c r="BH196" i="8"/>
  <c r="BG196" i="8"/>
  <c r="BE196" i="8"/>
  <c r="T196" i="8"/>
  <c r="R196" i="8"/>
  <c r="P196" i="8"/>
  <c r="BI195" i="8"/>
  <c r="BH195" i="8"/>
  <c r="BG195" i="8"/>
  <c r="BE195" i="8"/>
  <c r="T195" i="8"/>
  <c r="R195" i="8"/>
  <c r="P195" i="8"/>
  <c r="BI194" i="8"/>
  <c r="BH194" i="8"/>
  <c r="BG194" i="8"/>
  <c r="BE194" i="8"/>
  <c r="T194" i="8"/>
  <c r="R194" i="8"/>
  <c r="P194" i="8"/>
  <c r="BI193" i="8"/>
  <c r="BH193" i="8"/>
  <c r="BG193" i="8"/>
  <c r="BE193" i="8"/>
  <c r="T193" i="8"/>
  <c r="R193" i="8"/>
  <c r="P193" i="8"/>
  <c r="BI192" i="8"/>
  <c r="BH192" i="8"/>
  <c r="BG192" i="8"/>
  <c r="BE192" i="8"/>
  <c r="T192" i="8"/>
  <c r="R192" i="8"/>
  <c r="P192" i="8"/>
  <c r="BI191" i="8"/>
  <c r="BH191" i="8"/>
  <c r="BG191" i="8"/>
  <c r="BE191" i="8"/>
  <c r="T191" i="8"/>
  <c r="R191" i="8"/>
  <c r="P191" i="8"/>
  <c r="BI190" i="8"/>
  <c r="BH190" i="8"/>
  <c r="BG190" i="8"/>
  <c r="BE190" i="8"/>
  <c r="T190" i="8"/>
  <c r="R190" i="8"/>
  <c r="P190" i="8"/>
  <c r="BI189" i="8"/>
  <c r="BH189" i="8"/>
  <c r="BG189" i="8"/>
  <c r="BE189" i="8"/>
  <c r="T189" i="8"/>
  <c r="R189" i="8"/>
  <c r="P189" i="8"/>
  <c r="BI188" i="8"/>
  <c r="BH188" i="8"/>
  <c r="BG188" i="8"/>
  <c r="BE188" i="8"/>
  <c r="T188" i="8"/>
  <c r="R188" i="8"/>
  <c r="P188" i="8"/>
  <c r="BI187" i="8"/>
  <c r="BH187" i="8"/>
  <c r="BG187" i="8"/>
  <c r="BE187" i="8"/>
  <c r="T187" i="8"/>
  <c r="R187" i="8"/>
  <c r="P187" i="8"/>
  <c r="BI186" i="8"/>
  <c r="BH186" i="8"/>
  <c r="BG186" i="8"/>
  <c r="BE186" i="8"/>
  <c r="T186" i="8"/>
  <c r="R186" i="8"/>
  <c r="P186" i="8"/>
  <c r="BI185" i="8"/>
  <c r="BH185" i="8"/>
  <c r="BG185" i="8"/>
  <c r="BE185" i="8"/>
  <c r="T185" i="8"/>
  <c r="R185" i="8"/>
  <c r="P185" i="8"/>
  <c r="BI184" i="8"/>
  <c r="BH184" i="8"/>
  <c r="BG184" i="8"/>
  <c r="BE184" i="8"/>
  <c r="T184" i="8"/>
  <c r="R184" i="8"/>
  <c r="P184" i="8"/>
  <c r="BI183" i="8"/>
  <c r="BH183" i="8"/>
  <c r="BG183" i="8"/>
  <c r="BE183" i="8"/>
  <c r="T183" i="8"/>
  <c r="R183" i="8"/>
  <c r="P183" i="8"/>
  <c r="BI182" i="8"/>
  <c r="BH182" i="8"/>
  <c r="BG182" i="8"/>
  <c r="BE182" i="8"/>
  <c r="T182" i="8"/>
  <c r="R182" i="8"/>
  <c r="P182" i="8"/>
  <c r="BI181" i="8"/>
  <c r="BH181" i="8"/>
  <c r="BG181" i="8"/>
  <c r="BE181" i="8"/>
  <c r="T181" i="8"/>
  <c r="R181" i="8"/>
  <c r="P181" i="8"/>
  <c r="BI180" i="8"/>
  <c r="BH180" i="8"/>
  <c r="BG180" i="8"/>
  <c r="BE180" i="8"/>
  <c r="T180" i="8"/>
  <c r="R180" i="8"/>
  <c r="P180" i="8"/>
  <c r="BI179" i="8"/>
  <c r="BH179" i="8"/>
  <c r="BG179" i="8"/>
  <c r="BE179" i="8"/>
  <c r="T179" i="8"/>
  <c r="R179" i="8"/>
  <c r="P179" i="8"/>
  <c r="BI178" i="8"/>
  <c r="BH178" i="8"/>
  <c r="BG178" i="8"/>
  <c r="BE178" i="8"/>
  <c r="T178" i="8"/>
  <c r="R178" i="8"/>
  <c r="P178" i="8"/>
  <c r="BI177" i="8"/>
  <c r="BH177" i="8"/>
  <c r="BG177" i="8"/>
  <c r="BE177" i="8"/>
  <c r="T177" i="8"/>
  <c r="R177" i="8"/>
  <c r="P177" i="8"/>
  <c r="BI176" i="8"/>
  <c r="BH176" i="8"/>
  <c r="BG176" i="8"/>
  <c r="BE176" i="8"/>
  <c r="T176" i="8"/>
  <c r="R176" i="8"/>
  <c r="P176" i="8"/>
  <c r="BI175" i="8"/>
  <c r="BH175" i="8"/>
  <c r="BG175" i="8"/>
  <c r="BE175" i="8"/>
  <c r="T175" i="8"/>
  <c r="R175" i="8"/>
  <c r="P175" i="8"/>
  <c r="BI174" i="8"/>
  <c r="BH174" i="8"/>
  <c r="BG174" i="8"/>
  <c r="BE174" i="8"/>
  <c r="T174" i="8"/>
  <c r="R174" i="8"/>
  <c r="P174" i="8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8" i="8"/>
  <c r="BH168" i="8"/>
  <c r="BG168" i="8"/>
  <c r="BE168" i="8"/>
  <c r="T168" i="8"/>
  <c r="T167" i="8" s="1"/>
  <c r="R168" i="8"/>
  <c r="R167" i="8" s="1"/>
  <c r="P168" i="8"/>
  <c r="P167" i="8"/>
  <c r="BI166" i="8"/>
  <c r="BH166" i="8"/>
  <c r="BG166" i="8"/>
  <c r="BE166" i="8"/>
  <c r="T166" i="8"/>
  <c r="T165" i="8"/>
  <c r="R166" i="8"/>
  <c r="R165" i="8" s="1"/>
  <c r="R164" i="8" s="1"/>
  <c r="P166" i="8"/>
  <c r="P165" i="8" s="1"/>
  <c r="P164" i="8" s="1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8" i="8"/>
  <c r="BH148" i="8"/>
  <c r="BG148" i="8"/>
  <c r="BE148" i="8"/>
  <c r="T148" i="8"/>
  <c r="T147" i="8" s="1"/>
  <c r="R148" i="8"/>
  <c r="R147" i="8"/>
  <c r="P148" i="8"/>
  <c r="P147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3" i="8"/>
  <c r="BH143" i="8"/>
  <c r="BG143" i="8"/>
  <c r="BE143" i="8"/>
  <c r="T143" i="8"/>
  <c r="R143" i="8"/>
  <c r="P143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6" i="8"/>
  <c r="BH136" i="8"/>
  <c r="BG136" i="8"/>
  <c r="BE136" i="8"/>
  <c r="T136" i="8"/>
  <c r="R136" i="8"/>
  <c r="P136" i="8"/>
  <c r="F127" i="8"/>
  <c r="E125" i="8"/>
  <c r="F91" i="8"/>
  <c r="E89" i="8"/>
  <c r="J26" i="8"/>
  <c r="E26" i="8"/>
  <c r="J130" i="8" s="1"/>
  <c r="J25" i="8"/>
  <c r="J23" i="8"/>
  <c r="E23" i="8"/>
  <c r="J129" i="8"/>
  <c r="J22" i="8"/>
  <c r="J20" i="8"/>
  <c r="E20" i="8"/>
  <c r="F130" i="8" s="1"/>
  <c r="J19" i="8"/>
  <c r="J17" i="8"/>
  <c r="E17" i="8"/>
  <c r="F129" i="8" s="1"/>
  <c r="J16" i="8"/>
  <c r="J14" i="8"/>
  <c r="J127" i="8" s="1"/>
  <c r="E7" i="8"/>
  <c r="E121" i="8" s="1"/>
  <c r="J39" i="7"/>
  <c r="J38" i="7"/>
  <c r="AY101" i="1"/>
  <c r="J37" i="7"/>
  <c r="AX101" i="1" s="1"/>
  <c r="BI242" i="7"/>
  <c r="BH242" i="7"/>
  <c r="BG242" i="7"/>
  <c r="BE242" i="7"/>
  <c r="T242" i="7"/>
  <c r="R242" i="7"/>
  <c r="P242" i="7"/>
  <c r="BI241" i="7"/>
  <c r="BH241" i="7"/>
  <c r="BG241" i="7"/>
  <c r="BE241" i="7"/>
  <c r="T241" i="7"/>
  <c r="R241" i="7"/>
  <c r="P241" i="7"/>
  <c r="BI240" i="7"/>
  <c r="BH240" i="7"/>
  <c r="BG240" i="7"/>
  <c r="BE240" i="7"/>
  <c r="T240" i="7"/>
  <c r="R240" i="7"/>
  <c r="P240" i="7"/>
  <c r="BI239" i="7"/>
  <c r="BH239" i="7"/>
  <c r="BG239" i="7"/>
  <c r="BE239" i="7"/>
  <c r="T239" i="7"/>
  <c r="R239" i="7"/>
  <c r="P239" i="7"/>
  <c r="BI238" i="7"/>
  <c r="BH238" i="7"/>
  <c r="BG238" i="7"/>
  <c r="BE238" i="7"/>
  <c r="T238" i="7"/>
  <c r="R238" i="7"/>
  <c r="P238" i="7"/>
  <c r="BI237" i="7"/>
  <c r="BH237" i="7"/>
  <c r="BG237" i="7"/>
  <c r="BE237" i="7"/>
  <c r="T237" i="7"/>
  <c r="R237" i="7"/>
  <c r="P237" i="7"/>
  <c r="BI236" i="7"/>
  <c r="BH236" i="7"/>
  <c r="BG236" i="7"/>
  <c r="BE236" i="7"/>
  <c r="T236" i="7"/>
  <c r="R236" i="7"/>
  <c r="P236" i="7"/>
  <c r="BI235" i="7"/>
  <c r="BH235" i="7"/>
  <c r="BG235" i="7"/>
  <c r="BE235" i="7"/>
  <c r="T235" i="7"/>
  <c r="R235" i="7"/>
  <c r="P235" i="7"/>
  <c r="BI234" i="7"/>
  <c r="BH234" i="7"/>
  <c r="BG234" i="7"/>
  <c r="BE234" i="7"/>
  <c r="T234" i="7"/>
  <c r="R234" i="7"/>
  <c r="P234" i="7"/>
  <c r="BI232" i="7"/>
  <c r="BH232" i="7"/>
  <c r="BG232" i="7"/>
  <c r="BE232" i="7"/>
  <c r="T232" i="7"/>
  <c r="R232" i="7"/>
  <c r="P232" i="7"/>
  <c r="BI231" i="7"/>
  <c r="BH231" i="7"/>
  <c r="BG231" i="7"/>
  <c r="BE231" i="7"/>
  <c r="T231" i="7"/>
  <c r="R231" i="7"/>
  <c r="P231" i="7"/>
  <c r="BI229" i="7"/>
  <c r="BH229" i="7"/>
  <c r="BG229" i="7"/>
  <c r="BE229" i="7"/>
  <c r="T229" i="7"/>
  <c r="R229" i="7"/>
  <c r="P229" i="7"/>
  <c r="BI228" i="7"/>
  <c r="BH228" i="7"/>
  <c r="BG228" i="7"/>
  <c r="BE228" i="7"/>
  <c r="T228" i="7"/>
  <c r="R228" i="7"/>
  <c r="P228" i="7"/>
  <c r="BI227" i="7"/>
  <c r="BH227" i="7"/>
  <c r="BG227" i="7"/>
  <c r="BE227" i="7"/>
  <c r="T227" i="7"/>
  <c r="R227" i="7"/>
  <c r="P227" i="7"/>
  <c r="BI226" i="7"/>
  <c r="BH226" i="7"/>
  <c r="BG226" i="7"/>
  <c r="BE226" i="7"/>
  <c r="T226" i="7"/>
  <c r="R226" i="7"/>
  <c r="P226" i="7"/>
  <c r="BI225" i="7"/>
  <c r="BH225" i="7"/>
  <c r="BG225" i="7"/>
  <c r="BE225" i="7"/>
  <c r="T225" i="7"/>
  <c r="R225" i="7"/>
  <c r="P225" i="7"/>
  <c r="BI224" i="7"/>
  <c r="BH224" i="7"/>
  <c r="BG224" i="7"/>
  <c r="BE224" i="7"/>
  <c r="T224" i="7"/>
  <c r="R224" i="7"/>
  <c r="P224" i="7"/>
  <c r="BI223" i="7"/>
  <c r="BH223" i="7"/>
  <c r="BG223" i="7"/>
  <c r="BE223" i="7"/>
  <c r="T223" i="7"/>
  <c r="R223" i="7"/>
  <c r="P223" i="7"/>
  <c r="BI221" i="7"/>
  <c r="BH221" i="7"/>
  <c r="BG221" i="7"/>
  <c r="BE221" i="7"/>
  <c r="T221" i="7"/>
  <c r="R221" i="7"/>
  <c r="P221" i="7"/>
  <c r="BI220" i="7"/>
  <c r="BH220" i="7"/>
  <c r="BG220" i="7"/>
  <c r="BE220" i="7"/>
  <c r="T220" i="7"/>
  <c r="R220" i="7"/>
  <c r="P220" i="7"/>
  <c r="BI219" i="7"/>
  <c r="BH219" i="7"/>
  <c r="BG219" i="7"/>
  <c r="BE219" i="7"/>
  <c r="T219" i="7"/>
  <c r="R219" i="7"/>
  <c r="P219" i="7"/>
  <c r="BI218" i="7"/>
  <c r="BH218" i="7"/>
  <c r="BG218" i="7"/>
  <c r="BE218" i="7"/>
  <c r="T218" i="7"/>
  <c r="R218" i="7"/>
  <c r="P218" i="7"/>
  <c r="BI217" i="7"/>
  <c r="BH217" i="7"/>
  <c r="BG217" i="7"/>
  <c r="BE217" i="7"/>
  <c r="T217" i="7"/>
  <c r="R217" i="7"/>
  <c r="P217" i="7"/>
  <c r="BI216" i="7"/>
  <c r="BH216" i="7"/>
  <c r="BG216" i="7"/>
  <c r="BE216" i="7"/>
  <c r="T216" i="7"/>
  <c r="R216" i="7"/>
  <c r="P216" i="7"/>
  <c r="BI215" i="7"/>
  <c r="BH215" i="7"/>
  <c r="BG215" i="7"/>
  <c r="BE215" i="7"/>
  <c r="T215" i="7"/>
  <c r="R215" i="7"/>
  <c r="P215" i="7"/>
  <c r="BI214" i="7"/>
  <c r="BH214" i="7"/>
  <c r="BG214" i="7"/>
  <c r="BE214" i="7"/>
  <c r="T214" i="7"/>
  <c r="R214" i="7"/>
  <c r="P214" i="7"/>
  <c r="BI213" i="7"/>
  <c r="BH213" i="7"/>
  <c r="BG213" i="7"/>
  <c r="BE213" i="7"/>
  <c r="T213" i="7"/>
  <c r="R213" i="7"/>
  <c r="P213" i="7"/>
  <c r="BI212" i="7"/>
  <c r="BH212" i="7"/>
  <c r="BG212" i="7"/>
  <c r="BE212" i="7"/>
  <c r="T212" i="7"/>
  <c r="R212" i="7"/>
  <c r="P212" i="7"/>
  <c r="BI211" i="7"/>
  <c r="BH211" i="7"/>
  <c r="BG211" i="7"/>
  <c r="BE211" i="7"/>
  <c r="T211" i="7"/>
  <c r="R211" i="7"/>
  <c r="P211" i="7"/>
  <c r="BI210" i="7"/>
  <c r="BH210" i="7"/>
  <c r="BG210" i="7"/>
  <c r="BE210" i="7"/>
  <c r="T210" i="7"/>
  <c r="R210" i="7"/>
  <c r="P210" i="7"/>
  <c r="BI209" i="7"/>
  <c r="BH209" i="7"/>
  <c r="BG209" i="7"/>
  <c r="BE209" i="7"/>
  <c r="T209" i="7"/>
  <c r="R209" i="7"/>
  <c r="P209" i="7"/>
  <c r="BI208" i="7"/>
  <c r="BH208" i="7"/>
  <c r="BG208" i="7"/>
  <c r="BE208" i="7"/>
  <c r="T208" i="7"/>
  <c r="R208" i="7"/>
  <c r="P208" i="7"/>
  <c r="BI207" i="7"/>
  <c r="BH207" i="7"/>
  <c r="BG207" i="7"/>
  <c r="BE207" i="7"/>
  <c r="T207" i="7"/>
  <c r="R207" i="7"/>
  <c r="P207" i="7"/>
  <c r="BI206" i="7"/>
  <c r="BH206" i="7"/>
  <c r="BG206" i="7"/>
  <c r="BE206" i="7"/>
  <c r="T206" i="7"/>
  <c r="R206" i="7"/>
  <c r="P206" i="7"/>
  <c r="BI205" i="7"/>
  <c r="BH205" i="7"/>
  <c r="BG205" i="7"/>
  <c r="BE205" i="7"/>
  <c r="T205" i="7"/>
  <c r="R205" i="7"/>
  <c r="P205" i="7"/>
  <c r="BI204" i="7"/>
  <c r="BH204" i="7"/>
  <c r="BG204" i="7"/>
  <c r="BE204" i="7"/>
  <c r="T204" i="7"/>
  <c r="R204" i="7"/>
  <c r="P204" i="7"/>
  <c r="BI203" i="7"/>
  <c r="BH203" i="7"/>
  <c r="BG203" i="7"/>
  <c r="BE203" i="7"/>
  <c r="T203" i="7"/>
  <c r="R203" i="7"/>
  <c r="P203" i="7"/>
  <c r="BI202" i="7"/>
  <c r="BH202" i="7"/>
  <c r="BG202" i="7"/>
  <c r="BE202" i="7"/>
  <c r="T202" i="7"/>
  <c r="R202" i="7"/>
  <c r="P202" i="7"/>
  <c r="BI201" i="7"/>
  <c r="BH201" i="7"/>
  <c r="BG201" i="7"/>
  <c r="BE201" i="7"/>
  <c r="T201" i="7"/>
  <c r="R201" i="7"/>
  <c r="P201" i="7"/>
  <c r="BI200" i="7"/>
  <c r="BH200" i="7"/>
  <c r="BG200" i="7"/>
  <c r="BE200" i="7"/>
  <c r="T200" i="7"/>
  <c r="R200" i="7"/>
  <c r="P200" i="7"/>
  <c r="BI199" i="7"/>
  <c r="BH199" i="7"/>
  <c r="BG199" i="7"/>
  <c r="BE199" i="7"/>
  <c r="T199" i="7"/>
  <c r="R199" i="7"/>
  <c r="P199" i="7"/>
  <c r="BI198" i="7"/>
  <c r="BH198" i="7"/>
  <c r="BG198" i="7"/>
  <c r="BE198" i="7"/>
  <c r="T198" i="7"/>
  <c r="R198" i="7"/>
  <c r="P198" i="7"/>
  <c r="BI197" i="7"/>
  <c r="BH197" i="7"/>
  <c r="BG197" i="7"/>
  <c r="BE197" i="7"/>
  <c r="T197" i="7"/>
  <c r="R197" i="7"/>
  <c r="P197" i="7"/>
  <c r="BI196" i="7"/>
  <c r="BH196" i="7"/>
  <c r="BG196" i="7"/>
  <c r="BE196" i="7"/>
  <c r="T196" i="7"/>
  <c r="R196" i="7"/>
  <c r="P196" i="7"/>
  <c r="BI195" i="7"/>
  <c r="BH195" i="7"/>
  <c r="BG195" i="7"/>
  <c r="BE195" i="7"/>
  <c r="T195" i="7"/>
  <c r="R195" i="7"/>
  <c r="P195" i="7"/>
  <c r="BI194" i="7"/>
  <c r="BH194" i="7"/>
  <c r="BG194" i="7"/>
  <c r="BE194" i="7"/>
  <c r="T194" i="7"/>
  <c r="R194" i="7"/>
  <c r="P194" i="7"/>
  <c r="BI193" i="7"/>
  <c r="BH193" i="7"/>
  <c r="BG193" i="7"/>
  <c r="BE193" i="7"/>
  <c r="T193" i="7"/>
  <c r="R193" i="7"/>
  <c r="P193" i="7"/>
  <c r="BI192" i="7"/>
  <c r="BH192" i="7"/>
  <c r="BG192" i="7"/>
  <c r="BE192" i="7"/>
  <c r="T192" i="7"/>
  <c r="R192" i="7"/>
  <c r="P192" i="7"/>
  <c r="BI191" i="7"/>
  <c r="BH191" i="7"/>
  <c r="BG191" i="7"/>
  <c r="BE191" i="7"/>
  <c r="T191" i="7"/>
  <c r="R191" i="7"/>
  <c r="P191" i="7"/>
  <c r="BI190" i="7"/>
  <c r="BH190" i="7"/>
  <c r="BG190" i="7"/>
  <c r="BE190" i="7"/>
  <c r="T190" i="7"/>
  <c r="R190" i="7"/>
  <c r="P190" i="7"/>
  <c r="BI189" i="7"/>
  <c r="BH189" i="7"/>
  <c r="BG189" i="7"/>
  <c r="BE189" i="7"/>
  <c r="T189" i="7"/>
  <c r="R189" i="7"/>
  <c r="P189" i="7"/>
  <c r="BI188" i="7"/>
  <c r="BH188" i="7"/>
  <c r="BG188" i="7"/>
  <c r="BE188" i="7"/>
  <c r="T188" i="7"/>
  <c r="R188" i="7"/>
  <c r="P188" i="7"/>
  <c r="BI187" i="7"/>
  <c r="BH187" i="7"/>
  <c r="BG187" i="7"/>
  <c r="BE187" i="7"/>
  <c r="T187" i="7"/>
  <c r="R187" i="7"/>
  <c r="P187" i="7"/>
  <c r="BI186" i="7"/>
  <c r="BH186" i="7"/>
  <c r="BG186" i="7"/>
  <c r="BE186" i="7"/>
  <c r="T186" i="7"/>
  <c r="R186" i="7"/>
  <c r="P186" i="7"/>
  <c r="BI185" i="7"/>
  <c r="BH185" i="7"/>
  <c r="BG185" i="7"/>
  <c r="BE185" i="7"/>
  <c r="T185" i="7"/>
  <c r="R185" i="7"/>
  <c r="P185" i="7"/>
  <c r="BI184" i="7"/>
  <c r="BH184" i="7"/>
  <c r="BG184" i="7"/>
  <c r="BE184" i="7"/>
  <c r="T184" i="7"/>
  <c r="R184" i="7"/>
  <c r="P184" i="7"/>
  <c r="BI183" i="7"/>
  <c r="BH183" i="7"/>
  <c r="BG183" i="7"/>
  <c r="BE183" i="7"/>
  <c r="T183" i="7"/>
  <c r="R183" i="7"/>
  <c r="P183" i="7"/>
  <c r="BI182" i="7"/>
  <c r="BH182" i="7"/>
  <c r="BG182" i="7"/>
  <c r="BE182" i="7"/>
  <c r="T182" i="7"/>
  <c r="R182" i="7"/>
  <c r="P182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3" i="7"/>
  <c r="BH173" i="7"/>
  <c r="BG173" i="7"/>
  <c r="BE173" i="7"/>
  <c r="T173" i="7"/>
  <c r="T172" i="7"/>
  <c r="R173" i="7"/>
  <c r="R172" i="7" s="1"/>
  <c r="R169" i="7" s="1"/>
  <c r="P173" i="7"/>
  <c r="P172" i="7"/>
  <c r="BI171" i="7"/>
  <c r="BH171" i="7"/>
  <c r="BG171" i="7"/>
  <c r="BE171" i="7"/>
  <c r="T171" i="7"/>
  <c r="T170" i="7"/>
  <c r="R171" i="7"/>
  <c r="R170" i="7"/>
  <c r="P171" i="7"/>
  <c r="P170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0" i="7"/>
  <c r="BH150" i="7"/>
  <c r="BG150" i="7"/>
  <c r="BE150" i="7"/>
  <c r="T150" i="7"/>
  <c r="T149" i="7"/>
  <c r="R150" i="7"/>
  <c r="R149" i="7" s="1"/>
  <c r="P150" i="7"/>
  <c r="P149" i="7" s="1"/>
  <c r="J102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F128" i="7"/>
  <c r="E126" i="7"/>
  <c r="F91" i="7"/>
  <c r="E89" i="7"/>
  <c r="J26" i="7"/>
  <c r="E26" i="7"/>
  <c r="J94" i="7" s="1"/>
  <c r="J25" i="7"/>
  <c r="J23" i="7"/>
  <c r="E23" i="7"/>
  <c r="J130" i="7" s="1"/>
  <c r="J22" i="7"/>
  <c r="J20" i="7"/>
  <c r="E20" i="7"/>
  <c r="F94" i="7" s="1"/>
  <c r="J19" i="7"/>
  <c r="J17" i="7"/>
  <c r="E17" i="7"/>
  <c r="F130" i="7" s="1"/>
  <c r="J16" i="7"/>
  <c r="J14" i="7"/>
  <c r="J128" i="7" s="1"/>
  <c r="E7" i="7"/>
  <c r="E85" i="7" s="1"/>
  <c r="J39" i="6"/>
  <c r="J38" i="6"/>
  <c r="AY100" i="1"/>
  <c r="J37" i="6"/>
  <c r="AX100" i="1"/>
  <c r="BI232" i="6"/>
  <c r="BH232" i="6"/>
  <c r="BG232" i="6"/>
  <c r="BE232" i="6"/>
  <c r="T232" i="6"/>
  <c r="R232" i="6"/>
  <c r="P232" i="6"/>
  <c r="BI231" i="6"/>
  <c r="BH231" i="6"/>
  <c r="BG231" i="6"/>
  <c r="BE231" i="6"/>
  <c r="T231" i="6"/>
  <c r="R231" i="6"/>
  <c r="P231" i="6"/>
  <c r="BI230" i="6"/>
  <c r="BH230" i="6"/>
  <c r="BG230" i="6"/>
  <c r="BE230" i="6"/>
  <c r="T230" i="6"/>
  <c r="R230" i="6"/>
  <c r="P230" i="6"/>
  <c r="BI229" i="6"/>
  <c r="BH229" i="6"/>
  <c r="BG229" i="6"/>
  <c r="BE229" i="6"/>
  <c r="T229" i="6"/>
  <c r="R229" i="6"/>
  <c r="P229" i="6"/>
  <c r="BI228" i="6"/>
  <c r="BH228" i="6"/>
  <c r="BG228" i="6"/>
  <c r="BE228" i="6"/>
  <c r="T228" i="6"/>
  <c r="R228" i="6"/>
  <c r="P228" i="6"/>
  <c r="BI227" i="6"/>
  <c r="BH227" i="6"/>
  <c r="BG227" i="6"/>
  <c r="BE227" i="6"/>
  <c r="T227" i="6"/>
  <c r="R227" i="6"/>
  <c r="P227" i="6"/>
  <c r="BI226" i="6"/>
  <c r="BH226" i="6"/>
  <c r="BG226" i="6"/>
  <c r="BE226" i="6"/>
  <c r="T226" i="6"/>
  <c r="R226" i="6"/>
  <c r="P226" i="6"/>
  <c r="BI225" i="6"/>
  <c r="BH225" i="6"/>
  <c r="BG225" i="6"/>
  <c r="BE225" i="6"/>
  <c r="T225" i="6"/>
  <c r="R225" i="6"/>
  <c r="P225" i="6"/>
  <c r="BI224" i="6"/>
  <c r="BH224" i="6"/>
  <c r="BG224" i="6"/>
  <c r="BE224" i="6"/>
  <c r="T224" i="6"/>
  <c r="R224" i="6"/>
  <c r="P224" i="6"/>
  <c r="BI222" i="6"/>
  <c r="BH222" i="6"/>
  <c r="BG222" i="6"/>
  <c r="BE222" i="6"/>
  <c r="T222" i="6"/>
  <c r="R222" i="6"/>
  <c r="P222" i="6"/>
  <c r="BI221" i="6"/>
  <c r="BH221" i="6"/>
  <c r="BG221" i="6"/>
  <c r="BE221" i="6"/>
  <c r="T221" i="6"/>
  <c r="R221" i="6"/>
  <c r="P221" i="6"/>
  <c r="BI219" i="6"/>
  <c r="BH219" i="6"/>
  <c r="BG219" i="6"/>
  <c r="BE219" i="6"/>
  <c r="T219" i="6"/>
  <c r="R219" i="6"/>
  <c r="P219" i="6"/>
  <c r="BI218" i="6"/>
  <c r="BH218" i="6"/>
  <c r="BG218" i="6"/>
  <c r="BE218" i="6"/>
  <c r="T218" i="6"/>
  <c r="R218" i="6"/>
  <c r="P218" i="6"/>
  <c r="BI217" i="6"/>
  <c r="BH217" i="6"/>
  <c r="BG217" i="6"/>
  <c r="BE217" i="6"/>
  <c r="T217" i="6"/>
  <c r="R217" i="6"/>
  <c r="P217" i="6"/>
  <c r="BI216" i="6"/>
  <c r="BH216" i="6"/>
  <c r="BG216" i="6"/>
  <c r="BE216" i="6"/>
  <c r="T216" i="6"/>
  <c r="R216" i="6"/>
  <c r="P216" i="6"/>
  <c r="BI215" i="6"/>
  <c r="BH215" i="6"/>
  <c r="BG215" i="6"/>
  <c r="BE215" i="6"/>
  <c r="T215" i="6"/>
  <c r="R215" i="6"/>
  <c r="P215" i="6"/>
  <c r="BI214" i="6"/>
  <c r="BH214" i="6"/>
  <c r="BG214" i="6"/>
  <c r="BE214" i="6"/>
  <c r="T214" i="6"/>
  <c r="R214" i="6"/>
  <c r="P214" i="6"/>
  <c r="BI213" i="6"/>
  <c r="BH213" i="6"/>
  <c r="BG213" i="6"/>
  <c r="BE213" i="6"/>
  <c r="T213" i="6"/>
  <c r="R213" i="6"/>
  <c r="P213" i="6"/>
  <c r="BI211" i="6"/>
  <c r="BH211" i="6"/>
  <c r="BG211" i="6"/>
  <c r="BE211" i="6"/>
  <c r="T211" i="6"/>
  <c r="R211" i="6"/>
  <c r="P211" i="6"/>
  <c r="BI210" i="6"/>
  <c r="BH210" i="6"/>
  <c r="BG210" i="6"/>
  <c r="BE210" i="6"/>
  <c r="T210" i="6"/>
  <c r="R210" i="6"/>
  <c r="P210" i="6"/>
  <c r="BI209" i="6"/>
  <c r="BH209" i="6"/>
  <c r="BG209" i="6"/>
  <c r="BE209" i="6"/>
  <c r="T209" i="6"/>
  <c r="R209" i="6"/>
  <c r="P209" i="6"/>
  <c r="BI208" i="6"/>
  <c r="BH208" i="6"/>
  <c r="BG208" i="6"/>
  <c r="BE208" i="6"/>
  <c r="T208" i="6"/>
  <c r="R208" i="6"/>
  <c r="P208" i="6"/>
  <c r="BI207" i="6"/>
  <c r="BH207" i="6"/>
  <c r="BG207" i="6"/>
  <c r="BE207" i="6"/>
  <c r="T207" i="6"/>
  <c r="R207" i="6"/>
  <c r="P207" i="6"/>
  <c r="BI206" i="6"/>
  <c r="BH206" i="6"/>
  <c r="BG206" i="6"/>
  <c r="BE206" i="6"/>
  <c r="T206" i="6"/>
  <c r="R206" i="6"/>
  <c r="P206" i="6"/>
  <c r="BI205" i="6"/>
  <c r="BH205" i="6"/>
  <c r="BG205" i="6"/>
  <c r="BE205" i="6"/>
  <c r="T205" i="6"/>
  <c r="R205" i="6"/>
  <c r="P205" i="6"/>
  <c r="BI204" i="6"/>
  <c r="BH204" i="6"/>
  <c r="BG204" i="6"/>
  <c r="BE204" i="6"/>
  <c r="T204" i="6"/>
  <c r="R204" i="6"/>
  <c r="P204" i="6"/>
  <c r="BI203" i="6"/>
  <c r="BH203" i="6"/>
  <c r="BG203" i="6"/>
  <c r="BE203" i="6"/>
  <c r="T203" i="6"/>
  <c r="R203" i="6"/>
  <c r="P203" i="6"/>
  <c r="BI202" i="6"/>
  <c r="BH202" i="6"/>
  <c r="BG202" i="6"/>
  <c r="BE202" i="6"/>
  <c r="T202" i="6"/>
  <c r="R202" i="6"/>
  <c r="P202" i="6"/>
  <c r="BI201" i="6"/>
  <c r="BH201" i="6"/>
  <c r="BG201" i="6"/>
  <c r="BE201" i="6"/>
  <c r="T201" i="6"/>
  <c r="R201" i="6"/>
  <c r="P201" i="6"/>
  <c r="BI200" i="6"/>
  <c r="BH200" i="6"/>
  <c r="BG200" i="6"/>
  <c r="BE200" i="6"/>
  <c r="T200" i="6"/>
  <c r="R200" i="6"/>
  <c r="P200" i="6"/>
  <c r="BI199" i="6"/>
  <c r="BH199" i="6"/>
  <c r="BG199" i="6"/>
  <c r="BE199" i="6"/>
  <c r="T199" i="6"/>
  <c r="R199" i="6"/>
  <c r="P199" i="6"/>
  <c r="BI198" i="6"/>
  <c r="BH198" i="6"/>
  <c r="BG198" i="6"/>
  <c r="BE198" i="6"/>
  <c r="T198" i="6"/>
  <c r="R198" i="6"/>
  <c r="P198" i="6"/>
  <c r="BI197" i="6"/>
  <c r="BH197" i="6"/>
  <c r="BG197" i="6"/>
  <c r="BE197" i="6"/>
  <c r="T197" i="6"/>
  <c r="R197" i="6"/>
  <c r="P197" i="6"/>
  <c r="BI196" i="6"/>
  <c r="BH196" i="6"/>
  <c r="BG196" i="6"/>
  <c r="BE196" i="6"/>
  <c r="T196" i="6"/>
  <c r="R196" i="6"/>
  <c r="P196" i="6"/>
  <c r="BI195" i="6"/>
  <c r="BH195" i="6"/>
  <c r="BG195" i="6"/>
  <c r="BE195" i="6"/>
  <c r="T195" i="6"/>
  <c r="R195" i="6"/>
  <c r="P195" i="6"/>
  <c r="BI194" i="6"/>
  <c r="BH194" i="6"/>
  <c r="BG194" i="6"/>
  <c r="BE194" i="6"/>
  <c r="T194" i="6"/>
  <c r="R194" i="6"/>
  <c r="P194" i="6"/>
  <c r="BI193" i="6"/>
  <c r="BH193" i="6"/>
  <c r="BG193" i="6"/>
  <c r="BE193" i="6"/>
  <c r="T193" i="6"/>
  <c r="R193" i="6"/>
  <c r="P193" i="6"/>
  <c r="BI192" i="6"/>
  <c r="BH192" i="6"/>
  <c r="BG192" i="6"/>
  <c r="BE192" i="6"/>
  <c r="T192" i="6"/>
  <c r="R192" i="6"/>
  <c r="P192" i="6"/>
  <c r="BI191" i="6"/>
  <c r="BH191" i="6"/>
  <c r="BG191" i="6"/>
  <c r="BE191" i="6"/>
  <c r="T191" i="6"/>
  <c r="R191" i="6"/>
  <c r="P191" i="6"/>
  <c r="BI190" i="6"/>
  <c r="BH190" i="6"/>
  <c r="BG190" i="6"/>
  <c r="BE190" i="6"/>
  <c r="T190" i="6"/>
  <c r="R190" i="6"/>
  <c r="P190" i="6"/>
  <c r="BI189" i="6"/>
  <c r="BH189" i="6"/>
  <c r="BG189" i="6"/>
  <c r="BE189" i="6"/>
  <c r="T189" i="6"/>
  <c r="R189" i="6"/>
  <c r="P189" i="6"/>
  <c r="BI188" i="6"/>
  <c r="BH188" i="6"/>
  <c r="BG188" i="6"/>
  <c r="BE188" i="6"/>
  <c r="T188" i="6"/>
  <c r="R188" i="6"/>
  <c r="P188" i="6"/>
  <c r="BI187" i="6"/>
  <c r="BH187" i="6"/>
  <c r="BG187" i="6"/>
  <c r="BE187" i="6"/>
  <c r="T187" i="6"/>
  <c r="R187" i="6"/>
  <c r="P187" i="6"/>
  <c r="BI186" i="6"/>
  <c r="BH186" i="6"/>
  <c r="BG186" i="6"/>
  <c r="BE186" i="6"/>
  <c r="T186" i="6"/>
  <c r="R186" i="6"/>
  <c r="P186" i="6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8" i="6"/>
  <c r="BH168" i="6"/>
  <c r="BG168" i="6"/>
  <c r="BE168" i="6"/>
  <c r="T168" i="6"/>
  <c r="T167" i="6" s="1"/>
  <c r="R168" i="6"/>
  <c r="R167" i="6" s="1"/>
  <c r="P168" i="6"/>
  <c r="P167" i="6" s="1"/>
  <c r="BI166" i="6"/>
  <c r="BH166" i="6"/>
  <c r="BG166" i="6"/>
  <c r="BE166" i="6"/>
  <c r="T166" i="6"/>
  <c r="T165" i="6" s="1"/>
  <c r="T164" i="6" s="1"/>
  <c r="R166" i="6"/>
  <c r="R165" i="6" s="1"/>
  <c r="P166" i="6"/>
  <c r="P165" i="6" s="1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8" i="6"/>
  <c r="BH148" i="6"/>
  <c r="BG148" i="6"/>
  <c r="BE148" i="6"/>
  <c r="T148" i="6"/>
  <c r="T147" i="6"/>
  <c r="R148" i="6"/>
  <c r="R147" i="6"/>
  <c r="P148" i="6"/>
  <c r="P147" i="6"/>
  <c r="J102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F128" i="6"/>
  <c r="E126" i="6"/>
  <c r="F91" i="6"/>
  <c r="E89" i="6"/>
  <c r="J26" i="6"/>
  <c r="E26" i="6"/>
  <c r="J131" i="6" s="1"/>
  <c r="J25" i="6"/>
  <c r="J23" i="6"/>
  <c r="E23" i="6"/>
  <c r="J93" i="6" s="1"/>
  <c r="J22" i="6"/>
  <c r="J20" i="6"/>
  <c r="E20" i="6"/>
  <c r="F131" i="6"/>
  <c r="J19" i="6"/>
  <c r="J17" i="6"/>
  <c r="E17" i="6"/>
  <c r="F93" i="6" s="1"/>
  <c r="J16" i="6"/>
  <c r="J14" i="6"/>
  <c r="J128" i="6" s="1"/>
  <c r="E7" i="6"/>
  <c r="E85" i="6" s="1"/>
  <c r="J101" i="5"/>
  <c r="J39" i="5"/>
  <c r="J38" i="5"/>
  <c r="AY99" i="1"/>
  <c r="J37" i="5"/>
  <c r="AX99" i="1" s="1"/>
  <c r="BI365" i="5"/>
  <c r="BH365" i="5"/>
  <c r="BG365" i="5"/>
  <c r="BE365" i="5"/>
  <c r="T365" i="5"/>
  <c r="R365" i="5"/>
  <c r="P365" i="5"/>
  <c r="BI364" i="5"/>
  <c r="BH364" i="5"/>
  <c r="BG364" i="5"/>
  <c r="BE364" i="5"/>
  <c r="T364" i="5"/>
  <c r="R364" i="5"/>
  <c r="P364" i="5"/>
  <c r="BI363" i="5"/>
  <c r="BH363" i="5"/>
  <c r="BG363" i="5"/>
  <c r="BE363" i="5"/>
  <c r="T363" i="5"/>
  <c r="R363" i="5"/>
  <c r="P363" i="5"/>
  <c r="BI362" i="5"/>
  <c r="BH362" i="5"/>
  <c r="BG362" i="5"/>
  <c r="BE362" i="5"/>
  <c r="T362" i="5"/>
  <c r="R362" i="5"/>
  <c r="P362" i="5"/>
  <c r="BI361" i="5"/>
  <c r="BH361" i="5"/>
  <c r="BG361" i="5"/>
  <c r="BE361" i="5"/>
  <c r="T361" i="5"/>
  <c r="R361" i="5"/>
  <c r="P361" i="5"/>
  <c r="BI360" i="5"/>
  <c r="BH360" i="5"/>
  <c r="BG360" i="5"/>
  <c r="BE360" i="5"/>
  <c r="T360" i="5"/>
  <c r="R360" i="5"/>
  <c r="P360" i="5"/>
  <c r="BI359" i="5"/>
  <c r="BH359" i="5"/>
  <c r="BG359" i="5"/>
  <c r="BE359" i="5"/>
  <c r="T359" i="5"/>
  <c r="R359" i="5"/>
  <c r="P359" i="5"/>
  <c r="BI358" i="5"/>
  <c r="BH358" i="5"/>
  <c r="BG358" i="5"/>
  <c r="BE358" i="5"/>
  <c r="T358" i="5"/>
  <c r="R358" i="5"/>
  <c r="P358" i="5"/>
  <c r="BI357" i="5"/>
  <c r="BH357" i="5"/>
  <c r="BG357" i="5"/>
  <c r="BE357" i="5"/>
  <c r="T357" i="5"/>
  <c r="R357" i="5"/>
  <c r="P357" i="5"/>
  <c r="BI356" i="5"/>
  <c r="BH356" i="5"/>
  <c r="BG356" i="5"/>
  <c r="BE356" i="5"/>
  <c r="T356" i="5"/>
  <c r="R356" i="5"/>
  <c r="P356" i="5"/>
  <c r="BI355" i="5"/>
  <c r="BH355" i="5"/>
  <c r="BG355" i="5"/>
  <c r="BE355" i="5"/>
  <c r="T355" i="5"/>
  <c r="R355" i="5"/>
  <c r="P355" i="5"/>
  <c r="BI354" i="5"/>
  <c r="BH354" i="5"/>
  <c r="BG354" i="5"/>
  <c r="BE354" i="5"/>
  <c r="T354" i="5"/>
  <c r="R354" i="5"/>
  <c r="P354" i="5"/>
  <c r="BI353" i="5"/>
  <c r="BH353" i="5"/>
  <c r="BG353" i="5"/>
  <c r="BE353" i="5"/>
  <c r="T353" i="5"/>
  <c r="R353" i="5"/>
  <c r="P353" i="5"/>
  <c r="BI351" i="5"/>
  <c r="BH351" i="5"/>
  <c r="BG351" i="5"/>
  <c r="BE351" i="5"/>
  <c r="T351" i="5"/>
  <c r="R351" i="5"/>
  <c r="P351" i="5"/>
  <c r="BI350" i="5"/>
  <c r="BH350" i="5"/>
  <c r="BG350" i="5"/>
  <c r="BE350" i="5"/>
  <c r="T350" i="5"/>
  <c r="R350" i="5"/>
  <c r="P350" i="5"/>
  <c r="BI349" i="5"/>
  <c r="BH349" i="5"/>
  <c r="BG349" i="5"/>
  <c r="BE349" i="5"/>
  <c r="T349" i="5"/>
  <c r="R349" i="5"/>
  <c r="P349" i="5"/>
  <c r="BI348" i="5"/>
  <c r="BH348" i="5"/>
  <c r="BG348" i="5"/>
  <c r="BE348" i="5"/>
  <c r="T348" i="5"/>
  <c r="R348" i="5"/>
  <c r="P348" i="5"/>
  <c r="BI347" i="5"/>
  <c r="BH347" i="5"/>
  <c r="BG347" i="5"/>
  <c r="BE347" i="5"/>
  <c r="T347" i="5"/>
  <c r="R347" i="5"/>
  <c r="P347" i="5"/>
  <c r="BI345" i="5"/>
  <c r="BH345" i="5"/>
  <c r="BG345" i="5"/>
  <c r="BE345" i="5"/>
  <c r="T345" i="5"/>
  <c r="R345" i="5"/>
  <c r="P345" i="5"/>
  <c r="BI344" i="5"/>
  <c r="BH344" i="5"/>
  <c r="BG344" i="5"/>
  <c r="BE344" i="5"/>
  <c r="T344" i="5"/>
  <c r="R344" i="5"/>
  <c r="P344" i="5"/>
  <c r="BI343" i="5"/>
  <c r="BH343" i="5"/>
  <c r="BG343" i="5"/>
  <c r="BE343" i="5"/>
  <c r="T343" i="5"/>
  <c r="R343" i="5"/>
  <c r="P343" i="5"/>
  <c r="BI342" i="5"/>
  <c r="BH342" i="5"/>
  <c r="BG342" i="5"/>
  <c r="BE342" i="5"/>
  <c r="T342" i="5"/>
  <c r="R342" i="5"/>
  <c r="P342" i="5"/>
  <c r="BI340" i="5"/>
  <c r="BH340" i="5"/>
  <c r="BG340" i="5"/>
  <c r="BE340" i="5"/>
  <c r="T340" i="5"/>
  <c r="R340" i="5"/>
  <c r="P340" i="5"/>
  <c r="BI339" i="5"/>
  <c r="BH339" i="5"/>
  <c r="BG339" i="5"/>
  <c r="BE339" i="5"/>
  <c r="T339" i="5"/>
  <c r="R339" i="5"/>
  <c r="P339" i="5"/>
  <c r="BI338" i="5"/>
  <c r="BH338" i="5"/>
  <c r="BG338" i="5"/>
  <c r="BE338" i="5"/>
  <c r="T338" i="5"/>
  <c r="R338" i="5"/>
  <c r="P338" i="5"/>
  <c r="BI337" i="5"/>
  <c r="BH337" i="5"/>
  <c r="BG337" i="5"/>
  <c r="BE337" i="5"/>
  <c r="T337" i="5"/>
  <c r="R337" i="5"/>
  <c r="P337" i="5"/>
  <c r="BI335" i="5"/>
  <c r="BH335" i="5"/>
  <c r="BG335" i="5"/>
  <c r="BE335" i="5"/>
  <c r="T335" i="5"/>
  <c r="R335" i="5"/>
  <c r="P335" i="5"/>
  <c r="BI334" i="5"/>
  <c r="BH334" i="5"/>
  <c r="BG334" i="5"/>
  <c r="BE334" i="5"/>
  <c r="T334" i="5"/>
  <c r="R334" i="5"/>
  <c r="P334" i="5"/>
  <c r="BI333" i="5"/>
  <c r="BH333" i="5"/>
  <c r="BG333" i="5"/>
  <c r="BE333" i="5"/>
  <c r="T333" i="5"/>
  <c r="R333" i="5"/>
  <c r="P333" i="5"/>
  <c r="BI332" i="5"/>
  <c r="BH332" i="5"/>
  <c r="BG332" i="5"/>
  <c r="BE332" i="5"/>
  <c r="T332" i="5"/>
  <c r="R332" i="5"/>
  <c r="P332" i="5"/>
  <c r="BI331" i="5"/>
  <c r="BH331" i="5"/>
  <c r="BG331" i="5"/>
  <c r="BE331" i="5"/>
  <c r="T331" i="5"/>
  <c r="R331" i="5"/>
  <c r="P331" i="5"/>
  <c r="BI330" i="5"/>
  <c r="BH330" i="5"/>
  <c r="BG330" i="5"/>
  <c r="BE330" i="5"/>
  <c r="T330" i="5"/>
  <c r="R330" i="5"/>
  <c r="P330" i="5"/>
  <c r="BI329" i="5"/>
  <c r="BH329" i="5"/>
  <c r="BG329" i="5"/>
  <c r="BE329" i="5"/>
  <c r="T329" i="5"/>
  <c r="R329" i="5"/>
  <c r="P329" i="5"/>
  <c r="BI328" i="5"/>
  <c r="BH328" i="5"/>
  <c r="BG328" i="5"/>
  <c r="BE328" i="5"/>
  <c r="T328" i="5"/>
  <c r="R328" i="5"/>
  <c r="P328" i="5"/>
  <c r="BI327" i="5"/>
  <c r="BH327" i="5"/>
  <c r="BG327" i="5"/>
  <c r="BE327" i="5"/>
  <c r="T327" i="5"/>
  <c r="R327" i="5"/>
  <c r="P327" i="5"/>
  <c r="BI326" i="5"/>
  <c r="BH326" i="5"/>
  <c r="BG326" i="5"/>
  <c r="BE326" i="5"/>
  <c r="T326" i="5"/>
  <c r="R326" i="5"/>
  <c r="P326" i="5"/>
  <c r="BI325" i="5"/>
  <c r="BH325" i="5"/>
  <c r="BG325" i="5"/>
  <c r="BE325" i="5"/>
  <c r="T325" i="5"/>
  <c r="R325" i="5"/>
  <c r="P325" i="5"/>
  <c r="BI324" i="5"/>
  <c r="BH324" i="5"/>
  <c r="BG324" i="5"/>
  <c r="BE324" i="5"/>
  <c r="T324" i="5"/>
  <c r="R324" i="5"/>
  <c r="P324" i="5"/>
  <c r="BI323" i="5"/>
  <c r="BH323" i="5"/>
  <c r="BG323" i="5"/>
  <c r="BE323" i="5"/>
  <c r="T323" i="5"/>
  <c r="R323" i="5"/>
  <c r="P323" i="5"/>
  <c r="BI322" i="5"/>
  <c r="BH322" i="5"/>
  <c r="BG322" i="5"/>
  <c r="BE322" i="5"/>
  <c r="T322" i="5"/>
  <c r="R322" i="5"/>
  <c r="P322" i="5"/>
  <c r="BI321" i="5"/>
  <c r="BH321" i="5"/>
  <c r="BG321" i="5"/>
  <c r="BE321" i="5"/>
  <c r="T321" i="5"/>
  <c r="R321" i="5"/>
  <c r="P321" i="5"/>
  <c r="BI319" i="5"/>
  <c r="BH319" i="5"/>
  <c r="BG319" i="5"/>
  <c r="BE319" i="5"/>
  <c r="T319" i="5"/>
  <c r="R319" i="5"/>
  <c r="P319" i="5"/>
  <c r="BI318" i="5"/>
  <c r="BH318" i="5"/>
  <c r="BG318" i="5"/>
  <c r="BE318" i="5"/>
  <c r="T318" i="5"/>
  <c r="R318" i="5"/>
  <c r="P318" i="5"/>
  <c r="BI317" i="5"/>
  <c r="BH317" i="5"/>
  <c r="BG317" i="5"/>
  <c r="BE317" i="5"/>
  <c r="T317" i="5"/>
  <c r="R317" i="5"/>
  <c r="P317" i="5"/>
  <c r="BI316" i="5"/>
  <c r="BH316" i="5"/>
  <c r="BG316" i="5"/>
  <c r="BE316" i="5"/>
  <c r="T316" i="5"/>
  <c r="R316" i="5"/>
  <c r="P316" i="5"/>
  <c r="BI315" i="5"/>
  <c r="BH315" i="5"/>
  <c r="BG315" i="5"/>
  <c r="BE315" i="5"/>
  <c r="T315" i="5"/>
  <c r="R315" i="5"/>
  <c r="P315" i="5"/>
  <c r="BI314" i="5"/>
  <c r="BH314" i="5"/>
  <c r="BG314" i="5"/>
  <c r="BE314" i="5"/>
  <c r="T314" i="5"/>
  <c r="R314" i="5"/>
  <c r="P314" i="5"/>
  <c r="BI313" i="5"/>
  <c r="BH313" i="5"/>
  <c r="BG313" i="5"/>
  <c r="BE313" i="5"/>
  <c r="T313" i="5"/>
  <c r="R313" i="5"/>
  <c r="P313" i="5"/>
  <c r="BI312" i="5"/>
  <c r="BH312" i="5"/>
  <c r="BG312" i="5"/>
  <c r="BE312" i="5"/>
  <c r="T312" i="5"/>
  <c r="R312" i="5"/>
  <c r="P312" i="5"/>
  <c r="BI311" i="5"/>
  <c r="BH311" i="5"/>
  <c r="BG311" i="5"/>
  <c r="BE311" i="5"/>
  <c r="T311" i="5"/>
  <c r="R311" i="5"/>
  <c r="P311" i="5"/>
  <c r="BI309" i="5"/>
  <c r="BH309" i="5"/>
  <c r="BG309" i="5"/>
  <c r="BE309" i="5"/>
  <c r="T309" i="5"/>
  <c r="R309" i="5"/>
  <c r="P309" i="5"/>
  <c r="BI308" i="5"/>
  <c r="BH308" i="5"/>
  <c r="BG308" i="5"/>
  <c r="BE308" i="5"/>
  <c r="T308" i="5"/>
  <c r="R308" i="5"/>
  <c r="P308" i="5"/>
  <c r="BI307" i="5"/>
  <c r="BH307" i="5"/>
  <c r="BG307" i="5"/>
  <c r="BE307" i="5"/>
  <c r="T307" i="5"/>
  <c r="R307" i="5"/>
  <c r="P307" i="5"/>
  <c r="BI306" i="5"/>
  <c r="BH306" i="5"/>
  <c r="BG306" i="5"/>
  <c r="BE306" i="5"/>
  <c r="T306" i="5"/>
  <c r="R306" i="5"/>
  <c r="P306" i="5"/>
  <c r="BI305" i="5"/>
  <c r="BH305" i="5"/>
  <c r="BG305" i="5"/>
  <c r="BE305" i="5"/>
  <c r="T305" i="5"/>
  <c r="R305" i="5"/>
  <c r="P305" i="5"/>
  <c r="BI304" i="5"/>
  <c r="BH304" i="5"/>
  <c r="BG304" i="5"/>
  <c r="BE304" i="5"/>
  <c r="T304" i="5"/>
  <c r="R304" i="5"/>
  <c r="P304" i="5"/>
  <c r="BI303" i="5"/>
  <c r="BH303" i="5"/>
  <c r="BG303" i="5"/>
  <c r="BE303" i="5"/>
  <c r="T303" i="5"/>
  <c r="R303" i="5"/>
  <c r="P303" i="5"/>
  <c r="BI301" i="5"/>
  <c r="BH301" i="5"/>
  <c r="BG301" i="5"/>
  <c r="BE301" i="5"/>
  <c r="T301" i="5"/>
  <c r="R301" i="5"/>
  <c r="P301" i="5"/>
  <c r="BI300" i="5"/>
  <c r="BH300" i="5"/>
  <c r="BG300" i="5"/>
  <c r="BE300" i="5"/>
  <c r="T300" i="5"/>
  <c r="R300" i="5"/>
  <c r="P300" i="5"/>
  <c r="BI299" i="5"/>
  <c r="BH299" i="5"/>
  <c r="BG299" i="5"/>
  <c r="BE299" i="5"/>
  <c r="T299" i="5"/>
  <c r="R299" i="5"/>
  <c r="P299" i="5"/>
  <c r="BI298" i="5"/>
  <c r="BH298" i="5"/>
  <c r="BG298" i="5"/>
  <c r="BE298" i="5"/>
  <c r="T298" i="5"/>
  <c r="R298" i="5"/>
  <c r="P298" i="5"/>
  <c r="BI297" i="5"/>
  <c r="BH297" i="5"/>
  <c r="BG297" i="5"/>
  <c r="BE297" i="5"/>
  <c r="T297" i="5"/>
  <c r="R297" i="5"/>
  <c r="P297" i="5"/>
  <c r="BI296" i="5"/>
  <c r="BH296" i="5"/>
  <c r="BG296" i="5"/>
  <c r="BE296" i="5"/>
  <c r="T296" i="5"/>
  <c r="R296" i="5"/>
  <c r="P296" i="5"/>
  <c r="BI295" i="5"/>
  <c r="BH295" i="5"/>
  <c r="BG295" i="5"/>
  <c r="BE295" i="5"/>
  <c r="T295" i="5"/>
  <c r="R295" i="5"/>
  <c r="P295" i="5"/>
  <c r="BI294" i="5"/>
  <c r="BH294" i="5"/>
  <c r="BG294" i="5"/>
  <c r="BE294" i="5"/>
  <c r="T294" i="5"/>
  <c r="R294" i="5"/>
  <c r="P294" i="5"/>
  <c r="BI293" i="5"/>
  <c r="BH293" i="5"/>
  <c r="BG293" i="5"/>
  <c r="BE293" i="5"/>
  <c r="T293" i="5"/>
  <c r="R293" i="5"/>
  <c r="P293" i="5"/>
  <c r="BI292" i="5"/>
  <c r="BH292" i="5"/>
  <c r="BG292" i="5"/>
  <c r="BE292" i="5"/>
  <c r="T292" i="5"/>
  <c r="R292" i="5"/>
  <c r="P292" i="5"/>
  <c r="BI291" i="5"/>
  <c r="BH291" i="5"/>
  <c r="BG291" i="5"/>
  <c r="BE291" i="5"/>
  <c r="T291" i="5"/>
  <c r="R291" i="5"/>
  <c r="P291" i="5"/>
  <c r="BI290" i="5"/>
  <c r="BH290" i="5"/>
  <c r="BG290" i="5"/>
  <c r="BE290" i="5"/>
  <c r="T290" i="5"/>
  <c r="R290" i="5"/>
  <c r="P290" i="5"/>
  <c r="BI289" i="5"/>
  <c r="BH289" i="5"/>
  <c r="BG289" i="5"/>
  <c r="BE289" i="5"/>
  <c r="T289" i="5"/>
  <c r="R289" i="5"/>
  <c r="P289" i="5"/>
  <c r="BI288" i="5"/>
  <c r="BH288" i="5"/>
  <c r="BG288" i="5"/>
  <c r="BE288" i="5"/>
  <c r="T288" i="5"/>
  <c r="R288" i="5"/>
  <c r="P288" i="5"/>
  <c r="BI287" i="5"/>
  <c r="BH287" i="5"/>
  <c r="BG287" i="5"/>
  <c r="BE287" i="5"/>
  <c r="T287" i="5"/>
  <c r="R287" i="5"/>
  <c r="P287" i="5"/>
  <c r="BI286" i="5"/>
  <c r="BH286" i="5"/>
  <c r="BG286" i="5"/>
  <c r="BE286" i="5"/>
  <c r="T286" i="5"/>
  <c r="R286" i="5"/>
  <c r="P286" i="5"/>
  <c r="BI285" i="5"/>
  <c r="BH285" i="5"/>
  <c r="BG285" i="5"/>
  <c r="BE285" i="5"/>
  <c r="T285" i="5"/>
  <c r="R285" i="5"/>
  <c r="P285" i="5"/>
  <c r="BI284" i="5"/>
  <c r="BH284" i="5"/>
  <c r="BG284" i="5"/>
  <c r="BE284" i="5"/>
  <c r="T284" i="5"/>
  <c r="R284" i="5"/>
  <c r="P284" i="5"/>
  <c r="BI283" i="5"/>
  <c r="BH283" i="5"/>
  <c r="BG283" i="5"/>
  <c r="BE283" i="5"/>
  <c r="T283" i="5"/>
  <c r="R283" i="5"/>
  <c r="P283" i="5"/>
  <c r="BI282" i="5"/>
  <c r="BH282" i="5"/>
  <c r="BG282" i="5"/>
  <c r="BE282" i="5"/>
  <c r="T282" i="5"/>
  <c r="R282" i="5"/>
  <c r="P282" i="5"/>
  <c r="BI281" i="5"/>
  <c r="BH281" i="5"/>
  <c r="BG281" i="5"/>
  <c r="BE281" i="5"/>
  <c r="T281" i="5"/>
  <c r="R281" i="5"/>
  <c r="P281" i="5"/>
  <c r="BI280" i="5"/>
  <c r="BH280" i="5"/>
  <c r="BG280" i="5"/>
  <c r="BE280" i="5"/>
  <c r="T280" i="5"/>
  <c r="R280" i="5"/>
  <c r="P280" i="5"/>
  <c r="BI279" i="5"/>
  <c r="BH279" i="5"/>
  <c r="BG279" i="5"/>
  <c r="BE279" i="5"/>
  <c r="T279" i="5"/>
  <c r="R279" i="5"/>
  <c r="P279" i="5"/>
  <c r="BI278" i="5"/>
  <c r="BH278" i="5"/>
  <c r="BG278" i="5"/>
  <c r="BE278" i="5"/>
  <c r="T278" i="5"/>
  <c r="R278" i="5"/>
  <c r="P278" i="5"/>
  <c r="BI277" i="5"/>
  <c r="BH277" i="5"/>
  <c r="BG277" i="5"/>
  <c r="BE277" i="5"/>
  <c r="T277" i="5"/>
  <c r="R277" i="5"/>
  <c r="P277" i="5"/>
  <c r="BI276" i="5"/>
  <c r="BH276" i="5"/>
  <c r="BG276" i="5"/>
  <c r="BE276" i="5"/>
  <c r="T276" i="5"/>
  <c r="R276" i="5"/>
  <c r="P276" i="5"/>
  <c r="BI275" i="5"/>
  <c r="BH275" i="5"/>
  <c r="BG275" i="5"/>
  <c r="BE275" i="5"/>
  <c r="T275" i="5"/>
  <c r="R275" i="5"/>
  <c r="P275" i="5"/>
  <c r="BI274" i="5"/>
  <c r="BH274" i="5"/>
  <c r="BG274" i="5"/>
  <c r="BE274" i="5"/>
  <c r="T274" i="5"/>
  <c r="R274" i="5"/>
  <c r="P274" i="5"/>
  <c r="BI273" i="5"/>
  <c r="BH273" i="5"/>
  <c r="BG273" i="5"/>
  <c r="BE273" i="5"/>
  <c r="T273" i="5"/>
  <c r="R273" i="5"/>
  <c r="P273" i="5"/>
  <c r="BI272" i="5"/>
  <c r="BH272" i="5"/>
  <c r="BG272" i="5"/>
  <c r="BE272" i="5"/>
  <c r="T272" i="5"/>
  <c r="R272" i="5"/>
  <c r="P272" i="5"/>
  <c r="BI271" i="5"/>
  <c r="BH271" i="5"/>
  <c r="BG271" i="5"/>
  <c r="BE271" i="5"/>
  <c r="T271" i="5"/>
  <c r="R271" i="5"/>
  <c r="P271" i="5"/>
  <c r="BI270" i="5"/>
  <c r="BH270" i="5"/>
  <c r="BG270" i="5"/>
  <c r="BE270" i="5"/>
  <c r="T270" i="5"/>
  <c r="R270" i="5"/>
  <c r="P270" i="5"/>
  <c r="BI269" i="5"/>
  <c r="BH269" i="5"/>
  <c r="BG269" i="5"/>
  <c r="BE269" i="5"/>
  <c r="T269" i="5"/>
  <c r="R269" i="5"/>
  <c r="P269" i="5"/>
  <c r="BI268" i="5"/>
  <c r="BH268" i="5"/>
  <c r="BG268" i="5"/>
  <c r="BE268" i="5"/>
  <c r="T268" i="5"/>
  <c r="R268" i="5"/>
  <c r="P268" i="5"/>
  <c r="BI267" i="5"/>
  <c r="BH267" i="5"/>
  <c r="BG267" i="5"/>
  <c r="BE267" i="5"/>
  <c r="T267" i="5"/>
  <c r="R267" i="5"/>
  <c r="P267" i="5"/>
  <c r="BI266" i="5"/>
  <c r="BH266" i="5"/>
  <c r="BG266" i="5"/>
  <c r="BE266" i="5"/>
  <c r="T266" i="5"/>
  <c r="R266" i="5"/>
  <c r="P266" i="5"/>
  <c r="BI265" i="5"/>
  <c r="BH265" i="5"/>
  <c r="BG265" i="5"/>
  <c r="BE265" i="5"/>
  <c r="T265" i="5"/>
  <c r="R265" i="5"/>
  <c r="P265" i="5"/>
  <c r="BI264" i="5"/>
  <c r="BH264" i="5"/>
  <c r="BG264" i="5"/>
  <c r="BE264" i="5"/>
  <c r="T264" i="5"/>
  <c r="R264" i="5"/>
  <c r="P264" i="5"/>
  <c r="BI263" i="5"/>
  <c r="BH263" i="5"/>
  <c r="BG263" i="5"/>
  <c r="BE263" i="5"/>
  <c r="T263" i="5"/>
  <c r="R263" i="5"/>
  <c r="P263" i="5"/>
  <c r="BI262" i="5"/>
  <c r="BH262" i="5"/>
  <c r="BG262" i="5"/>
  <c r="BE262" i="5"/>
  <c r="T262" i="5"/>
  <c r="R262" i="5"/>
  <c r="P262" i="5"/>
  <c r="BI261" i="5"/>
  <c r="BH261" i="5"/>
  <c r="BG261" i="5"/>
  <c r="BE261" i="5"/>
  <c r="T261" i="5"/>
  <c r="R261" i="5"/>
  <c r="P261" i="5"/>
  <c r="BI260" i="5"/>
  <c r="BH260" i="5"/>
  <c r="BG260" i="5"/>
  <c r="BE260" i="5"/>
  <c r="T260" i="5"/>
  <c r="R260" i="5"/>
  <c r="P260" i="5"/>
  <c r="BI259" i="5"/>
  <c r="BH259" i="5"/>
  <c r="BG259" i="5"/>
  <c r="BE259" i="5"/>
  <c r="T259" i="5"/>
  <c r="R259" i="5"/>
  <c r="P259" i="5"/>
  <c r="BI258" i="5"/>
  <c r="BH258" i="5"/>
  <c r="BG258" i="5"/>
  <c r="BE258" i="5"/>
  <c r="T258" i="5"/>
  <c r="R258" i="5"/>
  <c r="P258" i="5"/>
  <c r="BI257" i="5"/>
  <c r="BH257" i="5"/>
  <c r="BG257" i="5"/>
  <c r="BE257" i="5"/>
  <c r="T257" i="5"/>
  <c r="R257" i="5"/>
  <c r="P257" i="5"/>
  <c r="BI256" i="5"/>
  <c r="BH256" i="5"/>
  <c r="BG256" i="5"/>
  <c r="BE256" i="5"/>
  <c r="T256" i="5"/>
  <c r="R256" i="5"/>
  <c r="P256" i="5"/>
  <c r="BI255" i="5"/>
  <c r="BH255" i="5"/>
  <c r="BG255" i="5"/>
  <c r="BE255" i="5"/>
  <c r="T255" i="5"/>
  <c r="R255" i="5"/>
  <c r="P255" i="5"/>
  <c r="BI254" i="5"/>
  <c r="BH254" i="5"/>
  <c r="BG254" i="5"/>
  <c r="BE254" i="5"/>
  <c r="T254" i="5"/>
  <c r="R254" i="5"/>
  <c r="P254" i="5"/>
  <c r="BI253" i="5"/>
  <c r="BH253" i="5"/>
  <c r="BG253" i="5"/>
  <c r="BE253" i="5"/>
  <c r="T253" i="5"/>
  <c r="R253" i="5"/>
  <c r="P253" i="5"/>
  <c r="BI252" i="5"/>
  <c r="BH252" i="5"/>
  <c r="BG252" i="5"/>
  <c r="BE252" i="5"/>
  <c r="T252" i="5"/>
  <c r="R252" i="5"/>
  <c r="P252" i="5"/>
  <c r="BI251" i="5"/>
  <c r="BH251" i="5"/>
  <c r="BG251" i="5"/>
  <c r="BE251" i="5"/>
  <c r="T251" i="5"/>
  <c r="R251" i="5"/>
  <c r="P251" i="5"/>
  <c r="BI250" i="5"/>
  <c r="BH250" i="5"/>
  <c r="BG250" i="5"/>
  <c r="BE250" i="5"/>
  <c r="T250" i="5"/>
  <c r="R250" i="5"/>
  <c r="P250" i="5"/>
  <c r="BI249" i="5"/>
  <c r="BH249" i="5"/>
  <c r="BG249" i="5"/>
  <c r="BE249" i="5"/>
  <c r="T249" i="5"/>
  <c r="R249" i="5"/>
  <c r="P249" i="5"/>
  <c r="BI248" i="5"/>
  <c r="BH248" i="5"/>
  <c r="BG248" i="5"/>
  <c r="BE248" i="5"/>
  <c r="T248" i="5"/>
  <c r="R248" i="5"/>
  <c r="P248" i="5"/>
  <c r="BI247" i="5"/>
  <c r="BH247" i="5"/>
  <c r="BG247" i="5"/>
  <c r="BE247" i="5"/>
  <c r="T247" i="5"/>
  <c r="R247" i="5"/>
  <c r="P247" i="5"/>
  <c r="BI246" i="5"/>
  <c r="BH246" i="5"/>
  <c r="BG246" i="5"/>
  <c r="BE246" i="5"/>
  <c r="T246" i="5"/>
  <c r="R246" i="5"/>
  <c r="P246" i="5"/>
  <c r="BI245" i="5"/>
  <c r="BH245" i="5"/>
  <c r="BG245" i="5"/>
  <c r="BE245" i="5"/>
  <c r="T245" i="5"/>
  <c r="R245" i="5"/>
  <c r="P245" i="5"/>
  <c r="BI244" i="5"/>
  <c r="BH244" i="5"/>
  <c r="BG244" i="5"/>
  <c r="BE244" i="5"/>
  <c r="T244" i="5"/>
  <c r="R244" i="5"/>
  <c r="P244" i="5"/>
  <c r="BI243" i="5"/>
  <c r="BH243" i="5"/>
  <c r="BG243" i="5"/>
  <c r="BE243" i="5"/>
  <c r="T243" i="5"/>
  <c r="R243" i="5"/>
  <c r="P243" i="5"/>
  <c r="BI242" i="5"/>
  <c r="BH242" i="5"/>
  <c r="BG242" i="5"/>
  <c r="BE242" i="5"/>
  <c r="T242" i="5"/>
  <c r="R242" i="5"/>
  <c r="P242" i="5"/>
  <c r="BI241" i="5"/>
  <c r="BH241" i="5"/>
  <c r="BG241" i="5"/>
  <c r="BE241" i="5"/>
  <c r="T241" i="5"/>
  <c r="R241" i="5"/>
  <c r="P241" i="5"/>
  <c r="BI240" i="5"/>
  <c r="BH240" i="5"/>
  <c r="BG240" i="5"/>
  <c r="BE240" i="5"/>
  <c r="T240" i="5"/>
  <c r="R240" i="5"/>
  <c r="P240" i="5"/>
  <c r="BI239" i="5"/>
  <c r="BH239" i="5"/>
  <c r="BG239" i="5"/>
  <c r="BE239" i="5"/>
  <c r="T239" i="5"/>
  <c r="R239" i="5"/>
  <c r="P239" i="5"/>
  <c r="BI238" i="5"/>
  <c r="BH238" i="5"/>
  <c r="BG238" i="5"/>
  <c r="BE238" i="5"/>
  <c r="T238" i="5"/>
  <c r="R238" i="5"/>
  <c r="P238" i="5"/>
  <c r="BI237" i="5"/>
  <c r="BH237" i="5"/>
  <c r="BG237" i="5"/>
  <c r="BE237" i="5"/>
  <c r="T237" i="5"/>
  <c r="R237" i="5"/>
  <c r="P237" i="5"/>
  <c r="BI236" i="5"/>
  <c r="BH236" i="5"/>
  <c r="BG236" i="5"/>
  <c r="BE236" i="5"/>
  <c r="T236" i="5"/>
  <c r="R236" i="5"/>
  <c r="P236" i="5"/>
  <c r="BI235" i="5"/>
  <c r="BH235" i="5"/>
  <c r="BG235" i="5"/>
  <c r="BE235" i="5"/>
  <c r="T235" i="5"/>
  <c r="R235" i="5"/>
  <c r="P235" i="5"/>
  <c r="BI234" i="5"/>
  <c r="BH234" i="5"/>
  <c r="BG234" i="5"/>
  <c r="BE234" i="5"/>
  <c r="T234" i="5"/>
  <c r="R234" i="5"/>
  <c r="P234" i="5"/>
  <c r="BI233" i="5"/>
  <c r="BH233" i="5"/>
  <c r="BG233" i="5"/>
  <c r="BE233" i="5"/>
  <c r="T233" i="5"/>
  <c r="R233" i="5"/>
  <c r="P233" i="5"/>
  <c r="BI232" i="5"/>
  <c r="BH232" i="5"/>
  <c r="BG232" i="5"/>
  <c r="BE232" i="5"/>
  <c r="T232" i="5"/>
  <c r="R232" i="5"/>
  <c r="P232" i="5"/>
  <c r="BI231" i="5"/>
  <c r="BH231" i="5"/>
  <c r="BG231" i="5"/>
  <c r="BE231" i="5"/>
  <c r="T231" i="5"/>
  <c r="R231" i="5"/>
  <c r="P231" i="5"/>
  <c r="BI230" i="5"/>
  <c r="BH230" i="5"/>
  <c r="BG230" i="5"/>
  <c r="BE230" i="5"/>
  <c r="T230" i="5"/>
  <c r="R230" i="5"/>
  <c r="P230" i="5"/>
  <c r="BI229" i="5"/>
  <c r="BH229" i="5"/>
  <c r="BG229" i="5"/>
  <c r="BE229" i="5"/>
  <c r="T229" i="5"/>
  <c r="R229" i="5"/>
  <c r="P229" i="5"/>
  <c r="BI228" i="5"/>
  <c r="BH228" i="5"/>
  <c r="BG228" i="5"/>
  <c r="BE228" i="5"/>
  <c r="T228" i="5"/>
  <c r="R228" i="5"/>
  <c r="P228" i="5"/>
  <c r="BI227" i="5"/>
  <c r="BH227" i="5"/>
  <c r="BG227" i="5"/>
  <c r="BE227" i="5"/>
  <c r="T227" i="5"/>
  <c r="R227" i="5"/>
  <c r="P227" i="5"/>
  <c r="BI226" i="5"/>
  <c r="BH226" i="5"/>
  <c r="BG226" i="5"/>
  <c r="BE226" i="5"/>
  <c r="T226" i="5"/>
  <c r="R226" i="5"/>
  <c r="P226" i="5"/>
  <c r="BI224" i="5"/>
  <c r="BH224" i="5"/>
  <c r="BG224" i="5"/>
  <c r="BE224" i="5"/>
  <c r="T224" i="5"/>
  <c r="T223" i="5" s="1"/>
  <c r="R224" i="5"/>
  <c r="R223" i="5" s="1"/>
  <c r="P224" i="5"/>
  <c r="P223" i="5"/>
  <c r="BI222" i="5"/>
  <c r="BH222" i="5"/>
  <c r="BG222" i="5"/>
  <c r="BE222" i="5"/>
  <c r="T222" i="5"/>
  <c r="T221" i="5" s="1"/>
  <c r="R222" i="5"/>
  <c r="R221" i="5"/>
  <c r="P222" i="5"/>
  <c r="P221" i="5" s="1"/>
  <c r="BI219" i="5"/>
  <c r="BH219" i="5"/>
  <c r="BG219" i="5"/>
  <c r="BE219" i="5"/>
  <c r="T219" i="5"/>
  <c r="R219" i="5"/>
  <c r="P219" i="5"/>
  <c r="BI218" i="5"/>
  <c r="BH218" i="5"/>
  <c r="BG218" i="5"/>
  <c r="BE218" i="5"/>
  <c r="T218" i="5"/>
  <c r="R218" i="5"/>
  <c r="P218" i="5"/>
  <c r="BI217" i="5"/>
  <c r="BH217" i="5"/>
  <c r="BG217" i="5"/>
  <c r="BE217" i="5"/>
  <c r="T217" i="5"/>
  <c r="R217" i="5"/>
  <c r="P217" i="5"/>
  <c r="BI216" i="5"/>
  <c r="BH216" i="5"/>
  <c r="BG216" i="5"/>
  <c r="BE216" i="5"/>
  <c r="T216" i="5"/>
  <c r="R216" i="5"/>
  <c r="P216" i="5"/>
  <c r="BI215" i="5"/>
  <c r="BH215" i="5"/>
  <c r="BG215" i="5"/>
  <c r="BE215" i="5"/>
  <c r="T215" i="5"/>
  <c r="R215" i="5"/>
  <c r="P215" i="5"/>
  <c r="BI214" i="5"/>
  <c r="BH214" i="5"/>
  <c r="BG214" i="5"/>
  <c r="BE214" i="5"/>
  <c r="T214" i="5"/>
  <c r="R214" i="5"/>
  <c r="P214" i="5"/>
  <c r="BI213" i="5"/>
  <c r="BH213" i="5"/>
  <c r="BG213" i="5"/>
  <c r="BE213" i="5"/>
  <c r="T213" i="5"/>
  <c r="R213" i="5"/>
  <c r="P213" i="5"/>
  <c r="BI212" i="5"/>
  <c r="BH212" i="5"/>
  <c r="BG212" i="5"/>
  <c r="BE212" i="5"/>
  <c r="T212" i="5"/>
  <c r="R212" i="5"/>
  <c r="P212" i="5"/>
  <c r="BI211" i="5"/>
  <c r="BH211" i="5"/>
  <c r="BG211" i="5"/>
  <c r="BE211" i="5"/>
  <c r="T211" i="5"/>
  <c r="R211" i="5"/>
  <c r="P211" i="5"/>
  <c r="BI209" i="5"/>
  <c r="BH209" i="5"/>
  <c r="BG209" i="5"/>
  <c r="BE209" i="5"/>
  <c r="T209" i="5"/>
  <c r="R209" i="5"/>
  <c r="P209" i="5"/>
  <c r="BI208" i="5"/>
  <c r="BH208" i="5"/>
  <c r="BG208" i="5"/>
  <c r="BE208" i="5"/>
  <c r="T208" i="5"/>
  <c r="R208" i="5"/>
  <c r="P208" i="5"/>
  <c r="BI207" i="5"/>
  <c r="BH207" i="5"/>
  <c r="BG207" i="5"/>
  <c r="BE207" i="5"/>
  <c r="T207" i="5"/>
  <c r="R207" i="5"/>
  <c r="P207" i="5"/>
  <c r="BI206" i="5"/>
  <c r="BH206" i="5"/>
  <c r="BG206" i="5"/>
  <c r="BE206" i="5"/>
  <c r="T206" i="5"/>
  <c r="R206" i="5"/>
  <c r="P206" i="5"/>
  <c r="BI205" i="5"/>
  <c r="BH205" i="5"/>
  <c r="BG205" i="5"/>
  <c r="BE205" i="5"/>
  <c r="T205" i="5"/>
  <c r="R205" i="5"/>
  <c r="P205" i="5"/>
  <c r="BI204" i="5"/>
  <c r="BH204" i="5"/>
  <c r="BG204" i="5"/>
  <c r="BE204" i="5"/>
  <c r="T204" i="5"/>
  <c r="R204" i="5"/>
  <c r="P204" i="5"/>
  <c r="BI203" i="5"/>
  <c r="BH203" i="5"/>
  <c r="BG203" i="5"/>
  <c r="BE203" i="5"/>
  <c r="T203" i="5"/>
  <c r="R203" i="5"/>
  <c r="P203" i="5"/>
  <c r="BI202" i="5"/>
  <c r="BH202" i="5"/>
  <c r="BG202" i="5"/>
  <c r="BE202" i="5"/>
  <c r="T202" i="5"/>
  <c r="R202" i="5"/>
  <c r="P202" i="5"/>
  <c r="BI201" i="5"/>
  <c r="BH201" i="5"/>
  <c r="BG201" i="5"/>
  <c r="BE201" i="5"/>
  <c r="T201" i="5"/>
  <c r="R201" i="5"/>
  <c r="P201" i="5"/>
  <c r="BI200" i="5"/>
  <c r="BH200" i="5"/>
  <c r="BG200" i="5"/>
  <c r="BE200" i="5"/>
  <c r="T200" i="5"/>
  <c r="R200" i="5"/>
  <c r="P200" i="5"/>
  <c r="J107" i="5"/>
  <c r="BI197" i="5"/>
  <c r="BH197" i="5"/>
  <c r="BG197" i="5"/>
  <c r="BE197" i="5"/>
  <c r="T197" i="5"/>
  <c r="R197" i="5"/>
  <c r="P197" i="5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3" i="5"/>
  <c r="BH193" i="5"/>
  <c r="BG193" i="5"/>
  <c r="BE193" i="5"/>
  <c r="T193" i="5"/>
  <c r="R193" i="5"/>
  <c r="P193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3" i="5"/>
  <c r="BH153" i="5"/>
  <c r="BG153" i="5"/>
  <c r="BE153" i="5"/>
  <c r="T153" i="5"/>
  <c r="T152" i="5" s="1"/>
  <c r="R153" i="5"/>
  <c r="R152" i="5" s="1"/>
  <c r="P153" i="5"/>
  <c r="P152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F136" i="5"/>
  <c r="E134" i="5"/>
  <c r="F91" i="5"/>
  <c r="E89" i="5"/>
  <c r="J26" i="5"/>
  <c r="E26" i="5"/>
  <c r="J94" i="5" s="1"/>
  <c r="J25" i="5"/>
  <c r="J23" i="5"/>
  <c r="E23" i="5"/>
  <c r="J93" i="5" s="1"/>
  <c r="J22" i="5"/>
  <c r="J20" i="5"/>
  <c r="E20" i="5"/>
  <c r="F139" i="5" s="1"/>
  <c r="J19" i="5"/>
  <c r="J17" i="5"/>
  <c r="E17" i="5"/>
  <c r="F138" i="5" s="1"/>
  <c r="J16" i="5"/>
  <c r="J14" i="5"/>
  <c r="J136" i="5" s="1"/>
  <c r="E7" i="5"/>
  <c r="E130" i="5" s="1"/>
  <c r="J39" i="4"/>
  <c r="J38" i="4"/>
  <c r="AY98" i="1"/>
  <c r="J37" i="4"/>
  <c r="AX98" i="1" s="1"/>
  <c r="BI155" i="4"/>
  <c r="BH155" i="4"/>
  <c r="BG155" i="4"/>
  <c r="BE155" i="4"/>
  <c r="T155" i="4"/>
  <c r="T154" i="4"/>
  <c r="R155" i="4"/>
  <c r="R154" i="4" s="1"/>
  <c r="P155" i="4"/>
  <c r="P154" i="4" s="1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F119" i="4"/>
  <c r="E117" i="4"/>
  <c r="F91" i="4"/>
  <c r="E89" i="4"/>
  <c r="J26" i="4"/>
  <c r="E26" i="4"/>
  <c r="J94" i="4" s="1"/>
  <c r="J25" i="4"/>
  <c r="J23" i="4"/>
  <c r="E23" i="4"/>
  <c r="J121" i="4" s="1"/>
  <c r="J22" i="4"/>
  <c r="J20" i="4"/>
  <c r="E20" i="4"/>
  <c r="F122" i="4"/>
  <c r="J19" i="4"/>
  <c r="J17" i="4"/>
  <c r="E17" i="4"/>
  <c r="F121" i="4" s="1"/>
  <c r="J16" i="4"/>
  <c r="J14" i="4"/>
  <c r="J91" i="4" s="1"/>
  <c r="E7" i="4"/>
  <c r="E113" i="4" s="1"/>
  <c r="J39" i="3"/>
  <c r="J38" i="3"/>
  <c r="AY97" i="1"/>
  <c r="J37" i="3"/>
  <c r="AX97" i="1"/>
  <c r="BI293" i="3"/>
  <c r="BH293" i="3"/>
  <c r="BG293" i="3"/>
  <c r="BE293" i="3"/>
  <c r="T293" i="3"/>
  <c r="R293" i="3"/>
  <c r="P293" i="3"/>
  <c r="BI292" i="3"/>
  <c r="BH292" i="3"/>
  <c r="BG292" i="3"/>
  <c r="BE292" i="3"/>
  <c r="T292" i="3"/>
  <c r="R292" i="3"/>
  <c r="P292" i="3"/>
  <c r="BI291" i="3"/>
  <c r="BH291" i="3"/>
  <c r="BG291" i="3"/>
  <c r="BE291" i="3"/>
  <c r="T291" i="3"/>
  <c r="R291" i="3"/>
  <c r="P291" i="3"/>
  <c r="BI290" i="3"/>
  <c r="BH290" i="3"/>
  <c r="BG290" i="3"/>
  <c r="BE290" i="3"/>
  <c r="T290" i="3"/>
  <c r="R290" i="3"/>
  <c r="P290" i="3"/>
  <c r="BI288" i="3"/>
  <c r="BH288" i="3"/>
  <c r="BG288" i="3"/>
  <c r="BE288" i="3"/>
  <c r="T288" i="3"/>
  <c r="R288" i="3"/>
  <c r="P288" i="3"/>
  <c r="BI287" i="3"/>
  <c r="BH287" i="3"/>
  <c r="BG287" i="3"/>
  <c r="BE287" i="3"/>
  <c r="T287" i="3"/>
  <c r="R287" i="3"/>
  <c r="P287" i="3"/>
  <c r="BI286" i="3"/>
  <c r="BH286" i="3"/>
  <c r="BG286" i="3"/>
  <c r="BE286" i="3"/>
  <c r="T286" i="3"/>
  <c r="R286" i="3"/>
  <c r="P286" i="3"/>
  <c r="BI285" i="3"/>
  <c r="BH285" i="3"/>
  <c r="BG285" i="3"/>
  <c r="BE285" i="3"/>
  <c r="T285" i="3"/>
  <c r="R285" i="3"/>
  <c r="P285" i="3"/>
  <c r="BI284" i="3"/>
  <c r="BH284" i="3"/>
  <c r="BG284" i="3"/>
  <c r="BE284" i="3"/>
  <c r="T284" i="3"/>
  <c r="R284" i="3"/>
  <c r="P284" i="3"/>
  <c r="BI283" i="3"/>
  <c r="BH283" i="3"/>
  <c r="BG283" i="3"/>
  <c r="BE283" i="3"/>
  <c r="T283" i="3"/>
  <c r="R283" i="3"/>
  <c r="P283" i="3"/>
  <c r="BI282" i="3"/>
  <c r="BH282" i="3"/>
  <c r="BG282" i="3"/>
  <c r="BE282" i="3"/>
  <c r="T282" i="3"/>
  <c r="R282" i="3"/>
  <c r="P282" i="3"/>
  <c r="BI281" i="3"/>
  <c r="BH281" i="3"/>
  <c r="BG281" i="3"/>
  <c r="BE281" i="3"/>
  <c r="T281" i="3"/>
  <c r="R281" i="3"/>
  <c r="P281" i="3"/>
  <c r="BI280" i="3"/>
  <c r="BH280" i="3"/>
  <c r="BG280" i="3"/>
  <c r="BE280" i="3"/>
  <c r="T280" i="3"/>
  <c r="R280" i="3"/>
  <c r="P280" i="3"/>
  <c r="BI279" i="3"/>
  <c r="BH279" i="3"/>
  <c r="BG279" i="3"/>
  <c r="BE279" i="3"/>
  <c r="T279" i="3"/>
  <c r="R279" i="3"/>
  <c r="P279" i="3"/>
  <c r="BI278" i="3"/>
  <c r="BH278" i="3"/>
  <c r="BG278" i="3"/>
  <c r="BE278" i="3"/>
  <c r="T278" i="3"/>
  <c r="R278" i="3"/>
  <c r="P278" i="3"/>
  <c r="BI277" i="3"/>
  <c r="BH277" i="3"/>
  <c r="BG277" i="3"/>
  <c r="BE277" i="3"/>
  <c r="T277" i="3"/>
  <c r="R277" i="3"/>
  <c r="P277" i="3"/>
  <c r="BI276" i="3"/>
  <c r="BH276" i="3"/>
  <c r="BG276" i="3"/>
  <c r="BE276" i="3"/>
  <c r="T276" i="3"/>
  <c r="R276" i="3"/>
  <c r="P276" i="3"/>
  <c r="BI275" i="3"/>
  <c r="BH275" i="3"/>
  <c r="BG275" i="3"/>
  <c r="BE275" i="3"/>
  <c r="T275" i="3"/>
  <c r="R275" i="3"/>
  <c r="P275" i="3"/>
  <c r="BI274" i="3"/>
  <c r="BH274" i="3"/>
  <c r="BG274" i="3"/>
  <c r="BE274" i="3"/>
  <c r="T274" i="3"/>
  <c r="R274" i="3"/>
  <c r="P274" i="3"/>
  <c r="BI273" i="3"/>
  <c r="BH273" i="3"/>
  <c r="BG273" i="3"/>
  <c r="BE273" i="3"/>
  <c r="T273" i="3"/>
  <c r="R273" i="3"/>
  <c r="P273" i="3"/>
  <c r="BI272" i="3"/>
  <c r="BH272" i="3"/>
  <c r="BG272" i="3"/>
  <c r="BE272" i="3"/>
  <c r="T272" i="3"/>
  <c r="R272" i="3"/>
  <c r="P272" i="3"/>
  <c r="BI271" i="3"/>
  <c r="BH271" i="3"/>
  <c r="BG271" i="3"/>
  <c r="BE271" i="3"/>
  <c r="T271" i="3"/>
  <c r="R271" i="3"/>
  <c r="P271" i="3"/>
  <c r="BI270" i="3"/>
  <c r="BH270" i="3"/>
  <c r="BG270" i="3"/>
  <c r="BE270" i="3"/>
  <c r="T270" i="3"/>
  <c r="R270" i="3"/>
  <c r="P270" i="3"/>
  <c r="BI269" i="3"/>
  <c r="BH269" i="3"/>
  <c r="BG269" i="3"/>
  <c r="BE269" i="3"/>
  <c r="T269" i="3"/>
  <c r="R269" i="3"/>
  <c r="P269" i="3"/>
  <c r="BI268" i="3"/>
  <c r="BH268" i="3"/>
  <c r="BG268" i="3"/>
  <c r="BE268" i="3"/>
  <c r="T268" i="3"/>
  <c r="R268" i="3"/>
  <c r="P268" i="3"/>
  <c r="BI267" i="3"/>
  <c r="BH267" i="3"/>
  <c r="BG267" i="3"/>
  <c r="BE267" i="3"/>
  <c r="T267" i="3"/>
  <c r="R267" i="3"/>
  <c r="P267" i="3"/>
  <c r="BI266" i="3"/>
  <c r="BH266" i="3"/>
  <c r="BG266" i="3"/>
  <c r="BE266" i="3"/>
  <c r="T266" i="3"/>
  <c r="R266" i="3"/>
  <c r="P266" i="3"/>
  <c r="BI265" i="3"/>
  <c r="BH265" i="3"/>
  <c r="BG265" i="3"/>
  <c r="BE265" i="3"/>
  <c r="T265" i="3"/>
  <c r="R265" i="3"/>
  <c r="P265" i="3"/>
  <c r="BI264" i="3"/>
  <c r="BH264" i="3"/>
  <c r="BG264" i="3"/>
  <c r="BE264" i="3"/>
  <c r="T264" i="3"/>
  <c r="R264" i="3"/>
  <c r="P264" i="3"/>
  <c r="BI263" i="3"/>
  <c r="BH263" i="3"/>
  <c r="BG263" i="3"/>
  <c r="BE263" i="3"/>
  <c r="T263" i="3"/>
  <c r="R263" i="3"/>
  <c r="P263" i="3"/>
  <c r="BI262" i="3"/>
  <c r="BH262" i="3"/>
  <c r="BG262" i="3"/>
  <c r="BE262" i="3"/>
  <c r="T262" i="3"/>
  <c r="R262" i="3"/>
  <c r="P262" i="3"/>
  <c r="BI261" i="3"/>
  <c r="BH261" i="3"/>
  <c r="BG261" i="3"/>
  <c r="BE261" i="3"/>
  <c r="T261" i="3"/>
  <c r="R261" i="3"/>
  <c r="P261" i="3"/>
  <c r="BI260" i="3"/>
  <c r="BH260" i="3"/>
  <c r="BG260" i="3"/>
  <c r="BE260" i="3"/>
  <c r="T260" i="3"/>
  <c r="R260" i="3"/>
  <c r="P260" i="3"/>
  <c r="BI259" i="3"/>
  <c r="BH259" i="3"/>
  <c r="BG259" i="3"/>
  <c r="BE259" i="3"/>
  <c r="T259" i="3"/>
  <c r="R259" i="3"/>
  <c r="P259" i="3"/>
  <c r="BI258" i="3"/>
  <c r="BH258" i="3"/>
  <c r="BG258" i="3"/>
  <c r="BE258" i="3"/>
  <c r="T258" i="3"/>
  <c r="R258" i="3"/>
  <c r="P258" i="3"/>
  <c r="BI257" i="3"/>
  <c r="BH257" i="3"/>
  <c r="BG257" i="3"/>
  <c r="BE257" i="3"/>
  <c r="T257" i="3"/>
  <c r="R257" i="3"/>
  <c r="P257" i="3"/>
  <c r="BI256" i="3"/>
  <c r="BH256" i="3"/>
  <c r="BG256" i="3"/>
  <c r="BE256" i="3"/>
  <c r="T256" i="3"/>
  <c r="R256" i="3"/>
  <c r="P256" i="3"/>
  <c r="BI254" i="3"/>
  <c r="BH254" i="3"/>
  <c r="BG254" i="3"/>
  <c r="BE254" i="3"/>
  <c r="T254" i="3"/>
  <c r="R254" i="3"/>
  <c r="P254" i="3"/>
  <c r="BI253" i="3"/>
  <c r="BH253" i="3"/>
  <c r="BG253" i="3"/>
  <c r="BE253" i="3"/>
  <c r="T253" i="3"/>
  <c r="R253" i="3"/>
  <c r="P253" i="3"/>
  <c r="BI252" i="3"/>
  <c r="BH252" i="3"/>
  <c r="BG252" i="3"/>
  <c r="BE252" i="3"/>
  <c r="T252" i="3"/>
  <c r="R252" i="3"/>
  <c r="P252" i="3"/>
  <c r="BI251" i="3"/>
  <c r="BH251" i="3"/>
  <c r="BG251" i="3"/>
  <c r="BE251" i="3"/>
  <c r="T251" i="3"/>
  <c r="R251" i="3"/>
  <c r="P251" i="3"/>
  <c r="BI250" i="3"/>
  <c r="BH250" i="3"/>
  <c r="BG250" i="3"/>
  <c r="BE250" i="3"/>
  <c r="T250" i="3"/>
  <c r="R250" i="3"/>
  <c r="P250" i="3"/>
  <c r="BI249" i="3"/>
  <c r="BH249" i="3"/>
  <c r="BG249" i="3"/>
  <c r="BE249" i="3"/>
  <c r="T249" i="3"/>
  <c r="R249" i="3"/>
  <c r="P249" i="3"/>
  <c r="BI248" i="3"/>
  <c r="BH248" i="3"/>
  <c r="BG248" i="3"/>
  <c r="BE248" i="3"/>
  <c r="T248" i="3"/>
  <c r="R248" i="3"/>
  <c r="P248" i="3"/>
  <c r="BI247" i="3"/>
  <c r="BH247" i="3"/>
  <c r="BG247" i="3"/>
  <c r="BE247" i="3"/>
  <c r="T247" i="3"/>
  <c r="R247" i="3"/>
  <c r="P247" i="3"/>
  <c r="BI246" i="3"/>
  <c r="BH246" i="3"/>
  <c r="BG246" i="3"/>
  <c r="BE246" i="3"/>
  <c r="T246" i="3"/>
  <c r="R246" i="3"/>
  <c r="P246" i="3"/>
  <c r="BI245" i="3"/>
  <c r="BH245" i="3"/>
  <c r="BG245" i="3"/>
  <c r="BE245" i="3"/>
  <c r="T245" i="3"/>
  <c r="R245" i="3"/>
  <c r="P245" i="3"/>
  <c r="BI244" i="3"/>
  <c r="BH244" i="3"/>
  <c r="BG244" i="3"/>
  <c r="BE244" i="3"/>
  <c r="T244" i="3"/>
  <c r="R244" i="3"/>
  <c r="P244" i="3"/>
  <c r="BI243" i="3"/>
  <c r="BH243" i="3"/>
  <c r="BG243" i="3"/>
  <c r="BE243" i="3"/>
  <c r="T243" i="3"/>
  <c r="R243" i="3"/>
  <c r="P243" i="3"/>
  <c r="BI242" i="3"/>
  <c r="BH242" i="3"/>
  <c r="BG242" i="3"/>
  <c r="BE242" i="3"/>
  <c r="T242" i="3"/>
  <c r="R242" i="3"/>
  <c r="P242" i="3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9" i="3"/>
  <c r="BH239" i="3"/>
  <c r="BG239" i="3"/>
  <c r="BE239" i="3"/>
  <c r="T239" i="3"/>
  <c r="R239" i="3"/>
  <c r="P239" i="3"/>
  <c r="BI238" i="3"/>
  <c r="BH238" i="3"/>
  <c r="BG238" i="3"/>
  <c r="BE238" i="3"/>
  <c r="T238" i="3"/>
  <c r="R238" i="3"/>
  <c r="P238" i="3"/>
  <c r="BI237" i="3"/>
  <c r="BH237" i="3"/>
  <c r="BG237" i="3"/>
  <c r="BE237" i="3"/>
  <c r="T237" i="3"/>
  <c r="R237" i="3"/>
  <c r="P237" i="3"/>
  <c r="BI236" i="3"/>
  <c r="BH236" i="3"/>
  <c r="BG236" i="3"/>
  <c r="BE236" i="3"/>
  <c r="T236" i="3"/>
  <c r="R236" i="3"/>
  <c r="P236" i="3"/>
  <c r="BI235" i="3"/>
  <c r="BH235" i="3"/>
  <c r="BG235" i="3"/>
  <c r="BE235" i="3"/>
  <c r="T235" i="3"/>
  <c r="R235" i="3"/>
  <c r="P235" i="3"/>
  <c r="BI234" i="3"/>
  <c r="BH234" i="3"/>
  <c r="BG234" i="3"/>
  <c r="BE234" i="3"/>
  <c r="T234" i="3"/>
  <c r="R234" i="3"/>
  <c r="P234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30" i="3"/>
  <c r="BH230" i="3"/>
  <c r="BG230" i="3"/>
  <c r="BE230" i="3"/>
  <c r="T230" i="3"/>
  <c r="R230" i="3"/>
  <c r="P230" i="3"/>
  <c r="BI229" i="3"/>
  <c r="BH229" i="3"/>
  <c r="BG229" i="3"/>
  <c r="BE229" i="3"/>
  <c r="T229" i="3"/>
  <c r="R229" i="3"/>
  <c r="P229" i="3"/>
  <c r="BI228" i="3"/>
  <c r="BH228" i="3"/>
  <c r="BG228" i="3"/>
  <c r="BE228" i="3"/>
  <c r="T228" i="3"/>
  <c r="R228" i="3"/>
  <c r="P228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5" i="3"/>
  <c r="BH225" i="3"/>
  <c r="BG225" i="3"/>
  <c r="BE225" i="3"/>
  <c r="T225" i="3"/>
  <c r="R225" i="3"/>
  <c r="P225" i="3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2" i="3"/>
  <c r="BH222" i="3"/>
  <c r="BG222" i="3"/>
  <c r="BE222" i="3"/>
  <c r="T222" i="3"/>
  <c r="R222" i="3"/>
  <c r="P222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3" i="3"/>
  <c r="BH213" i="3"/>
  <c r="BG213" i="3"/>
  <c r="BE213" i="3"/>
  <c r="T213" i="3"/>
  <c r="R213" i="3"/>
  <c r="P213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4" i="3"/>
  <c r="BH144" i="3"/>
  <c r="BG144" i="3"/>
  <c r="BE144" i="3"/>
  <c r="T144" i="3"/>
  <c r="T143" i="3" s="1"/>
  <c r="R144" i="3"/>
  <c r="R143" i="3" s="1"/>
  <c r="P144" i="3"/>
  <c r="P143" i="3" s="1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F124" i="3"/>
  <c r="E122" i="3"/>
  <c r="F91" i="3"/>
  <c r="E89" i="3"/>
  <c r="J26" i="3"/>
  <c r="E26" i="3"/>
  <c r="J127" i="3"/>
  <c r="J25" i="3"/>
  <c r="J23" i="3"/>
  <c r="E23" i="3"/>
  <c r="J93" i="3" s="1"/>
  <c r="J22" i="3"/>
  <c r="J20" i="3"/>
  <c r="E20" i="3"/>
  <c r="F127" i="3" s="1"/>
  <c r="J19" i="3"/>
  <c r="J17" i="3"/>
  <c r="E17" i="3"/>
  <c r="F126" i="3" s="1"/>
  <c r="J16" i="3"/>
  <c r="J14" i="3"/>
  <c r="J124" i="3" s="1"/>
  <c r="E7" i="3"/>
  <c r="E85" i="3" s="1"/>
  <c r="J39" i="2"/>
  <c r="J38" i="2"/>
  <c r="AY96" i="1" s="1"/>
  <c r="J37" i="2"/>
  <c r="AX96" i="1" s="1"/>
  <c r="BI907" i="2"/>
  <c r="BH907" i="2"/>
  <c r="BG907" i="2"/>
  <c r="BE907" i="2"/>
  <c r="T907" i="2"/>
  <c r="R907" i="2"/>
  <c r="P907" i="2"/>
  <c r="BI906" i="2"/>
  <c r="BH906" i="2"/>
  <c r="BG906" i="2"/>
  <c r="BE906" i="2"/>
  <c r="T906" i="2"/>
  <c r="R906" i="2"/>
  <c r="P906" i="2"/>
  <c r="BI901" i="2"/>
  <c r="BH901" i="2"/>
  <c r="BG901" i="2"/>
  <c r="BE901" i="2"/>
  <c r="T901" i="2"/>
  <c r="R901" i="2"/>
  <c r="P901" i="2"/>
  <c r="BI894" i="2"/>
  <c r="BH894" i="2"/>
  <c r="BG894" i="2"/>
  <c r="BE894" i="2"/>
  <c r="T894" i="2"/>
  <c r="T893" i="2" s="1"/>
  <c r="R894" i="2"/>
  <c r="R893" i="2" s="1"/>
  <c r="P894" i="2"/>
  <c r="P893" i="2" s="1"/>
  <c r="BI890" i="2"/>
  <c r="BH890" i="2"/>
  <c r="BG890" i="2"/>
  <c r="BE890" i="2"/>
  <c r="T890" i="2"/>
  <c r="R890" i="2"/>
  <c r="P890" i="2"/>
  <c r="BI883" i="2"/>
  <c r="BH883" i="2"/>
  <c r="BG883" i="2"/>
  <c r="BE883" i="2"/>
  <c r="T883" i="2"/>
  <c r="R883" i="2"/>
  <c r="P883" i="2"/>
  <c r="BI876" i="2"/>
  <c r="BH876" i="2"/>
  <c r="BG876" i="2"/>
  <c r="BE876" i="2"/>
  <c r="T876" i="2"/>
  <c r="R876" i="2"/>
  <c r="P876" i="2"/>
  <c r="BI857" i="2"/>
  <c r="BH857" i="2"/>
  <c r="BG857" i="2"/>
  <c r="BE857" i="2"/>
  <c r="T857" i="2"/>
  <c r="R857" i="2"/>
  <c r="P857" i="2"/>
  <c r="BI839" i="2"/>
  <c r="BH839" i="2"/>
  <c r="BG839" i="2"/>
  <c r="BE839" i="2"/>
  <c r="T839" i="2"/>
  <c r="R839" i="2"/>
  <c r="P839" i="2"/>
  <c r="BI833" i="2"/>
  <c r="BH833" i="2"/>
  <c r="BG833" i="2"/>
  <c r="BE833" i="2"/>
  <c r="T833" i="2"/>
  <c r="R833" i="2"/>
  <c r="P833" i="2"/>
  <c r="BI827" i="2"/>
  <c r="BH827" i="2"/>
  <c r="BG827" i="2"/>
  <c r="BE827" i="2"/>
  <c r="T827" i="2"/>
  <c r="R827" i="2"/>
  <c r="P827" i="2"/>
  <c r="BI825" i="2"/>
  <c r="BH825" i="2"/>
  <c r="BG825" i="2"/>
  <c r="BE825" i="2"/>
  <c r="T825" i="2"/>
  <c r="R825" i="2"/>
  <c r="P825" i="2"/>
  <c r="BI822" i="2"/>
  <c r="BH822" i="2"/>
  <c r="BG822" i="2"/>
  <c r="BE822" i="2"/>
  <c r="T822" i="2"/>
  <c r="R822" i="2"/>
  <c r="P822" i="2"/>
  <c r="BI819" i="2"/>
  <c r="BH819" i="2"/>
  <c r="BG819" i="2"/>
  <c r="BE819" i="2"/>
  <c r="T819" i="2"/>
  <c r="R819" i="2"/>
  <c r="P819" i="2"/>
  <c r="BI817" i="2"/>
  <c r="BH817" i="2"/>
  <c r="BG817" i="2"/>
  <c r="BE817" i="2"/>
  <c r="T817" i="2"/>
  <c r="R817" i="2"/>
  <c r="P817" i="2"/>
  <c r="BI814" i="2"/>
  <c r="BH814" i="2"/>
  <c r="BG814" i="2"/>
  <c r="BE814" i="2"/>
  <c r="T814" i="2"/>
  <c r="R814" i="2"/>
  <c r="P814" i="2"/>
  <c r="BI811" i="2"/>
  <c r="BH811" i="2"/>
  <c r="BG811" i="2"/>
  <c r="BE811" i="2"/>
  <c r="T811" i="2"/>
  <c r="R811" i="2"/>
  <c r="P811" i="2"/>
  <c r="BI808" i="2"/>
  <c r="BH808" i="2"/>
  <c r="BG808" i="2"/>
  <c r="BE808" i="2"/>
  <c r="T808" i="2"/>
  <c r="R808" i="2"/>
  <c r="P808" i="2"/>
  <c r="BI804" i="2"/>
  <c r="BH804" i="2"/>
  <c r="BG804" i="2"/>
  <c r="BE804" i="2"/>
  <c r="T804" i="2"/>
  <c r="R804" i="2"/>
  <c r="P804" i="2"/>
  <c r="BI801" i="2"/>
  <c r="BH801" i="2"/>
  <c r="BG801" i="2"/>
  <c r="BE801" i="2"/>
  <c r="T801" i="2"/>
  <c r="R801" i="2"/>
  <c r="P801" i="2"/>
  <c r="BI799" i="2"/>
  <c r="BH799" i="2"/>
  <c r="BG799" i="2"/>
  <c r="BE799" i="2"/>
  <c r="T799" i="2"/>
  <c r="R799" i="2"/>
  <c r="P799" i="2"/>
  <c r="BI793" i="2"/>
  <c r="BH793" i="2"/>
  <c r="BG793" i="2"/>
  <c r="BE793" i="2"/>
  <c r="T793" i="2"/>
  <c r="R793" i="2"/>
  <c r="P793" i="2"/>
  <c r="BI786" i="2"/>
  <c r="BH786" i="2"/>
  <c r="BG786" i="2"/>
  <c r="BE786" i="2"/>
  <c r="T786" i="2"/>
  <c r="R786" i="2"/>
  <c r="P786" i="2"/>
  <c r="BI783" i="2"/>
  <c r="BH783" i="2"/>
  <c r="BG783" i="2"/>
  <c r="BE783" i="2"/>
  <c r="T783" i="2"/>
  <c r="R783" i="2"/>
  <c r="P783" i="2"/>
  <c r="BI774" i="2"/>
  <c r="BH774" i="2"/>
  <c r="BG774" i="2"/>
  <c r="BE774" i="2"/>
  <c r="T774" i="2"/>
  <c r="R774" i="2"/>
  <c r="P774" i="2"/>
  <c r="BI770" i="2"/>
  <c r="BH770" i="2"/>
  <c r="BG770" i="2"/>
  <c r="BE770" i="2"/>
  <c r="T770" i="2"/>
  <c r="R770" i="2"/>
  <c r="P770" i="2"/>
  <c r="BI767" i="2"/>
  <c r="BH767" i="2"/>
  <c r="BG767" i="2"/>
  <c r="BE767" i="2"/>
  <c r="T767" i="2"/>
  <c r="R767" i="2"/>
  <c r="P767" i="2"/>
  <c r="BI761" i="2"/>
  <c r="BH761" i="2"/>
  <c r="BG761" i="2"/>
  <c r="BE761" i="2"/>
  <c r="T761" i="2"/>
  <c r="R761" i="2"/>
  <c r="P761" i="2"/>
  <c r="BI754" i="2"/>
  <c r="BH754" i="2"/>
  <c r="BG754" i="2"/>
  <c r="BE754" i="2"/>
  <c r="T754" i="2"/>
  <c r="R754" i="2"/>
  <c r="P754" i="2"/>
  <c r="BI751" i="2"/>
  <c r="BH751" i="2"/>
  <c r="BG751" i="2"/>
  <c r="BE751" i="2"/>
  <c r="T751" i="2"/>
  <c r="R751" i="2"/>
  <c r="P751" i="2"/>
  <c r="BI748" i="2"/>
  <c r="BH748" i="2"/>
  <c r="BG748" i="2"/>
  <c r="BE748" i="2"/>
  <c r="T748" i="2"/>
  <c r="R748" i="2"/>
  <c r="P748" i="2"/>
  <c r="BI747" i="2"/>
  <c r="BH747" i="2"/>
  <c r="BG747" i="2"/>
  <c r="BE747" i="2"/>
  <c r="T747" i="2"/>
  <c r="R747" i="2"/>
  <c r="P747" i="2"/>
  <c r="BI744" i="2"/>
  <c r="BH744" i="2"/>
  <c r="BG744" i="2"/>
  <c r="BE744" i="2"/>
  <c r="T744" i="2"/>
  <c r="R744" i="2"/>
  <c r="P744" i="2"/>
  <c r="BI743" i="2"/>
  <c r="BH743" i="2"/>
  <c r="BG743" i="2"/>
  <c r="BE743" i="2"/>
  <c r="T743" i="2"/>
  <c r="R743" i="2"/>
  <c r="P743" i="2"/>
  <c r="BI742" i="2"/>
  <c r="BH742" i="2"/>
  <c r="BG742" i="2"/>
  <c r="BE742" i="2"/>
  <c r="T742" i="2"/>
  <c r="R742" i="2"/>
  <c r="P742" i="2"/>
  <c r="BI738" i="2"/>
  <c r="BH738" i="2"/>
  <c r="BG738" i="2"/>
  <c r="BE738" i="2"/>
  <c r="T738" i="2"/>
  <c r="R738" i="2"/>
  <c r="P738" i="2"/>
  <c r="BI737" i="2"/>
  <c r="BH737" i="2"/>
  <c r="BG737" i="2"/>
  <c r="BE737" i="2"/>
  <c r="T737" i="2"/>
  <c r="R737" i="2"/>
  <c r="P737" i="2"/>
  <c r="BI734" i="2"/>
  <c r="BH734" i="2"/>
  <c r="BG734" i="2"/>
  <c r="BE734" i="2"/>
  <c r="T734" i="2"/>
  <c r="R734" i="2"/>
  <c r="P734" i="2"/>
  <c r="BI733" i="2"/>
  <c r="BH733" i="2"/>
  <c r="BG733" i="2"/>
  <c r="BE733" i="2"/>
  <c r="T733" i="2"/>
  <c r="R733" i="2"/>
  <c r="P733" i="2"/>
  <c r="BI732" i="2"/>
  <c r="BH732" i="2"/>
  <c r="BG732" i="2"/>
  <c r="BE732" i="2"/>
  <c r="T732" i="2"/>
  <c r="R732" i="2"/>
  <c r="P732" i="2"/>
  <c r="BI731" i="2"/>
  <c r="BH731" i="2"/>
  <c r="BG731" i="2"/>
  <c r="BE731" i="2"/>
  <c r="T731" i="2"/>
  <c r="R731" i="2"/>
  <c r="P731" i="2"/>
  <c r="BI726" i="2"/>
  <c r="BH726" i="2"/>
  <c r="BG726" i="2"/>
  <c r="BE726" i="2"/>
  <c r="T726" i="2"/>
  <c r="R726" i="2"/>
  <c r="P726" i="2"/>
  <c r="BI725" i="2"/>
  <c r="BH725" i="2"/>
  <c r="BG725" i="2"/>
  <c r="BE725" i="2"/>
  <c r="T725" i="2"/>
  <c r="R725" i="2"/>
  <c r="P725" i="2"/>
  <c r="BI724" i="2"/>
  <c r="BH724" i="2"/>
  <c r="BG724" i="2"/>
  <c r="BE724" i="2"/>
  <c r="T724" i="2"/>
  <c r="R724" i="2"/>
  <c r="P724" i="2"/>
  <c r="BI723" i="2"/>
  <c r="BH723" i="2"/>
  <c r="BG723" i="2"/>
  <c r="BE723" i="2"/>
  <c r="T723" i="2"/>
  <c r="R723" i="2"/>
  <c r="P723" i="2"/>
  <c r="BI718" i="2"/>
  <c r="BH718" i="2"/>
  <c r="BG718" i="2"/>
  <c r="BE718" i="2"/>
  <c r="T718" i="2"/>
  <c r="R718" i="2"/>
  <c r="P718" i="2"/>
  <c r="BI714" i="2"/>
  <c r="BH714" i="2"/>
  <c r="BG714" i="2"/>
  <c r="BE714" i="2"/>
  <c r="T714" i="2"/>
  <c r="R714" i="2"/>
  <c r="P714" i="2"/>
  <c r="BI709" i="2"/>
  <c r="BH709" i="2"/>
  <c r="BG709" i="2"/>
  <c r="BE709" i="2"/>
  <c r="T709" i="2"/>
  <c r="R709" i="2"/>
  <c r="P709" i="2"/>
  <c r="BI708" i="2"/>
  <c r="BH708" i="2"/>
  <c r="BG708" i="2"/>
  <c r="BE708" i="2"/>
  <c r="T708" i="2"/>
  <c r="R708" i="2"/>
  <c r="P708" i="2"/>
  <c r="BI707" i="2"/>
  <c r="BH707" i="2"/>
  <c r="BG707" i="2"/>
  <c r="BE707" i="2"/>
  <c r="T707" i="2"/>
  <c r="R707" i="2"/>
  <c r="P707" i="2"/>
  <c r="BI706" i="2"/>
  <c r="BH706" i="2"/>
  <c r="BG706" i="2"/>
  <c r="BE706" i="2"/>
  <c r="T706" i="2"/>
  <c r="R706" i="2"/>
  <c r="P706" i="2"/>
  <c r="BI705" i="2"/>
  <c r="BH705" i="2"/>
  <c r="BG705" i="2"/>
  <c r="BE705" i="2"/>
  <c r="T705" i="2"/>
  <c r="R705" i="2"/>
  <c r="P705" i="2"/>
  <c r="BI704" i="2"/>
  <c r="BH704" i="2"/>
  <c r="BG704" i="2"/>
  <c r="BE704" i="2"/>
  <c r="T704" i="2"/>
  <c r="R704" i="2"/>
  <c r="P704" i="2"/>
  <c r="BI703" i="2"/>
  <c r="BH703" i="2"/>
  <c r="BG703" i="2"/>
  <c r="BE703" i="2"/>
  <c r="T703" i="2"/>
  <c r="R703" i="2"/>
  <c r="P703" i="2"/>
  <c r="BI702" i="2"/>
  <c r="BH702" i="2"/>
  <c r="BG702" i="2"/>
  <c r="BE702" i="2"/>
  <c r="T702" i="2"/>
  <c r="R702" i="2"/>
  <c r="P702" i="2"/>
  <c r="BI701" i="2"/>
  <c r="BH701" i="2"/>
  <c r="BG701" i="2"/>
  <c r="BE701" i="2"/>
  <c r="T701" i="2"/>
  <c r="R701" i="2"/>
  <c r="P701" i="2"/>
  <c r="BI700" i="2"/>
  <c r="BH700" i="2"/>
  <c r="BG700" i="2"/>
  <c r="BE700" i="2"/>
  <c r="T700" i="2"/>
  <c r="R700" i="2"/>
  <c r="P700" i="2"/>
  <c r="BI699" i="2"/>
  <c r="BH699" i="2"/>
  <c r="BG699" i="2"/>
  <c r="BE699" i="2"/>
  <c r="T699" i="2"/>
  <c r="R699" i="2"/>
  <c r="P699" i="2"/>
  <c r="BI698" i="2"/>
  <c r="BH698" i="2"/>
  <c r="BG698" i="2"/>
  <c r="BE698" i="2"/>
  <c r="T698" i="2"/>
  <c r="R698" i="2"/>
  <c r="P698" i="2"/>
  <c r="BI697" i="2"/>
  <c r="BH697" i="2"/>
  <c r="BG697" i="2"/>
  <c r="BE697" i="2"/>
  <c r="T697" i="2"/>
  <c r="R697" i="2"/>
  <c r="P697" i="2"/>
  <c r="BI685" i="2"/>
  <c r="BH685" i="2"/>
  <c r="BG685" i="2"/>
  <c r="BE685" i="2"/>
  <c r="T685" i="2"/>
  <c r="R685" i="2"/>
  <c r="P685" i="2"/>
  <c r="BI682" i="2"/>
  <c r="BH682" i="2"/>
  <c r="BG682" i="2"/>
  <c r="BE682" i="2"/>
  <c r="T682" i="2"/>
  <c r="R682" i="2"/>
  <c r="P682" i="2"/>
  <c r="BI677" i="2"/>
  <c r="BH677" i="2"/>
  <c r="BG677" i="2"/>
  <c r="BE677" i="2"/>
  <c r="T677" i="2"/>
  <c r="R677" i="2"/>
  <c r="P677" i="2"/>
  <c r="BI672" i="2"/>
  <c r="BH672" i="2"/>
  <c r="BG672" i="2"/>
  <c r="BE672" i="2"/>
  <c r="T672" i="2"/>
  <c r="R672" i="2"/>
  <c r="P672" i="2"/>
  <c r="BI666" i="2"/>
  <c r="BH666" i="2"/>
  <c r="BG666" i="2"/>
  <c r="BE666" i="2"/>
  <c r="T666" i="2"/>
  <c r="R666" i="2"/>
  <c r="P666" i="2"/>
  <c r="BI664" i="2"/>
  <c r="BH664" i="2"/>
  <c r="BG664" i="2"/>
  <c r="BE664" i="2"/>
  <c r="T664" i="2"/>
  <c r="R664" i="2"/>
  <c r="P664" i="2"/>
  <c r="BI663" i="2"/>
  <c r="BH663" i="2"/>
  <c r="BG663" i="2"/>
  <c r="BE663" i="2"/>
  <c r="T663" i="2"/>
  <c r="R663" i="2"/>
  <c r="P663" i="2"/>
  <c r="BI662" i="2"/>
  <c r="BH662" i="2"/>
  <c r="BG662" i="2"/>
  <c r="BE662" i="2"/>
  <c r="T662" i="2"/>
  <c r="R662" i="2"/>
  <c r="P662" i="2"/>
  <c r="BI658" i="2"/>
  <c r="BH658" i="2"/>
  <c r="BG658" i="2"/>
  <c r="BE658" i="2"/>
  <c r="T658" i="2"/>
  <c r="R658" i="2"/>
  <c r="P658" i="2"/>
  <c r="BI657" i="2"/>
  <c r="BH657" i="2"/>
  <c r="BG657" i="2"/>
  <c r="BE657" i="2"/>
  <c r="T657" i="2"/>
  <c r="R657" i="2"/>
  <c r="P657" i="2"/>
  <c r="BI656" i="2"/>
  <c r="BH656" i="2"/>
  <c r="BG656" i="2"/>
  <c r="BE656" i="2"/>
  <c r="T656" i="2"/>
  <c r="R656" i="2"/>
  <c r="P656" i="2"/>
  <c r="BI655" i="2"/>
  <c r="BH655" i="2"/>
  <c r="BG655" i="2"/>
  <c r="BE655" i="2"/>
  <c r="T655" i="2"/>
  <c r="R655" i="2"/>
  <c r="P655" i="2"/>
  <c r="BI654" i="2"/>
  <c r="BH654" i="2"/>
  <c r="BG654" i="2"/>
  <c r="BE654" i="2"/>
  <c r="T654" i="2"/>
  <c r="R654" i="2"/>
  <c r="P654" i="2"/>
  <c r="BI648" i="2"/>
  <c r="BH648" i="2"/>
  <c r="BG648" i="2"/>
  <c r="BE648" i="2"/>
  <c r="T648" i="2"/>
  <c r="R648" i="2"/>
  <c r="P648" i="2"/>
  <c r="BI646" i="2"/>
  <c r="BH646" i="2"/>
  <c r="BG646" i="2"/>
  <c r="BE646" i="2"/>
  <c r="T646" i="2"/>
  <c r="R646" i="2"/>
  <c r="P646" i="2"/>
  <c r="BI642" i="2"/>
  <c r="BH642" i="2"/>
  <c r="BG642" i="2"/>
  <c r="BE642" i="2"/>
  <c r="T642" i="2"/>
  <c r="R642" i="2"/>
  <c r="P642" i="2"/>
  <c r="BI634" i="2"/>
  <c r="BH634" i="2"/>
  <c r="BG634" i="2"/>
  <c r="BE634" i="2"/>
  <c r="T634" i="2"/>
  <c r="R634" i="2"/>
  <c r="P634" i="2"/>
  <c r="BI630" i="2"/>
  <c r="BH630" i="2"/>
  <c r="BG630" i="2"/>
  <c r="BE630" i="2"/>
  <c r="T630" i="2"/>
  <c r="R630" i="2"/>
  <c r="P630" i="2"/>
  <c r="BI624" i="2"/>
  <c r="BH624" i="2"/>
  <c r="BG624" i="2"/>
  <c r="BE624" i="2"/>
  <c r="T624" i="2"/>
  <c r="R624" i="2"/>
  <c r="P624" i="2"/>
  <c r="BI620" i="2"/>
  <c r="BH620" i="2"/>
  <c r="BG620" i="2"/>
  <c r="BE620" i="2"/>
  <c r="T620" i="2"/>
  <c r="R620" i="2"/>
  <c r="P620" i="2"/>
  <c r="BI615" i="2"/>
  <c r="BH615" i="2"/>
  <c r="BG615" i="2"/>
  <c r="BE615" i="2"/>
  <c r="T615" i="2"/>
  <c r="R615" i="2"/>
  <c r="P615" i="2"/>
  <c r="BI611" i="2"/>
  <c r="BH611" i="2"/>
  <c r="BG611" i="2"/>
  <c r="BE611" i="2"/>
  <c r="T611" i="2"/>
  <c r="R611" i="2"/>
  <c r="P611" i="2"/>
  <c r="BI608" i="2"/>
  <c r="BH608" i="2"/>
  <c r="BG608" i="2"/>
  <c r="BE608" i="2"/>
  <c r="T608" i="2"/>
  <c r="R608" i="2"/>
  <c r="P608" i="2"/>
  <c r="BI605" i="2"/>
  <c r="BH605" i="2"/>
  <c r="BG605" i="2"/>
  <c r="BE605" i="2"/>
  <c r="T605" i="2"/>
  <c r="R605" i="2"/>
  <c r="P605" i="2"/>
  <c r="BI602" i="2"/>
  <c r="BH602" i="2"/>
  <c r="BG602" i="2"/>
  <c r="BE602" i="2"/>
  <c r="T602" i="2"/>
  <c r="R602" i="2"/>
  <c r="P602" i="2"/>
  <c r="BI598" i="2"/>
  <c r="BH598" i="2"/>
  <c r="BG598" i="2"/>
  <c r="BE598" i="2"/>
  <c r="T598" i="2"/>
  <c r="R598" i="2"/>
  <c r="P598" i="2"/>
  <c r="BI596" i="2"/>
  <c r="BH596" i="2"/>
  <c r="BG596" i="2"/>
  <c r="BE596" i="2"/>
  <c r="T596" i="2"/>
  <c r="R596" i="2"/>
  <c r="P596" i="2"/>
  <c r="BI592" i="2"/>
  <c r="BH592" i="2"/>
  <c r="BG592" i="2"/>
  <c r="BE592" i="2"/>
  <c r="T592" i="2"/>
  <c r="R592" i="2"/>
  <c r="P592" i="2"/>
  <c r="BI588" i="2"/>
  <c r="BH588" i="2"/>
  <c r="BG588" i="2"/>
  <c r="BE588" i="2"/>
  <c r="T588" i="2"/>
  <c r="R588" i="2"/>
  <c r="P588" i="2"/>
  <c r="BI585" i="2"/>
  <c r="BH585" i="2"/>
  <c r="BG585" i="2"/>
  <c r="BE585" i="2"/>
  <c r="T585" i="2"/>
  <c r="R585" i="2"/>
  <c r="P585" i="2"/>
  <c r="BI582" i="2"/>
  <c r="BH582" i="2"/>
  <c r="BG582" i="2"/>
  <c r="BE582" i="2"/>
  <c r="T582" i="2"/>
  <c r="R582" i="2"/>
  <c r="P582" i="2"/>
  <c r="BI580" i="2"/>
  <c r="BH580" i="2"/>
  <c r="BG580" i="2"/>
  <c r="BE580" i="2"/>
  <c r="T580" i="2"/>
  <c r="R580" i="2"/>
  <c r="P580" i="2"/>
  <c r="BI575" i="2"/>
  <c r="BH575" i="2"/>
  <c r="BG575" i="2"/>
  <c r="BE575" i="2"/>
  <c r="T575" i="2"/>
  <c r="R575" i="2"/>
  <c r="P575" i="2"/>
  <c r="BI570" i="2"/>
  <c r="BH570" i="2"/>
  <c r="BG570" i="2"/>
  <c r="BE570" i="2"/>
  <c r="T570" i="2"/>
  <c r="R570" i="2"/>
  <c r="P570" i="2"/>
  <c r="BI566" i="2"/>
  <c r="BH566" i="2"/>
  <c r="BG566" i="2"/>
  <c r="BE566" i="2"/>
  <c r="T566" i="2"/>
  <c r="R566" i="2"/>
  <c r="P566" i="2"/>
  <c r="BI562" i="2"/>
  <c r="BH562" i="2"/>
  <c r="BG562" i="2"/>
  <c r="BE562" i="2"/>
  <c r="T562" i="2"/>
  <c r="R562" i="2"/>
  <c r="P562" i="2"/>
  <c r="BI556" i="2"/>
  <c r="BH556" i="2"/>
  <c r="BG556" i="2"/>
  <c r="BE556" i="2"/>
  <c r="T556" i="2"/>
  <c r="R556" i="2"/>
  <c r="P556" i="2"/>
  <c r="BI548" i="2"/>
  <c r="BH548" i="2"/>
  <c r="BG548" i="2"/>
  <c r="BE548" i="2"/>
  <c r="T548" i="2"/>
  <c r="R548" i="2"/>
  <c r="P548" i="2"/>
  <c r="BI543" i="2"/>
  <c r="BH543" i="2"/>
  <c r="BG543" i="2"/>
  <c r="BE543" i="2"/>
  <c r="T543" i="2"/>
  <c r="R543" i="2"/>
  <c r="P543" i="2"/>
  <c r="BI540" i="2"/>
  <c r="BH540" i="2"/>
  <c r="BG540" i="2"/>
  <c r="BE540" i="2"/>
  <c r="T540" i="2"/>
  <c r="R540" i="2"/>
  <c r="P540" i="2"/>
  <c r="BI538" i="2"/>
  <c r="BH538" i="2"/>
  <c r="BG538" i="2"/>
  <c r="BE538" i="2"/>
  <c r="T538" i="2"/>
  <c r="R538" i="2"/>
  <c r="P538" i="2"/>
  <c r="BI535" i="2"/>
  <c r="BH535" i="2"/>
  <c r="BG535" i="2"/>
  <c r="BE535" i="2"/>
  <c r="T535" i="2"/>
  <c r="R535" i="2"/>
  <c r="P535" i="2"/>
  <c r="BI526" i="2"/>
  <c r="BH526" i="2"/>
  <c r="BG526" i="2"/>
  <c r="BE526" i="2"/>
  <c r="T526" i="2"/>
  <c r="R526" i="2"/>
  <c r="P526" i="2"/>
  <c r="BI523" i="2"/>
  <c r="BH523" i="2"/>
  <c r="BG523" i="2"/>
  <c r="BE523" i="2"/>
  <c r="T523" i="2"/>
  <c r="R523" i="2"/>
  <c r="P523" i="2"/>
  <c r="BI520" i="2"/>
  <c r="BH520" i="2"/>
  <c r="BG520" i="2"/>
  <c r="BE520" i="2"/>
  <c r="T520" i="2"/>
  <c r="R520" i="2"/>
  <c r="P520" i="2"/>
  <c r="BI517" i="2"/>
  <c r="BH517" i="2"/>
  <c r="BG517" i="2"/>
  <c r="BE517" i="2"/>
  <c r="T517" i="2"/>
  <c r="R517" i="2"/>
  <c r="P517" i="2"/>
  <c r="BI513" i="2"/>
  <c r="BH513" i="2"/>
  <c r="BG513" i="2"/>
  <c r="BE513" i="2"/>
  <c r="T513" i="2"/>
  <c r="R513" i="2"/>
  <c r="P513" i="2"/>
  <c r="BI510" i="2"/>
  <c r="BH510" i="2"/>
  <c r="BG510" i="2"/>
  <c r="BE510" i="2"/>
  <c r="T510" i="2"/>
  <c r="T509" i="2" s="1"/>
  <c r="R510" i="2"/>
  <c r="R509" i="2" s="1"/>
  <c r="P510" i="2"/>
  <c r="P509" i="2" s="1"/>
  <c r="BI508" i="2"/>
  <c r="BH508" i="2"/>
  <c r="BG508" i="2"/>
  <c r="BE508" i="2"/>
  <c r="T508" i="2"/>
  <c r="R508" i="2"/>
  <c r="P508" i="2"/>
  <c r="BI507" i="2"/>
  <c r="BH507" i="2"/>
  <c r="BG507" i="2"/>
  <c r="BE507" i="2"/>
  <c r="T507" i="2"/>
  <c r="R507" i="2"/>
  <c r="P507" i="2"/>
  <c r="BI506" i="2"/>
  <c r="BH506" i="2"/>
  <c r="BG506" i="2"/>
  <c r="BE506" i="2"/>
  <c r="T506" i="2"/>
  <c r="R506" i="2"/>
  <c r="P506" i="2"/>
  <c r="BI505" i="2"/>
  <c r="BH505" i="2"/>
  <c r="BG505" i="2"/>
  <c r="BE505" i="2"/>
  <c r="T505" i="2"/>
  <c r="R505" i="2"/>
  <c r="P505" i="2"/>
  <c r="BI504" i="2"/>
  <c r="BH504" i="2"/>
  <c r="BG504" i="2"/>
  <c r="BE504" i="2"/>
  <c r="T504" i="2"/>
  <c r="R504" i="2"/>
  <c r="P504" i="2"/>
  <c r="BI503" i="2"/>
  <c r="BH503" i="2"/>
  <c r="BG503" i="2"/>
  <c r="BE503" i="2"/>
  <c r="T503" i="2"/>
  <c r="R503" i="2"/>
  <c r="P503" i="2"/>
  <c r="BI502" i="2"/>
  <c r="BH502" i="2"/>
  <c r="BG502" i="2"/>
  <c r="BE502" i="2"/>
  <c r="T502" i="2"/>
  <c r="R502" i="2"/>
  <c r="P502" i="2"/>
  <c r="BI501" i="2"/>
  <c r="BH501" i="2"/>
  <c r="BG501" i="2"/>
  <c r="BE501" i="2"/>
  <c r="T501" i="2"/>
  <c r="R501" i="2"/>
  <c r="P501" i="2"/>
  <c r="BI498" i="2"/>
  <c r="BH498" i="2"/>
  <c r="BG498" i="2"/>
  <c r="BE498" i="2"/>
  <c r="T498" i="2"/>
  <c r="R498" i="2"/>
  <c r="P498" i="2"/>
  <c r="BI494" i="2"/>
  <c r="BH494" i="2"/>
  <c r="BG494" i="2"/>
  <c r="BE494" i="2"/>
  <c r="T494" i="2"/>
  <c r="R494" i="2"/>
  <c r="P494" i="2"/>
  <c r="BI491" i="2"/>
  <c r="BH491" i="2"/>
  <c r="BG491" i="2"/>
  <c r="BE491" i="2"/>
  <c r="T491" i="2"/>
  <c r="R491" i="2"/>
  <c r="P491" i="2"/>
  <c r="BI488" i="2"/>
  <c r="BH488" i="2"/>
  <c r="BG488" i="2"/>
  <c r="BE488" i="2"/>
  <c r="T488" i="2"/>
  <c r="R488" i="2"/>
  <c r="P488" i="2"/>
  <c r="BI485" i="2"/>
  <c r="BH485" i="2"/>
  <c r="BG485" i="2"/>
  <c r="BE485" i="2"/>
  <c r="T485" i="2"/>
  <c r="R485" i="2"/>
  <c r="P485" i="2"/>
  <c r="BI482" i="2"/>
  <c r="BH482" i="2"/>
  <c r="BG482" i="2"/>
  <c r="BE482" i="2"/>
  <c r="T482" i="2"/>
  <c r="R482" i="2"/>
  <c r="P482" i="2"/>
  <c r="BI479" i="2"/>
  <c r="BH479" i="2"/>
  <c r="BG479" i="2"/>
  <c r="BE479" i="2"/>
  <c r="T479" i="2"/>
  <c r="R479" i="2"/>
  <c r="P479" i="2"/>
  <c r="BI476" i="2"/>
  <c r="BH476" i="2"/>
  <c r="BG476" i="2"/>
  <c r="BE476" i="2"/>
  <c r="T476" i="2"/>
  <c r="R476" i="2"/>
  <c r="P476" i="2"/>
  <c r="BI473" i="2"/>
  <c r="BH473" i="2"/>
  <c r="BG473" i="2"/>
  <c r="BE473" i="2"/>
  <c r="T473" i="2"/>
  <c r="R473" i="2"/>
  <c r="P473" i="2"/>
  <c r="BI469" i="2"/>
  <c r="BH469" i="2"/>
  <c r="BG469" i="2"/>
  <c r="BE469" i="2"/>
  <c r="T469" i="2"/>
  <c r="R469" i="2"/>
  <c r="P469" i="2"/>
  <c r="BI460" i="2"/>
  <c r="BH460" i="2"/>
  <c r="BG460" i="2"/>
  <c r="BE460" i="2"/>
  <c r="T460" i="2"/>
  <c r="R460" i="2"/>
  <c r="P460" i="2"/>
  <c r="BI442" i="2"/>
  <c r="BH442" i="2"/>
  <c r="BG442" i="2"/>
  <c r="BE442" i="2"/>
  <c r="T442" i="2"/>
  <c r="R442" i="2"/>
  <c r="P442" i="2"/>
  <c r="BI434" i="2"/>
  <c r="BH434" i="2"/>
  <c r="BG434" i="2"/>
  <c r="BE434" i="2"/>
  <c r="T434" i="2"/>
  <c r="R434" i="2"/>
  <c r="P434" i="2"/>
  <c r="BI430" i="2"/>
  <c r="BH430" i="2"/>
  <c r="BG430" i="2"/>
  <c r="BE430" i="2"/>
  <c r="T430" i="2"/>
  <c r="R430" i="2"/>
  <c r="P430" i="2"/>
  <c r="BI426" i="2"/>
  <c r="BH426" i="2"/>
  <c r="BG426" i="2"/>
  <c r="BE426" i="2"/>
  <c r="T426" i="2"/>
  <c r="R426" i="2"/>
  <c r="P426" i="2"/>
  <c r="BI423" i="2"/>
  <c r="BH423" i="2"/>
  <c r="BG423" i="2"/>
  <c r="BE423" i="2"/>
  <c r="T423" i="2"/>
  <c r="R423" i="2"/>
  <c r="P423" i="2"/>
  <c r="BI416" i="2"/>
  <c r="BH416" i="2"/>
  <c r="BG416" i="2"/>
  <c r="BE416" i="2"/>
  <c r="T416" i="2"/>
  <c r="R416" i="2"/>
  <c r="P416" i="2"/>
  <c r="BI413" i="2"/>
  <c r="BH413" i="2"/>
  <c r="BG413" i="2"/>
  <c r="BE413" i="2"/>
  <c r="T413" i="2"/>
  <c r="R413" i="2"/>
  <c r="P413" i="2"/>
  <c r="BI409" i="2"/>
  <c r="BH409" i="2"/>
  <c r="BG409" i="2"/>
  <c r="BE409" i="2"/>
  <c r="T409" i="2"/>
  <c r="R409" i="2"/>
  <c r="P409" i="2"/>
  <c r="BI402" i="2"/>
  <c r="BH402" i="2"/>
  <c r="BG402" i="2"/>
  <c r="BE402" i="2"/>
  <c r="T402" i="2"/>
  <c r="R402" i="2"/>
  <c r="P402" i="2"/>
  <c r="BI398" i="2"/>
  <c r="BH398" i="2"/>
  <c r="BG398" i="2"/>
  <c r="BE398" i="2"/>
  <c r="T398" i="2"/>
  <c r="R398" i="2"/>
  <c r="P398" i="2"/>
  <c r="BI393" i="2"/>
  <c r="BH393" i="2"/>
  <c r="BG393" i="2"/>
  <c r="BE393" i="2"/>
  <c r="T393" i="2"/>
  <c r="R393" i="2"/>
  <c r="P393" i="2"/>
  <c r="BI390" i="2"/>
  <c r="BH390" i="2"/>
  <c r="BG390" i="2"/>
  <c r="BE390" i="2"/>
  <c r="T390" i="2"/>
  <c r="R390" i="2"/>
  <c r="P390" i="2"/>
  <c r="BI384" i="2"/>
  <c r="BH384" i="2"/>
  <c r="BG384" i="2"/>
  <c r="BE384" i="2"/>
  <c r="T384" i="2"/>
  <c r="R384" i="2"/>
  <c r="P384" i="2"/>
  <c r="BI378" i="2"/>
  <c r="BH378" i="2"/>
  <c r="BG378" i="2"/>
  <c r="BE378" i="2"/>
  <c r="T378" i="2"/>
  <c r="R378" i="2"/>
  <c r="P378" i="2"/>
  <c r="BI375" i="2"/>
  <c r="BH375" i="2"/>
  <c r="BG375" i="2"/>
  <c r="BE375" i="2"/>
  <c r="T375" i="2"/>
  <c r="R375" i="2"/>
  <c r="P375" i="2"/>
  <c r="BI370" i="2"/>
  <c r="BH370" i="2"/>
  <c r="BG370" i="2"/>
  <c r="BE370" i="2"/>
  <c r="T370" i="2"/>
  <c r="R370" i="2"/>
  <c r="P370" i="2"/>
  <c r="BI358" i="2"/>
  <c r="BH358" i="2"/>
  <c r="BG358" i="2"/>
  <c r="BE358" i="2"/>
  <c r="T358" i="2"/>
  <c r="R358" i="2"/>
  <c r="P358" i="2"/>
  <c r="BI355" i="2"/>
  <c r="BH355" i="2"/>
  <c r="BG355" i="2"/>
  <c r="BE355" i="2"/>
  <c r="T355" i="2"/>
  <c r="R355" i="2"/>
  <c r="P355" i="2"/>
  <c r="BI352" i="2"/>
  <c r="BH352" i="2"/>
  <c r="BG352" i="2"/>
  <c r="BE352" i="2"/>
  <c r="T352" i="2"/>
  <c r="R352" i="2"/>
  <c r="P352" i="2"/>
  <c r="BI349" i="2"/>
  <c r="BH349" i="2"/>
  <c r="BG349" i="2"/>
  <c r="BE349" i="2"/>
  <c r="T349" i="2"/>
  <c r="R349" i="2"/>
  <c r="P349" i="2"/>
  <c r="BI346" i="2"/>
  <c r="BH346" i="2"/>
  <c r="BG346" i="2"/>
  <c r="BE346" i="2"/>
  <c r="T346" i="2"/>
  <c r="R346" i="2"/>
  <c r="P346" i="2"/>
  <c r="BI343" i="2"/>
  <c r="BH343" i="2"/>
  <c r="BG343" i="2"/>
  <c r="BE343" i="2"/>
  <c r="T343" i="2"/>
  <c r="R343" i="2"/>
  <c r="P343" i="2"/>
  <c r="BI341" i="2"/>
  <c r="BH341" i="2"/>
  <c r="BG341" i="2"/>
  <c r="BE341" i="2"/>
  <c r="T341" i="2"/>
  <c r="R341" i="2"/>
  <c r="P341" i="2"/>
  <c r="BI340" i="2"/>
  <c r="BH340" i="2"/>
  <c r="BG340" i="2"/>
  <c r="BE340" i="2"/>
  <c r="T340" i="2"/>
  <c r="R340" i="2"/>
  <c r="P340" i="2"/>
  <c r="BI339" i="2"/>
  <c r="BH339" i="2"/>
  <c r="BG339" i="2"/>
  <c r="BE339" i="2"/>
  <c r="T339" i="2"/>
  <c r="R339" i="2"/>
  <c r="P339" i="2"/>
  <c r="BI338" i="2"/>
  <c r="BH338" i="2"/>
  <c r="BG338" i="2"/>
  <c r="BE338" i="2"/>
  <c r="T338" i="2"/>
  <c r="R338" i="2"/>
  <c r="P338" i="2"/>
  <c r="BI332" i="2"/>
  <c r="BH332" i="2"/>
  <c r="BG332" i="2"/>
  <c r="BE332" i="2"/>
  <c r="T332" i="2"/>
  <c r="R332" i="2"/>
  <c r="P332" i="2"/>
  <c r="BI328" i="2"/>
  <c r="BH328" i="2"/>
  <c r="BG328" i="2"/>
  <c r="BE328" i="2"/>
  <c r="T328" i="2"/>
  <c r="R328" i="2"/>
  <c r="P328" i="2"/>
  <c r="BI324" i="2"/>
  <c r="BH324" i="2"/>
  <c r="BG324" i="2"/>
  <c r="BE324" i="2"/>
  <c r="T324" i="2"/>
  <c r="R324" i="2"/>
  <c r="P324" i="2"/>
  <c r="BI319" i="2"/>
  <c r="BH319" i="2"/>
  <c r="BG319" i="2"/>
  <c r="BE319" i="2"/>
  <c r="T319" i="2"/>
  <c r="R319" i="2"/>
  <c r="P319" i="2"/>
  <c r="BI318" i="2"/>
  <c r="BH318" i="2"/>
  <c r="BG318" i="2"/>
  <c r="BE318" i="2"/>
  <c r="T318" i="2"/>
  <c r="R318" i="2"/>
  <c r="P318" i="2"/>
  <c r="BI313" i="2"/>
  <c r="BH313" i="2"/>
  <c r="BG313" i="2"/>
  <c r="BE313" i="2"/>
  <c r="T313" i="2"/>
  <c r="R313" i="2"/>
  <c r="P313" i="2"/>
  <c r="BI310" i="2"/>
  <c r="BH310" i="2"/>
  <c r="BG310" i="2"/>
  <c r="BE310" i="2"/>
  <c r="T310" i="2"/>
  <c r="R310" i="2"/>
  <c r="P310" i="2"/>
  <c r="BI307" i="2"/>
  <c r="BH307" i="2"/>
  <c r="BG307" i="2"/>
  <c r="BE307" i="2"/>
  <c r="T307" i="2"/>
  <c r="R307" i="2"/>
  <c r="P307" i="2"/>
  <c r="BI304" i="2"/>
  <c r="BH304" i="2"/>
  <c r="BG304" i="2"/>
  <c r="BE304" i="2"/>
  <c r="T304" i="2"/>
  <c r="R304" i="2"/>
  <c r="P304" i="2"/>
  <c r="BI299" i="2"/>
  <c r="BH299" i="2"/>
  <c r="BG299" i="2"/>
  <c r="BE299" i="2"/>
  <c r="T299" i="2"/>
  <c r="R299" i="2"/>
  <c r="P299" i="2"/>
  <c r="BI296" i="2"/>
  <c r="BH296" i="2"/>
  <c r="BG296" i="2"/>
  <c r="BE296" i="2"/>
  <c r="T296" i="2"/>
  <c r="R296" i="2"/>
  <c r="P296" i="2"/>
  <c r="BI293" i="2"/>
  <c r="BH293" i="2"/>
  <c r="BG293" i="2"/>
  <c r="BE293" i="2"/>
  <c r="T293" i="2"/>
  <c r="R293" i="2"/>
  <c r="P293" i="2"/>
  <c r="BI289" i="2"/>
  <c r="BH289" i="2"/>
  <c r="BG289" i="2"/>
  <c r="BE289" i="2"/>
  <c r="T289" i="2"/>
  <c r="R289" i="2"/>
  <c r="P289" i="2"/>
  <c r="BI286" i="2"/>
  <c r="BH286" i="2"/>
  <c r="BG286" i="2"/>
  <c r="BE286" i="2"/>
  <c r="T286" i="2"/>
  <c r="R286" i="2"/>
  <c r="P286" i="2"/>
  <c r="BI279" i="2"/>
  <c r="BH279" i="2"/>
  <c r="BG279" i="2"/>
  <c r="BE279" i="2"/>
  <c r="T279" i="2"/>
  <c r="R279" i="2"/>
  <c r="P279" i="2"/>
  <c r="BI276" i="2"/>
  <c r="BH276" i="2"/>
  <c r="BG276" i="2"/>
  <c r="BE276" i="2"/>
  <c r="T276" i="2"/>
  <c r="R276" i="2"/>
  <c r="P276" i="2"/>
  <c r="BI273" i="2"/>
  <c r="BH273" i="2"/>
  <c r="BG273" i="2"/>
  <c r="BE273" i="2"/>
  <c r="T273" i="2"/>
  <c r="R273" i="2"/>
  <c r="P273" i="2"/>
  <c r="BI269" i="2"/>
  <c r="BH269" i="2"/>
  <c r="BG269" i="2"/>
  <c r="BE269" i="2"/>
  <c r="T269" i="2"/>
  <c r="R269" i="2"/>
  <c r="P269" i="2"/>
  <c r="BI264" i="2"/>
  <c r="BH264" i="2"/>
  <c r="BG264" i="2"/>
  <c r="BE264" i="2"/>
  <c r="T264" i="2"/>
  <c r="R264" i="2"/>
  <c r="P264" i="2"/>
  <c r="BI261" i="2"/>
  <c r="BH261" i="2"/>
  <c r="BG261" i="2"/>
  <c r="BE261" i="2"/>
  <c r="T261" i="2"/>
  <c r="R261" i="2"/>
  <c r="P261" i="2"/>
  <c r="BI258" i="2"/>
  <c r="BH258" i="2"/>
  <c r="BG258" i="2"/>
  <c r="BE258" i="2"/>
  <c r="T258" i="2"/>
  <c r="R258" i="2"/>
  <c r="P258" i="2"/>
  <c r="BI255" i="2"/>
  <c r="BH255" i="2"/>
  <c r="BG255" i="2"/>
  <c r="BE255" i="2"/>
  <c r="T255" i="2"/>
  <c r="R255" i="2"/>
  <c r="P255" i="2"/>
  <c r="BI251" i="2"/>
  <c r="BH251" i="2"/>
  <c r="BG251" i="2"/>
  <c r="BE251" i="2"/>
  <c r="T251" i="2"/>
  <c r="R251" i="2"/>
  <c r="P251" i="2"/>
  <c r="BI248" i="2"/>
  <c r="BH248" i="2"/>
  <c r="BG248" i="2"/>
  <c r="BE248" i="2"/>
  <c r="T248" i="2"/>
  <c r="R248" i="2"/>
  <c r="P248" i="2"/>
  <c r="BI244" i="2"/>
  <c r="BH244" i="2"/>
  <c r="BG244" i="2"/>
  <c r="BE244" i="2"/>
  <c r="T244" i="2"/>
  <c r="R244" i="2"/>
  <c r="P244" i="2"/>
  <c r="BI240" i="2"/>
  <c r="BH240" i="2"/>
  <c r="BG240" i="2"/>
  <c r="BE240" i="2"/>
  <c r="T240" i="2"/>
  <c r="R240" i="2"/>
  <c r="P240" i="2"/>
  <c r="BI237" i="2"/>
  <c r="BH237" i="2"/>
  <c r="BG237" i="2"/>
  <c r="BE237" i="2"/>
  <c r="T237" i="2"/>
  <c r="R237" i="2"/>
  <c r="P237" i="2"/>
  <c r="BI233" i="2"/>
  <c r="BH233" i="2"/>
  <c r="BG233" i="2"/>
  <c r="BE233" i="2"/>
  <c r="T233" i="2"/>
  <c r="R233" i="2"/>
  <c r="P233" i="2"/>
  <c r="BI230" i="2"/>
  <c r="BH230" i="2"/>
  <c r="BG230" i="2"/>
  <c r="BE230" i="2"/>
  <c r="T230" i="2"/>
  <c r="R230" i="2"/>
  <c r="P230" i="2"/>
  <c r="BI227" i="2"/>
  <c r="BH227" i="2"/>
  <c r="BG227" i="2"/>
  <c r="BE227" i="2"/>
  <c r="T227" i="2"/>
  <c r="R227" i="2"/>
  <c r="P227" i="2"/>
  <c r="BI224" i="2"/>
  <c r="BH224" i="2"/>
  <c r="BG224" i="2"/>
  <c r="BE224" i="2"/>
  <c r="T224" i="2"/>
  <c r="R224" i="2"/>
  <c r="P224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6" i="2"/>
  <c r="BH216" i="2"/>
  <c r="BG216" i="2"/>
  <c r="BE216" i="2"/>
  <c r="T216" i="2"/>
  <c r="R216" i="2"/>
  <c r="P216" i="2"/>
  <c r="BI213" i="2"/>
  <c r="BH213" i="2"/>
  <c r="BG213" i="2"/>
  <c r="BE213" i="2"/>
  <c r="T213" i="2"/>
  <c r="R213" i="2"/>
  <c r="P213" i="2"/>
  <c r="BI206" i="2"/>
  <c r="BH206" i="2"/>
  <c r="BG206" i="2"/>
  <c r="BE206" i="2"/>
  <c r="T206" i="2"/>
  <c r="R206" i="2"/>
  <c r="P206" i="2"/>
  <c r="BI202" i="2"/>
  <c r="BH202" i="2"/>
  <c r="BG202" i="2"/>
  <c r="BE202" i="2"/>
  <c r="T202" i="2"/>
  <c r="R202" i="2"/>
  <c r="P202" i="2"/>
  <c r="BI199" i="2"/>
  <c r="BH199" i="2"/>
  <c r="BG199" i="2"/>
  <c r="BE199" i="2"/>
  <c r="T199" i="2"/>
  <c r="R199" i="2"/>
  <c r="P199" i="2"/>
  <c r="BI196" i="2"/>
  <c r="BH196" i="2"/>
  <c r="BG196" i="2"/>
  <c r="BE196" i="2"/>
  <c r="T196" i="2"/>
  <c r="R196" i="2"/>
  <c r="P196" i="2"/>
  <c r="BI193" i="2"/>
  <c r="BH193" i="2"/>
  <c r="BG193" i="2"/>
  <c r="BE193" i="2"/>
  <c r="T193" i="2"/>
  <c r="R193" i="2"/>
  <c r="P193" i="2"/>
  <c r="BI190" i="2"/>
  <c r="BH190" i="2"/>
  <c r="BG190" i="2"/>
  <c r="BE190" i="2"/>
  <c r="T190" i="2"/>
  <c r="R190" i="2"/>
  <c r="P190" i="2"/>
  <c r="BI187" i="2"/>
  <c r="BH187" i="2"/>
  <c r="BG187" i="2"/>
  <c r="BE187" i="2"/>
  <c r="T187" i="2"/>
  <c r="R187" i="2"/>
  <c r="P187" i="2"/>
  <c r="BI184" i="2"/>
  <c r="BH184" i="2"/>
  <c r="BG184" i="2"/>
  <c r="BE184" i="2"/>
  <c r="T184" i="2"/>
  <c r="R184" i="2"/>
  <c r="P184" i="2"/>
  <c r="BI181" i="2"/>
  <c r="BH181" i="2"/>
  <c r="BG181" i="2"/>
  <c r="BE181" i="2"/>
  <c r="T181" i="2"/>
  <c r="R181" i="2"/>
  <c r="P181" i="2"/>
  <c r="BI177" i="2"/>
  <c r="BH177" i="2"/>
  <c r="BG177" i="2"/>
  <c r="BE177" i="2"/>
  <c r="T177" i="2"/>
  <c r="R177" i="2"/>
  <c r="P177" i="2"/>
  <c r="BI170" i="2"/>
  <c r="BH170" i="2"/>
  <c r="BG170" i="2"/>
  <c r="BE170" i="2"/>
  <c r="T170" i="2"/>
  <c r="R170" i="2"/>
  <c r="P170" i="2"/>
  <c r="BI166" i="2"/>
  <c r="BH166" i="2"/>
  <c r="BG166" i="2"/>
  <c r="BE166" i="2"/>
  <c r="T166" i="2"/>
  <c r="R166" i="2"/>
  <c r="P166" i="2"/>
  <c r="BI163" i="2"/>
  <c r="BH163" i="2"/>
  <c r="BG163" i="2"/>
  <c r="BE163" i="2"/>
  <c r="T163" i="2"/>
  <c r="R163" i="2"/>
  <c r="P163" i="2"/>
  <c r="BI160" i="2"/>
  <c r="BH160" i="2"/>
  <c r="BG160" i="2"/>
  <c r="BE160" i="2"/>
  <c r="T160" i="2"/>
  <c r="R160" i="2"/>
  <c r="P160" i="2"/>
  <c r="BI156" i="2"/>
  <c r="BH156" i="2"/>
  <c r="BG156" i="2"/>
  <c r="BE156" i="2"/>
  <c r="T156" i="2"/>
  <c r="R156" i="2"/>
  <c r="P156" i="2"/>
  <c r="BI153" i="2"/>
  <c r="BH153" i="2"/>
  <c r="BG153" i="2"/>
  <c r="BE153" i="2"/>
  <c r="T153" i="2"/>
  <c r="R153" i="2"/>
  <c r="P153" i="2"/>
  <c r="BI149" i="2"/>
  <c r="BH149" i="2"/>
  <c r="BG149" i="2"/>
  <c r="BE149" i="2"/>
  <c r="T149" i="2"/>
  <c r="R149" i="2"/>
  <c r="P149" i="2"/>
  <c r="F140" i="2"/>
  <c r="E138" i="2"/>
  <c r="F91" i="2"/>
  <c r="E89" i="2"/>
  <c r="J26" i="2"/>
  <c r="E26" i="2"/>
  <c r="J143" i="2" s="1"/>
  <c r="J25" i="2"/>
  <c r="J23" i="2"/>
  <c r="E23" i="2"/>
  <c r="J142" i="2" s="1"/>
  <c r="J22" i="2"/>
  <c r="J20" i="2"/>
  <c r="E20" i="2"/>
  <c r="F143" i="2" s="1"/>
  <c r="J19" i="2"/>
  <c r="J17" i="2"/>
  <c r="E17" i="2"/>
  <c r="F142" i="2" s="1"/>
  <c r="J16" i="2"/>
  <c r="J140" i="2"/>
  <c r="E7" i="2"/>
  <c r="E134" i="2" s="1"/>
  <c r="L90" i="1"/>
  <c r="AM90" i="1"/>
  <c r="AM89" i="1"/>
  <c r="L89" i="1"/>
  <c r="AM87" i="1"/>
  <c r="L87" i="1"/>
  <c r="L85" i="1"/>
  <c r="BK906" i="2"/>
  <c r="BK901" i="2"/>
  <c r="BK890" i="2"/>
  <c r="BK876" i="2"/>
  <c r="BK839" i="2"/>
  <c r="BK814" i="2"/>
  <c r="BK783" i="2"/>
  <c r="BK761" i="2"/>
  <c r="BK751" i="2"/>
  <c r="BK747" i="2"/>
  <c r="BK743" i="2"/>
  <c r="BK725" i="2"/>
  <c r="BK709" i="2"/>
  <c r="BK705" i="2"/>
  <c r="BK703" i="2"/>
  <c r="BK701" i="2"/>
  <c r="BK699" i="2"/>
  <c r="BK685" i="2"/>
  <c r="BK664" i="2"/>
  <c r="BK657" i="2"/>
  <c r="BK630" i="2"/>
  <c r="BK615" i="2"/>
  <c r="BK570" i="2"/>
  <c r="BK556" i="2"/>
  <c r="BK543" i="2"/>
  <c r="BK538" i="2"/>
  <c r="BK526" i="2"/>
  <c r="BK520" i="2"/>
  <c r="BK513" i="2"/>
  <c r="BK507" i="2"/>
  <c r="BK505" i="2"/>
  <c r="BK504" i="2"/>
  <c r="BK501" i="2"/>
  <c r="BK485" i="2"/>
  <c r="BK476" i="2"/>
  <c r="BK473" i="2"/>
  <c r="BK442" i="2"/>
  <c r="BK332" i="2"/>
  <c r="BK318" i="2"/>
  <c r="J293" i="2"/>
  <c r="BK273" i="2"/>
  <c r="BK240" i="2"/>
  <c r="BK230" i="2"/>
  <c r="BK220" i="2"/>
  <c r="BK193" i="2"/>
  <c r="BK184" i="2"/>
  <c r="BK153" i="2"/>
  <c r="BK193" i="3"/>
  <c r="BK183" i="3"/>
  <c r="BK168" i="3"/>
  <c r="BK243" i="3"/>
  <c r="BK229" i="3"/>
  <c r="BK191" i="3"/>
  <c r="BK174" i="3"/>
  <c r="BK282" i="3"/>
  <c r="BK217" i="3"/>
  <c r="BK180" i="3"/>
  <c r="BK190" i="3"/>
  <c r="BK167" i="3"/>
  <c r="BK151" i="3"/>
  <c r="BK138" i="3"/>
  <c r="BK240" i="3"/>
  <c r="BK213" i="3"/>
  <c r="BK269" i="3"/>
  <c r="BK234" i="3"/>
  <c r="BK226" i="3"/>
  <c r="BK211" i="3"/>
  <c r="BK199" i="3"/>
  <c r="BK179" i="3"/>
  <c r="BK172" i="3"/>
  <c r="BK149" i="3"/>
  <c r="BK141" i="4"/>
  <c r="BK142" i="4"/>
  <c r="BK135" i="4"/>
  <c r="BK149" i="4"/>
  <c r="BK137" i="4"/>
  <c r="BK332" i="5"/>
  <c r="BK316" i="5"/>
  <c r="BK312" i="5"/>
  <c r="BK303" i="5"/>
  <c r="BK284" i="5"/>
  <c r="BK257" i="5"/>
  <c r="BK207" i="5"/>
  <c r="BK191" i="5"/>
  <c r="BK314" i="5"/>
  <c r="BK282" i="5"/>
  <c r="BK365" i="5"/>
  <c r="BK324" i="5"/>
  <c r="BK311" i="5"/>
  <c r="BK235" i="5"/>
  <c r="BK175" i="5"/>
  <c r="BK166" i="5"/>
  <c r="BK149" i="5"/>
  <c r="BK357" i="5"/>
  <c r="BK334" i="5"/>
  <c r="BK300" i="5"/>
  <c r="BK245" i="5"/>
  <c r="BK241" i="5"/>
  <c r="BK237" i="5"/>
  <c r="BK231" i="5"/>
  <c r="BK219" i="5"/>
  <c r="BK194" i="5"/>
  <c r="BK190" i="5"/>
  <c r="BK186" i="5"/>
  <c r="BK883" i="2"/>
  <c r="BK857" i="2"/>
  <c r="BK825" i="2"/>
  <c r="BK793" i="2"/>
  <c r="BK774" i="2"/>
  <c r="BK767" i="2"/>
  <c r="BK754" i="2"/>
  <c r="J751" i="2"/>
  <c r="BK738" i="2"/>
  <c r="BK732" i="2"/>
  <c r="BK723" i="2"/>
  <c r="BK714" i="2"/>
  <c r="BK708" i="2"/>
  <c r="BK706" i="2"/>
  <c r="BK648" i="2"/>
  <c r="BK608" i="2"/>
  <c r="BK596" i="2"/>
  <c r="BK592" i="2"/>
  <c r="BK575" i="2"/>
  <c r="BK566" i="2"/>
  <c r="BK510" i="2"/>
  <c r="BK506" i="2"/>
  <c r="BK503" i="2"/>
  <c r="BK498" i="2"/>
  <c r="BK482" i="2"/>
  <c r="BK460" i="2"/>
  <c r="BK409" i="2"/>
  <c r="BK398" i="2"/>
  <c r="BK393" i="2"/>
  <c r="BK378" i="2"/>
  <c r="BK370" i="2"/>
  <c r="BK355" i="2"/>
  <c r="BK339" i="2"/>
  <c r="BK338" i="2"/>
  <c r="BK324" i="2"/>
  <c r="BK307" i="2"/>
  <c r="J299" i="2"/>
  <c r="BK289" i="2"/>
  <c r="BK279" i="2"/>
  <c r="BK255" i="2"/>
  <c r="BK248" i="2"/>
  <c r="BK237" i="2"/>
  <c r="BK224" i="2"/>
  <c r="BK206" i="2"/>
  <c r="BK199" i="2"/>
  <c r="BK187" i="2"/>
  <c r="BK181" i="2"/>
  <c r="BK166" i="2"/>
  <c r="BK160" i="2"/>
  <c r="AS95" i="1"/>
  <c r="BK293" i="3"/>
  <c r="BK292" i="3"/>
  <c r="BK291" i="3"/>
  <c r="BK290" i="3"/>
  <c r="BK288" i="3"/>
  <c r="BK287" i="3"/>
  <c r="BK286" i="3"/>
  <c r="BK285" i="3"/>
  <c r="BK284" i="3"/>
  <c r="BK283" i="3"/>
  <c r="BK281" i="3"/>
  <c r="BK265" i="3"/>
  <c r="BK259" i="3"/>
  <c r="BK258" i="3"/>
  <c r="BK256" i="3"/>
  <c r="BK251" i="3"/>
  <c r="BK244" i="3"/>
  <c r="BK241" i="3"/>
  <c r="BK239" i="3"/>
  <c r="BK231" i="3"/>
  <c r="BK227" i="3"/>
  <c r="BK221" i="3"/>
  <c r="BK215" i="3"/>
  <c r="BK203" i="3"/>
  <c r="BK201" i="3"/>
  <c r="BK196" i="3"/>
  <c r="BK182" i="3"/>
  <c r="BK178" i="3"/>
  <c r="BK176" i="3"/>
  <c r="BK170" i="3"/>
  <c r="BK162" i="3"/>
  <c r="BK152" i="3"/>
  <c r="BK279" i="3"/>
  <c r="BK277" i="3"/>
  <c r="BK271" i="3"/>
  <c r="BK186" i="3"/>
  <c r="BK185" i="3"/>
  <c r="BK142" i="3"/>
  <c r="BK198" i="3"/>
  <c r="BK153" i="3"/>
  <c r="BK253" i="3"/>
  <c r="BK202" i="3"/>
  <c r="BK275" i="3"/>
  <c r="BK222" i="3"/>
  <c r="BK210" i="3"/>
  <c r="BK194" i="3"/>
  <c r="BK273" i="3"/>
  <c r="BK261" i="3"/>
  <c r="BK238" i="3"/>
  <c r="BK155" i="3"/>
  <c r="BK144" i="3"/>
  <c r="BK236" i="3"/>
  <c r="BK189" i="3"/>
  <c r="BK276" i="3"/>
  <c r="BK264" i="3"/>
  <c r="BK250" i="3"/>
  <c r="BK245" i="3"/>
  <c r="BK224" i="3"/>
  <c r="BK214" i="3"/>
  <c r="BK208" i="3"/>
  <c r="BK188" i="3"/>
  <c r="BK164" i="3"/>
  <c r="BK156" i="3"/>
  <c r="BK134" i="3"/>
  <c r="BK144" i="4"/>
  <c r="BK138" i="4"/>
  <c r="BK151" i="4"/>
  <c r="BK133" i="4"/>
  <c r="BK344" i="5"/>
  <c r="BK317" i="5"/>
  <c r="BK276" i="5"/>
  <c r="BK260" i="5"/>
  <c r="BK254" i="5"/>
  <c r="BK217" i="5"/>
  <c r="BK304" i="5"/>
  <c r="BK362" i="5"/>
  <c r="BK350" i="5"/>
  <c r="BK307" i="5"/>
  <c r="BK295" i="5"/>
  <c r="BK281" i="5"/>
  <c r="BK224" i="5"/>
  <c r="BK213" i="5"/>
  <c r="BK165" i="5"/>
  <c r="BK158" i="5"/>
  <c r="BK148" i="5"/>
  <c r="BK345" i="5"/>
  <c r="BK301" i="5"/>
  <c r="BK242" i="5"/>
  <c r="BK228" i="5"/>
  <c r="BK216" i="5"/>
  <c r="BK211" i="5"/>
  <c r="BK205" i="5"/>
  <c r="BK201" i="5"/>
  <c r="BK181" i="5"/>
  <c r="BK162" i="5"/>
  <c r="BK146" i="5"/>
  <c r="BK285" i="5"/>
  <c r="BK274" i="5"/>
  <c r="BK272" i="5"/>
  <c r="BK267" i="5"/>
  <c r="BK262" i="5"/>
  <c r="BK253" i="5"/>
  <c r="BK247" i="5"/>
  <c r="BK215" i="5"/>
  <c r="BK206" i="5"/>
  <c r="BK169" i="5"/>
  <c r="BK355" i="5"/>
  <c r="BK340" i="5"/>
  <c r="BK309" i="5"/>
  <c r="BK293" i="5"/>
  <c r="BK287" i="5"/>
  <c r="BK153" i="5"/>
  <c r="BK363" i="5"/>
  <c r="BK360" i="5"/>
  <c r="BK356" i="5"/>
  <c r="BK349" i="5"/>
  <c r="BK347" i="5"/>
  <c r="BK342" i="5"/>
  <c r="BK337" i="5"/>
  <c r="BK251" i="5"/>
  <c r="BK249" i="5"/>
  <c r="BK203" i="5"/>
  <c r="BK200" i="5"/>
  <c r="BK196" i="5"/>
  <c r="BK195" i="5"/>
  <c r="BK189" i="5"/>
  <c r="BK188" i="5"/>
  <c r="BK187" i="5"/>
  <c r="BK185" i="5"/>
  <c r="BK184" i="5"/>
  <c r="BK182" i="5"/>
  <c r="BK180" i="5"/>
  <c r="BK179" i="5"/>
  <c r="BK177" i="5"/>
  <c r="BK173" i="5"/>
  <c r="BK168" i="5"/>
  <c r="BK167" i="5"/>
  <c r="BK164" i="5"/>
  <c r="BK163" i="5"/>
  <c r="BK156" i="5"/>
  <c r="BK147" i="5"/>
  <c r="BK145" i="5"/>
  <c r="BK228" i="6"/>
  <c r="BK186" i="6"/>
  <c r="BK184" i="6"/>
  <c r="BK172" i="6"/>
  <c r="BK168" i="6"/>
  <c r="BK140" i="6"/>
  <c r="BK230" i="6"/>
  <c r="BK226" i="6"/>
  <c r="BK217" i="6"/>
  <c r="BK211" i="6"/>
  <c r="BK209" i="6"/>
  <c r="BK207" i="6"/>
  <c r="BK205" i="6"/>
  <c r="BK198" i="6"/>
  <c r="BK196" i="6"/>
  <c r="BK194" i="6"/>
  <c r="BK191" i="6"/>
  <c r="BK190" i="6"/>
  <c r="BK188" i="6"/>
  <c r="BK179" i="6"/>
  <c r="BK173" i="6"/>
  <c r="BK163" i="6"/>
  <c r="BK159" i="6"/>
  <c r="BK156" i="6"/>
  <c r="BK152" i="6"/>
  <c r="BK150" i="6"/>
  <c r="BK148" i="6"/>
  <c r="BK142" i="6"/>
  <c r="BK141" i="6"/>
  <c r="BK138" i="6"/>
  <c r="BK232" i="6"/>
  <c r="BK231" i="6"/>
  <c r="BK225" i="6"/>
  <c r="BK222" i="6"/>
  <c r="BK218" i="6"/>
  <c r="BK200" i="6"/>
  <c r="BK175" i="6"/>
  <c r="BK161" i="6"/>
  <c r="BK229" i="6"/>
  <c r="BK227" i="6"/>
  <c r="BK224" i="6"/>
  <c r="BK213" i="6"/>
  <c r="BK202" i="6"/>
  <c r="BK201" i="6"/>
  <c r="BK185" i="6"/>
  <c r="BK178" i="6"/>
  <c r="BK176" i="6"/>
  <c r="BK170" i="6"/>
  <c r="BK153" i="6"/>
  <c r="BK216" i="6"/>
  <c r="BK215" i="6"/>
  <c r="BK206" i="6"/>
  <c r="BK192" i="6"/>
  <c r="BK187" i="6"/>
  <c r="BK180" i="6"/>
  <c r="BK162" i="6"/>
  <c r="BK160" i="6"/>
  <c r="BK144" i="6"/>
  <c r="BK137" i="6"/>
  <c r="BK189" i="6"/>
  <c r="BK199" i="6"/>
  <c r="BK195" i="6"/>
  <c r="BK229" i="7"/>
  <c r="BK220" i="7"/>
  <c r="BK207" i="7"/>
  <c r="BK190" i="7"/>
  <c r="BK180" i="7"/>
  <c r="BK162" i="7"/>
  <c r="BK147" i="7"/>
  <c r="BK218" i="7"/>
  <c r="BK187" i="7"/>
  <c r="BK173" i="7"/>
  <c r="BK144" i="7"/>
  <c r="BK241" i="7"/>
  <c r="BK239" i="7"/>
  <c r="BK235" i="7"/>
  <c r="BK227" i="7"/>
  <c r="BK215" i="7"/>
  <c r="BK208" i="7"/>
  <c r="BK175" i="7"/>
  <c r="BK165" i="7"/>
  <c r="BK153" i="7"/>
  <c r="BK142" i="7"/>
  <c r="BK138" i="7"/>
  <c r="BK232" i="7"/>
  <c r="BK191" i="7"/>
  <c r="BK177" i="7"/>
  <c r="BK199" i="7"/>
  <c r="BK181" i="7"/>
  <c r="BK146" i="7"/>
  <c r="BK204" i="7"/>
  <c r="BK200" i="7"/>
  <c r="BK182" i="7"/>
  <c r="BK161" i="7"/>
  <c r="BK137" i="7"/>
  <c r="BK230" i="8"/>
  <c r="BK227" i="8"/>
  <c r="BK225" i="8"/>
  <c r="BK216" i="8"/>
  <c r="BK206" i="8"/>
  <c r="BK204" i="8"/>
  <c r="BK201" i="8"/>
  <c r="BK199" i="8"/>
  <c r="BK197" i="8"/>
  <c r="BK190" i="8"/>
  <c r="BK184" i="8"/>
  <c r="BK156" i="8"/>
  <c r="BK151" i="8"/>
  <c r="BK139" i="8"/>
  <c r="BK136" i="8"/>
  <c r="BK187" i="8"/>
  <c r="BK166" i="8"/>
  <c r="BK157" i="8"/>
  <c r="BK153" i="8"/>
  <c r="BK148" i="8"/>
  <c r="BK143" i="8"/>
  <c r="BK219" i="8"/>
  <c r="BK212" i="8"/>
  <c r="BK208" i="8"/>
  <c r="BK203" i="8"/>
  <c r="BK194" i="8"/>
  <c r="BK189" i="8"/>
  <c r="BK188" i="8"/>
  <c r="BK183" i="8"/>
  <c r="BK182" i="8"/>
  <c r="BK137" i="8"/>
  <c r="BK150" i="9"/>
  <c r="BK146" i="9"/>
  <c r="BK141" i="9"/>
  <c r="BK143" i="9"/>
  <c r="BK419" i="10"/>
  <c r="BK411" i="10"/>
  <c r="BK407" i="10"/>
  <c r="BK444" i="10"/>
  <c r="BK441" i="10"/>
  <c r="BK438" i="10"/>
  <c r="BK437" i="10"/>
  <c r="BK434" i="10"/>
  <c r="BK432" i="10"/>
  <c r="BK429" i="10"/>
  <c r="BK427" i="10"/>
  <c r="BK425" i="10"/>
  <c r="BK424" i="10"/>
  <c r="BK421" i="10"/>
  <c r="BK414" i="10"/>
  <c r="BK410" i="10"/>
  <c r="BK376" i="10"/>
  <c r="BK374" i="10"/>
  <c r="BK362" i="10"/>
  <c r="BK358" i="10"/>
  <c r="BK355" i="10"/>
  <c r="BK448" i="10"/>
  <c r="BK445" i="10"/>
  <c r="BK403" i="10"/>
  <c r="BK398" i="10"/>
  <c r="BK397" i="10"/>
  <c r="BK396" i="10"/>
  <c r="BK395" i="10"/>
  <c r="BK394" i="10"/>
  <c r="BK387" i="10"/>
  <c r="BK386" i="10"/>
  <c r="BK385" i="10"/>
  <c r="BK307" i="10"/>
  <c r="BK298" i="10"/>
  <c r="BK292" i="10"/>
  <c r="BK286" i="10"/>
  <c r="BK279" i="10"/>
  <c r="BK270" i="10"/>
  <c r="BK267" i="10"/>
  <c r="BK263" i="10"/>
  <c r="BK260" i="10"/>
  <c r="BK258" i="10"/>
  <c r="BK243" i="10"/>
  <c r="BK240" i="10"/>
  <c r="BK228" i="10"/>
  <c r="BK220" i="10"/>
  <c r="BK212" i="10"/>
  <c r="BK208" i="10"/>
  <c r="BK206" i="10"/>
  <c r="BK199" i="10"/>
  <c r="BK196" i="10"/>
  <c r="BK190" i="10"/>
  <c r="BK187" i="10"/>
  <c r="BK184" i="10"/>
  <c r="BK182" i="10"/>
  <c r="BK179" i="10"/>
  <c r="BK170" i="10"/>
  <c r="BK166" i="10"/>
  <c r="BK160" i="10"/>
  <c r="BK157" i="10"/>
  <c r="BK149" i="10"/>
  <c r="BK137" i="10"/>
  <c r="BK348" i="10"/>
  <c r="BK346" i="10"/>
  <c r="BK342" i="10"/>
  <c r="BK334" i="10"/>
  <c r="BK314" i="10"/>
  <c r="BK303" i="10"/>
  <c r="BK300" i="10"/>
  <c r="BK295" i="10"/>
  <c r="BK284" i="10"/>
  <c r="BK275" i="10"/>
  <c r="BK272" i="10"/>
  <c r="BK259" i="10"/>
  <c r="BK256" i="10"/>
  <c r="BK253" i="10"/>
  <c r="BK250" i="10"/>
  <c r="BK241" i="10"/>
  <c r="BK236" i="10"/>
  <c r="BK232" i="10"/>
  <c r="BK229" i="10"/>
  <c r="BK225" i="10"/>
  <c r="BK222" i="10"/>
  <c r="BK217" i="10"/>
  <c r="BK215" i="10"/>
  <c r="BK205" i="10"/>
  <c r="BK193" i="10"/>
  <c r="BK175" i="10"/>
  <c r="BK172" i="10"/>
  <c r="BK162" i="10"/>
  <c r="BK159" i="10"/>
  <c r="BK151" i="10"/>
  <c r="BK147" i="10"/>
  <c r="BK142" i="10"/>
  <c r="BK150" i="10"/>
  <c r="BK141" i="10"/>
  <c r="BK144" i="11"/>
  <c r="BK173" i="12"/>
  <c r="BK159" i="12"/>
  <c r="BK144" i="12"/>
  <c r="BK140" i="12"/>
  <c r="BK194" i="12"/>
  <c r="BK192" i="12"/>
  <c r="BK189" i="12"/>
  <c r="BK187" i="12"/>
  <c r="BK183" i="12"/>
  <c r="BK178" i="12"/>
  <c r="BK166" i="12"/>
  <c r="BK161" i="12"/>
  <c r="BK149" i="12"/>
  <c r="BK145" i="12"/>
  <c r="BK139" i="12"/>
  <c r="BK190" i="12"/>
  <c r="BK176" i="12"/>
  <c r="BK175" i="12"/>
  <c r="BK171" i="12"/>
  <c r="BK168" i="12"/>
  <c r="BK167" i="12"/>
  <c r="BK164" i="12"/>
  <c r="BK158" i="12"/>
  <c r="BK153" i="12"/>
  <c r="BK147" i="12"/>
  <c r="BK142" i="12"/>
  <c r="BK136" i="12"/>
  <c r="BK157" i="12"/>
  <c r="BK155" i="12"/>
  <c r="BK137" i="12"/>
  <c r="BK138" i="12"/>
  <c r="BK210" i="13"/>
  <c r="BK208" i="13"/>
  <c r="BK204" i="13"/>
  <c r="BK197" i="13"/>
  <c r="BK194" i="13"/>
  <c r="BK192" i="13"/>
  <c r="BK189" i="13"/>
  <c r="BK178" i="13"/>
  <c r="BK176" i="13"/>
  <c r="BK169" i="13"/>
  <c r="BK160" i="13"/>
  <c r="BK138" i="13"/>
  <c r="BK187" i="13"/>
  <c r="BK161" i="13"/>
  <c r="BK145" i="13"/>
  <c r="BK137" i="13"/>
  <c r="BK188" i="13"/>
  <c r="BK154" i="13"/>
  <c r="BK163" i="13"/>
  <c r="BK140" i="13"/>
  <c r="BK201" i="13"/>
  <c r="BK199" i="13"/>
  <c r="BK191" i="13"/>
  <c r="BK180" i="13"/>
  <c r="BK170" i="13"/>
  <c r="BK167" i="13"/>
  <c r="BK156" i="13"/>
  <c r="BK153" i="13"/>
  <c r="BK150" i="13"/>
  <c r="BK144" i="13"/>
  <c r="BK142" i="13"/>
  <c r="BK141" i="13"/>
  <c r="BK139" i="13"/>
  <c r="BK171" i="13"/>
  <c r="BK168" i="14"/>
  <c r="BK154" i="14"/>
  <c r="BK135" i="14"/>
  <c r="BK174" i="14"/>
  <c r="BK166" i="14"/>
  <c r="BK158" i="14"/>
  <c r="BK138" i="14"/>
  <c r="BK183" i="14"/>
  <c r="BK186" i="14"/>
  <c r="BK156" i="14"/>
  <c r="BK184" i="14"/>
  <c r="BK145" i="14"/>
  <c r="BK140" i="14"/>
  <c r="BK159" i="14"/>
  <c r="BK151" i="14"/>
  <c r="BK141" i="14"/>
  <c r="BK190" i="15"/>
  <c r="BK145" i="15"/>
  <c r="BK196" i="15"/>
  <c r="BK174" i="15"/>
  <c r="BK164" i="15"/>
  <c r="BK152" i="15"/>
  <c r="BK144" i="15"/>
  <c r="BK201" i="15"/>
  <c r="BK170" i="15"/>
  <c r="BK151" i="15"/>
  <c r="BK149" i="15"/>
  <c r="BK177" i="15"/>
  <c r="BK193" i="15"/>
  <c r="BK142" i="15"/>
  <c r="BK198" i="15"/>
  <c r="BK187" i="15"/>
  <c r="BK158" i="15"/>
  <c r="BK171" i="16"/>
  <c r="BK157" i="16"/>
  <c r="BK144" i="16"/>
  <c r="BK181" i="16"/>
  <c r="BK173" i="16"/>
  <c r="BK167" i="16"/>
  <c r="BK145" i="16"/>
  <c r="BK138" i="16"/>
  <c r="BK177" i="16"/>
  <c r="BK154" i="16"/>
  <c r="BK140" i="16"/>
  <c r="BK160" i="16"/>
  <c r="BK147" i="16"/>
  <c r="BK214" i="5"/>
  <c r="BK288" i="5"/>
  <c r="BK243" i="5"/>
  <c r="BK238" i="5"/>
  <c r="BK234" i="5"/>
  <c r="BK229" i="5"/>
  <c r="BK202" i="5"/>
  <c r="BK193" i="5"/>
  <c r="BK171" i="5"/>
  <c r="BK331" i="5"/>
  <c r="BK322" i="5"/>
  <c r="BK291" i="5"/>
  <c r="BK283" i="5"/>
  <c r="BK275" i="5"/>
  <c r="BK271" i="5"/>
  <c r="BK269" i="5"/>
  <c r="BK266" i="5"/>
  <c r="BK263" i="5"/>
  <c r="BK261" i="5"/>
  <c r="BK258" i="5"/>
  <c r="BK250" i="5"/>
  <c r="BK246" i="5"/>
  <c r="BK208" i="5"/>
  <c r="BK192" i="5"/>
  <c r="BK183" i="5"/>
  <c r="BK176" i="5"/>
  <c r="BK170" i="5"/>
  <c r="BK353" i="5"/>
  <c r="BK330" i="5"/>
  <c r="BK161" i="5"/>
  <c r="BK359" i="5"/>
  <c r="BK338" i="5"/>
  <c r="BK333" i="5"/>
  <c r="BK329" i="5"/>
  <c r="BK244" i="5"/>
  <c r="BK236" i="5"/>
  <c r="BK232" i="5"/>
  <c r="BK218" i="5"/>
  <c r="BK214" i="6"/>
  <c r="BK139" i="6"/>
  <c r="BK219" i="6"/>
  <c r="BK197" i="6"/>
  <c r="BK183" i="6"/>
  <c r="BK171" i="6"/>
  <c r="BK221" i="6"/>
  <c r="BK210" i="6"/>
  <c r="BK204" i="6"/>
  <c r="BK208" i="6"/>
  <c r="BK181" i="6"/>
  <c r="BK174" i="6"/>
  <c r="BK158" i="6"/>
  <c r="BK151" i="6"/>
  <c r="BK145" i="6"/>
  <c r="BK193" i="6"/>
  <c r="BK182" i="6"/>
  <c r="BK157" i="6"/>
  <c r="BK154" i="6"/>
  <c r="BK234" i="7"/>
  <c r="BK226" i="7"/>
  <c r="BK221" i="7"/>
  <c r="BK217" i="7"/>
  <c r="BK210" i="7"/>
  <c r="BK198" i="7"/>
  <c r="BK196" i="7"/>
  <c r="BK189" i="7"/>
  <c r="BK178" i="7"/>
  <c r="BK166" i="7"/>
  <c r="BK155" i="7"/>
  <c r="BK242" i="7"/>
  <c r="BK236" i="7"/>
  <c r="BK212" i="7"/>
  <c r="BK185" i="7"/>
  <c r="BK176" i="7"/>
  <c r="BK171" i="7"/>
  <c r="BK164" i="7"/>
  <c r="BK157" i="7"/>
  <c r="BK154" i="7"/>
  <c r="BK152" i="7"/>
  <c r="BK139" i="7"/>
  <c r="BK238" i="7"/>
  <c r="BK186" i="7"/>
  <c r="BK240" i="7"/>
  <c r="BK231" i="7"/>
  <c r="BK179" i="7"/>
  <c r="BK159" i="7"/>
  <c r="BK202" i="7"/>
  <c r="BK163" i="7"/>
  <c r="BK140" i="7"/>
  <c r="BK183" i="7"/>
  <c r="BK231" i="8"/>
  <c r="BK228" i="8"/>
  <c r="BK223" i="8"/>
  <c r="BK220" i="8"/>
  <c r="BK218" i="8"/>
  <c r="BK214" i="8"/>
  <c r="BK200" i="8"/>
  <c r="BK196" i="8"/>
  <c r="BK176" i="8"/>
  <c r="BK175" i="8"/>
  <c r="BK160" i="8"/>
  <c r="BK152" i="8"/>
  <c r="BK179" i="8"/>
  <c r="BK170" i="8"/>
  <c r="BK158" i="8"/>
  <c r="BK144" i="8"/>
  <c r="BK215" i="8"/>
  <c r="BK210" i="8"/>
  <c r="BK207" i="8"/>
  <c r="BK198" i="8"/>
  <c r="BK195" i="8"/>
  <c r="BK193" i="8"/>
  <c r="BK185" i="8"/>
  <c r="BK168" i="8"/>
  <c r="BK161" i="8"/>
  <c r="BK140" i="8"/>
  <c r="BK147" i="9"/>
  <c r="BK144" i="9"/>
  <c r="BK132" i="9"/>
  <c r="BK127" i="9"/>
  <c r="BK139" i="9"/>
  <c r="BK145" i="9"/>
  <c r="BK142" i="9"/>
  <c r="BK134" i="9"/>
  <c r="BK440" i="10"/>
  <c r="BK435" i="10"/>
  <c r="BK433" i="10"/>
  <c r="BK431" i="10"/>
  <c r="BK416" i="10"/>
  <c r="BK412" i="10"/>
  <c r="BK408" i="10"/>
  <c r="BK402" i="10"/>
  <c r="BK420" i="10"/>
  <c r="BK378" i="10"/>
  <c r="BK375" i="10"/>
  <c r="BK372" i="10"/>
  <c r="BK363" i="10"/>
  <c r="BK446" i="10"/>
  <c r="BK443" i="10"/>
  <c r="BK404" i="10"/>
  <c r="BK401" i="10"/>
  <c r="BK400" i="10"/>
  <c r="BK399" i="10"/>
  <c r="BK393" i="10"/>
  <c r="BK392" i="10"/>
  <c r="BK391" i="10"/>
  <c r="BK390" i="10"/>
  <c r="BK389" i="10"/>
  <c r="BK388" i="10"/>
  <c r="BK384" i="10"/>
  <c r="BK383" i="10"/>
  <c r="BK382" i="10"/>
  <c r="BK381" i="10"/>
  <c r="BK379" i="10"/>
  <c r="BK371" i="10"/>
  <c r="BK369" i="10"/>
  <c r="BK368" i="10"/>
  <c r="BK366" i="10"/>
  <c r="BK365" i="10"/>
  <c r="BK364" i="10"/>
  <c r="BK361" i="10"/>
  <c r="BK359" i="10"/>
  <c r="BK356" i="10"/>
  <c r="BK353" i="10"/>
  <c r="BK351" i="10"/>
  <c r="BK347" i="10"/>
  <c r="BK345" i="10"/>
  <c r="BK325" i="10"/>
  <c r="BK319" i="10"/>
  <c r="BK315" i="10"/>
  <c r="BK311" i="10"/>
  <c r="BK309" i="10"/>
  <c r="BK291" i="10"/>
  <c r="BK287" i="10"/>
  <c r="BK281" i="10"/>
  <c r="BK278" i="10"/>
  <c r="BK269" i="10"/>
  <c r="BK266" i="10"/>
  <c r="BK264" i="10"/>
  <c r="BK261" i="10"/>
  <c r="BK254" i="10"/>
  <c r="BK247" i="10"/>
  <c r="BK244" i="10"/>
  <c r="BK238" i="10"/>
  <c r="BK226" i="10"/>
  <c r="BK219" i="10"/>
  <c r="BK216" i="10"/>
  <c r="BK207" i="10"/>
  <c r="BK202" i="10"/>
  <c r="BK200" i="10"/>
  <c r="BK197" i="10"/>
  <c r="BK195" i="10"/>
  <c r="BK186" i="10"/>
  <c r="BK183" i="10"/>
  <c r="BK181" i="10"/>
  <c r="BK178" i="10"/>
  <c r="BK169" i="10"/>
  <c r="BK163" i="10"/>
  <c r="BK161" i="10"/>
  <c r="BK158" i="10"/>
  <c r="BK139" i="10"/>
  <c r="BK340" i="10"/>
  <c r="BK335" i="10"/>
  <c r="BK320" i="10"/>
  <c r="BK294" i="10"/>
  <c r="BK289" i="10"/>
  <c r="BK283" i="10"/>
  <c r="BK276" i="10"/>
  <c r="BK273" i="10"/>
  <c r="BK255" i="10"/>
  <c r="BK252" i="10"/>
  <c r="BK245" i="10"/>
  <c r="BK239" i="10"/>
  <c r="BK235" i="10"/>
  <c r="BK233" i="10"/>
  <c r="BK230" i="10"/>
  <c r="BK227" i="10"/>
  <c r="BK224" i="10"/>
  <c r="BK221" i="10"/>
  <c r="BK214" i="10"/>
  <c r="BK211" i="10"/>
  <c r="BK209" i="10"/>
  <c r="BK204" i="10"/>
  <c r="BK201" i="10"/>
  <c r="BK194" i="10"/>
  <c r="BK192" i="10"/>
  <c r="BK188" i="10"/>
  <c r="BK180" i="10"/>
  <c r="BK176" i="10"/>
  <c r="BK173" i="10"/>
  <c r="BK168" i="10"/>
  <c r="BK164" i="10"/>
  <c r="BK155" i="10"/>
  <c r="BK152" i="10"/>
  <c r="BK143" i="10"/>
  <c r="BK146" i="11"/>
  <c r="BK894" i="2"/>
  <c r="BK827" i="2"/>
  <c r="BK822" i="2"/>
  <c r="BK817" i="2"/>
  <c r="BK808" i="2"/>
  <c r="BK801" i="2"/>
  <c r="BK770" i="2"/>
  <c r="BK748" i="2"/>
  <c r="BK744" i="2"/>
  <c r="BK737" i="2"/>
  <c r="BK734" i="2"/>
  <c r="BK707" i="2"/>
  <c r="BK700" i="2"/>
  <c r="BK697" i="2"/>
  <c r="BK682" i="2"/>
  <c r="BK666" i="2"/>
  <c r="BK662" i="2"/>
  <c r="BK655" i="2"/>
  <c r="BK620" i="2"/>
  <c r="BK588" i="2"/>
  <c r="BK582" i="2"/>
  <c r="BK580" i="2"/>
  <c r="BK491" i="2"/>
  <c r="BK430" i="2"/>
  <c r="BK402" i="2"/>
  <c r="BK384" i="2"/>
  <c r="BK358" i="2"/>
  <c r="BK293" i="2"/>
  <c r="BK269" i="2"/>
  <c r="BK261" i="2"/>
  <c r="BK251" i="2"/>
  <c r="BK233" i="2"/>
  <c r="BK219" i="2"/>
  <c r="BK196" i="2"/>
  <c r="BK190" i="2"/>
  <c r="BK163" i="2"/>
  <c r="BK156" i="2"/>
  <c r="AS105" i="1"/>
  <c r="BK220" i="3"/>
  <c r="BK159" i="3"/>
  <c r="BK148" i="3"/>
  <c r="BK278" i="3"/>
  <c r="BK246" i="3"/>
  <c r="BK270" i="3"/>
  <c r="BK260" i="3"/>
  <c r="BK248" i="3"/>
  <c r="BK228" i="3"/>
  <c r="BK223" i="3"/>
  <c r="BK135" i="3"/>
  <c r="BK130" i="4"/>
  <c r="BK134" i="4"/>
  <c r="BK129" i="4"/>
  <c r="BK148" i="4"/>
  <c r="BK140" i="4"/>
  <c r="BK131" i="4"/>
  <c r="BK259" i="5"/>
  <c r="BK209" i="5"/>
  <c r="BK325" i="5"/>
  <c r="BK313" i="5"/>
  <c r="BK296" i="5"/>
  <c r="BK240" i="5"/>
  <c r="BK227" i="5"/>
  <c r="BK222" i="5"/>
  <c r="BK158" i="7"/>
  <c r="BK223" i="7"/>
  <c r="BK194" i="7"/>
  <c r="BK150" i="7"/>
  <c r="BK225" i="7"/>
  <c r="BK216" i="7"/>
  <c r="BK195" i="7"/>
  <c r="BK188" i="7"/>
  <c r="BK184" i="7"/>
  <c r="BK156" i="7"/>
  <c r="BK219" i="7"/>
  <c r="BK211" i="7"/>
  <c r="BK168" i="7"/>
  <c r="BK205" i="7"/>
  <c r="BK214" i="7"/>
  <c r="BK209" i="7"/>
  <c r="BK203" i="7"/>
  <c r="BK197" i="7"/>
  <c r="BK143" i="7"/>
  <c r="BK192" i="7"/>
  <c r="BK233" i="8"/>
  <c r="BK232" i="8"/>
  <c r="BK229" i="8"/>
  <c r="BK226" i="8"/>
  <c r="BK222" i="8"/>
  <c r="BK217" i="8"/>
  <c r="BK211" i="8"/>
  <c r="BK205" i="8"/>
  <c r="BK159" i="8"/>
  <c r="BK145" i="8"/>
  <c r="BK142" i="8"/>
  <c r="BK209" i="8"/>
  <c r="BK202" i="8"/>
  <c r="BK428" i="10"/>
  <c r="BK423" i="10"/>
  <c r="BK415" i="10"/>
  <c r="BK406" i="10"/>
  <c r="BK354" i="10"/>
  <c r="BK405" i="10"/>
  <c r="BK344" i="10"/>
  <c r="BK339" i="10"/>
  <c r="BK338" i="10"/>
  <c r="BK331" i="10"/>
  <c r="BK329" i="10"/>
  <c r="BK326" i="10"/>
  <c r="BK323" i="10"/>
  <c r="BK318" i="10"/>
  <c r="BK316" i="10"/>
  <c r="BK313" i="10"/>
  <c r="BK312" i="10"/>
  <c r="BK310" i="10"/>
  <c r="BK308" i="10"/>
  <c r="BK306" i="10"/>
  <c r="BK305" i="10"/>
  <c r="BK304" i="10"/>
  <c r="BK302" i="10"/>
  <c r="BK297" i="10"/>
  <c r="BK290" i="10"/>
  <c r="BK288" i="10"/>
  <c r="BK285" i="10"/>
  <c r="BK282" i="10"/>
  <c r="BK262" i="10"/>
  <c r="BK248" i="10"/>
  <c r="BK242" i="10"/>
  <c r="BK218" i="10"/>
  <c r="BK165" i="10"/>
  <c r="BK148" i="10"/>
  <c r="BK140" i="10"/>
  <c r="BK350" i="10"/>
  <c r="BK341" i="10"/>
  <c r="BK337" i="10"/>
  <c r="BK332" i="10"/>
  <c r="BK328" i="10"/>
  <c r="BK321" i="10"/>
  <c r="BK317" i="10"/>
  <c r="BK299" i="10"/>
  <c r="BK296" i="10"/>
  <c r="BK293" i="10"/>
  <c r="BK280" i="10"/>
  <c r="BK277" i="10"/>
  <c r="BK274" i="10"/>
  <c r="BK271" i="10"/>
  <c r="BK268" i="10"/>
  <c r="BK265" i="10"/>
  <c r="BK257" i="10"/>
  <c r="BK249" i="10"/>
  <c r="BK246" i="10"/>
  <c r="BK237" i="10"/>
  <c r="BK234" i="10"/>
  <c r="BK231" i="10"/>
  <c r="BK223" i="10"/>
  <c r="BK213" i="10"/>
  <c r="BK210" i="10"/>
  <c r="BK203" i="10"/>
  <c r="BK198" i="10"/>
  <c r="BK189" i="10"/>
  <c r="BK174" i="10"/>
  <c r="BK154" i="10"/>
  <c r="BK146" i="10"/>
  <c r="BK145" i="11"/>
  <c r="BK134" i="11"/>
  <c r="BK139" i="11"/>
  <c r="BK131" i="11"/>
  <c r="BK126" i="11"/>
  <c r="BK132" i="11"/>
  <c r="BK150" i="14"/>
  <c r="BK137" i="14"/>
  <c r="BK181" i="14"/>
  <c r="BK165" i="14"/>
  <c r="BK136" i="14"/>
  <c r="BK176" i="14"/>
  <c r="BK167" i="14"/>
  <c r="BK134" i="14"/>
  <c r="BK171" i="14"/>
  <c r="BK155" i="14"/>
  <c r="BK148" i="14"/>
  <c r="BK171" i="15"/>
  <c r="BK160" i="15"/>
  <c r="BK140" i="15"/>
  <c r="BK182" i="15"/>
  <c r="BK195" i="15"/>
  <c r="BK189" i="15"/>
  <c r="BK192" i="15"/>
  <c r="BK179" i="15"/>
  <c r="BK166" i="15"/>
  <c r="BK153" i="15"/>
  <c r="BK137" i="15"/>
  <c r="BK173" i="15"/>
  <c r="BK159" i="15"/>
  <c r="BK203" i="15"/>
  <c r="BK200" i="15"/>
  <c r="BK180" i="15"/>
  <c r="BK172" i="15"/>
  <c r="BK162" i="15"/>
  <c r="BK143" i="15"/>
  <c r="BK179" i="16"/>
  <c r="BK151" i="16"/>
  <c r="BK166" i="16"/>
  <c r="BK163" i="16"/>
  <c r="BK150" i="16"/>
  <c r="BK178" i="16"/>
  <c r="BK133" i="16"/>
  <c r="BK172" i="16"/>
  <c r="BK141" i="16"/>
  <c r="BK907" i="2"/>
  <c r="BK833" i="2"/>
  <c r="BK819" i="2"/>
  <c r="BK811" i="2"/>
  <c r="BK804" i="2"/>
  <c r="BK799" i="2"/>
  <c r="BK786" i="2"/>
  <c r="BK742" i="2"/>
  <c r="J737" i="2"/>
  <c r="BK733" i="2"/>
  <c r="BK731" i="2"/>
  <c r="BK726" i="2"/>
  <c r="BK724" i="2"/>
  <c r="BK718" i="2"/>
  <c r="BK704" i="2"/>
  <c r="BK702" i="2"/>
  <c r="BK698" i="2"/>
  <c r="BK658" i="2"/>
  <c r="BK656" i="2"/>
  <c r="BK642" i="2"/>
  <c r="BK624" i="2"/>
  <c r="BK605" i="2"/>
  <c r="BK598" i="2"/>
  <c r="BK585" i="2"/>
  <c r="BK562" i="2"/>
  <c r="BK548" i="2"/>
  <c r="BK540" i="2"/>
  <c r="BK535" i="2"/>
  <c r="BK523" i="2"/>
  <c r="BK434" i="2"/>
  <c r="BK426" i="2"/>
  <c r="BK423" i="2"/>
  <c r="BK416" i="2"/>
  <c r="BK413" i="2"/>
  <c r="BK390" i="2"/>
  <c r="BK375" i="2"/>
  <c r="BK352" i="2"/>
  <c r="BK349" i="2"/>
  <c r="BK346" i="2"/>
  <c r="BK343" i="2"/>
  <c r="BK341" i="2"/>
  <c r="BK340" i="2"/>
  <c r="BK328" i="2"/>
  <c r="BK313" i="2"/>
  <c r="BK299" i="2"/>
  <c r="J296" i="2"/>
  <c r="BK286" i="2"/>
  <c r="BK216" i="2"/>
  <c r="BK202" i="2"/>
  <c r="BK170" i="2"/>
  <c r="BK212" i="3"/>
  <c r="BK209" i="3"/>
  <c r="BK184" i="3"/>
  <c r="BK181" i="3"/>
  <c r="BK169" i="3"/>
  <c r="BK165" i="3"/>
  <c r="BK150" i="3"/>
  <c r="BK139" i="3"/>
  <c r="BK266" i="3"/>
  <c r="BK235" i="3"/>
  <c r="BK205" i="3"/>
  <c r="BK200" i="3"/>
  <c r="BK175" i="3"/>
  <c r="BK247" i="3"/>
  <c r="BK146" i="3"/>
  <c r="BK242" i="3"/>
  <c r="BK166" i="3"/>
  <c r="BK141" i="3"/>
  <c r="BK280" i="3"/>
  <c r="BK267" i="3"/>
  <c r="BK230" i="3"/>
  <c r="BK225" i="3"/>
  <c r="BK272" i="3"/>
  <c r="BK252" i="3"/>
  <c r="BK232" i="3"/>
  <c r="BK197" i="3"/>
  <c r="BK187" i="3"/>
  <c r="BK154" i="3"/>
  <c r="BK140" i="3"/>
  <c r="BK153" i="4"/>
  <c r="BK143" i="4"/>
  <c r="BK155" i="4"/>
  <c r="BK146" i="4"/>
  <c r="BK136" i="4"/>
  <c r="BK147" i="4"/>
  <c r="BK343" i="5"/>
  <c r="BK328" i="5"/>
  <c r="BK318" i="5"/>
  <c r="BK315" i="5"/>
  <c r="BK279" i="5"/>
  <c r="BK273" i="5"/>
  <c r="BK265" i="5"/>
  <c r="BK230" i="5"/>
  <c r="BK204" i="5"/>
  <c r="BK150" i="5"/>
  <c r="BK297" i="5"/>
  <c r="BK290" i="5"/>
  <c r="BK277" i="5"/>
  <c r="BK327" i="5"/>
  <c r="BK319" i="5"/>
  <c r="BK308" i="5"/>
  <c r="BK298" i="5"/>
  <c r="BK239" i="5"/>
  <c r="BK233" i="5"/>
  <c r="BK226" i="5"/>
  <c r="BK166" i="6"/>
  <c r="BK203" i="6"/>
  <c r="BK177" i="6"/>
  <c r="BK193" i="7"/>
  <c r="BK167" i="7"/>
  <c r="BK141" i="7"/>
  <c r="BK237" i="7"/>
  <c r="BK228" i="7"/>
  <c r="BK224" i="7"/>
  <c r="BK213" i="7"/>
  <c r="BK206" i="7"/>
  <c r="BK201" i="7"/>
  <c r="BK174" i="8"/>
  <c r="BK171" i="8"/>
  <c r="BK154" i="8"/>
  <c r="BK150" i="8"/>
  <c r="BK141" i="8"/>
  <c r="BK138" i="8"/>
  <c r="BK191" i="8"/>
  <c r="BK181" i="8"/>
  <c r="BK177" i="8"/>
  <c r="BK172" i="8"/>
  <c r="BK192" i="8"/>
  <c r="BK186" i="8"/>
  <c r="BK180" i="8"/>
  <c r="BK178" i="8"/>
  <c r="BK173" i="8"/>
  <c r="BK163" i="8"/>
  <c r="BK162" i="8"/>
  <c r="BK136" i="9"/>
  <c r="BK149" i="9"/>
  <c r="BK138" i="9"/>
  <c r="BK130" i="9"/>
  <c r="BK148" i="9"/>
  <c r="BK137" i="9"/>
  <c r="BK140" i="9"/>
  <c r="BK131" i="9"/>
  <c r="BK129" i="9"/>
  <c r="BK135" i="9"/>
  <c r="BK439" i="10"/>
  <c r="BK436" i="10"/>
  <c r="BK430" i="10"/>
  <c r="BK426" i="10"/>
  <c r="BK418" i="10"/>
  <c r="BK409" i="10"/>
  <c r="BK380" i="10"/>
  <c r="BK377" i="10"/>
  <c r="BK373" i="10"/>
  <c r="BK370" i="10"/>
  <c r="BK367" i="10"/>
  <c r="BK360" i="10"/>
  <c r="BK357" i="10"/>
  <c r="BK352" i="10"/>
  <c r="BK343" i="10"/>
  <c r="BK333" i="10"/>
  <c r="BK330" i="10"/>
  <c r="BK324" i="10"/>
  <c r="BK191" i="10"/>
  <c r="BK185" i="10"/>
  <c r="BK177" i="10"/>
  <c r="BK171" i="10"/>
  <c r="BK156" i="10"/>
  <c r="BK153" i="10"/>
  <c r="BK349" i="10"/>
  <c r="BK336" i="10"/>
  <c r="BK322" i="10"/>
  <c r="BK182" i="12"/>
  <c r="BK677" i="2"/>
  <c r="BK672" i="2"/>
  <c r="BK663" i="2"/>
  <c r="BK654" i="2"/>
  <c r="BK646" i="2"/>
  <c r="BK634" i="2"/>
  <c r="BK611" i="2"/>
  <c r="BK602" i="2"/>
  <c r="BK517" i="2"/>
  <c r="BK508" i="2"/>
  <c r="BK502" i="2"/>
  <c r="BK494" i="2"/>
  <c r="BK488" i="2"/>
  <c r="BK479" i="2"/>
  <c r="BK469" i="2"/>
  <c r="BK319" i="2"/>
  <c r="BK310" i="2"/>
  <c r="BK304" i="2"/>
  <c r="BK296" i="2"/>
  <c r="BK276" i="2"/>
  <c r="BK264" i="2"/>
  <c r="BK258" i="2"/>
  <c r="BK244" i="2"/>
  <c r="BK227" i="2"/>
  <c r="BK213" i="2"/>
  <c r="BK177" i="2"/>
  <c r="BK149" i="2"/>
  <c r="BK206" i="3"/>
  <c r="BK133" i="3"/>
  <c r="BK268" i="3"/>
  <c r="BK237" i="3"/>
  <c r="BK207" i="3"/>
  <c r="BK160" i="3"/>
  <c r="BK257" i="3"/>
  <c r="BK233" i="3"/>
  <c r="BK218" i="3"/>
  <c r="BK195" i="3"/>
  <c r="BK161" i="3"/>
  <c r="BK263" i="3"/>
  <c r="BK216" i="3"/>
  <c r="BK192" i="3"/>
  <c r="BK163" i="3"/>
  <c r="BK147" i="3"/>
  <c r="BK137" i="3"/>
  <c r="BK254" i="3"/>
  <c r="BK274" i="3"/>
  <c r="BK262" i="3"/>
  <c r="BK249" i="3"/>
  <c r="BK219" i="3"/>
  <c r="BK177" i="3"/>
  <c r="BK171" i="3"/>
  <c r="BK136" i="3"/>
  <c r="BK139" i="4"/>
  <c r="BK132" i="4"/>
  <c r="BK152" i="4"/>
  <c r="BK128" i="4"/>
  <c r="BK351" i="5"/>
  <c r="BK321" i="5"/>
  <c r="BK306" i="5"/>
  <c r="BK294" i="5"/>
  <c r="BK280" i="5"/>
  <c r="BK270" i="5"/>
  <c r="BK256" i="5"/>
  <c r="BK252" i="5"/>
  <c r="BK197" i="5"/>
  <c r="BK157" i="5"/>
  <c r="BK292" i="5"/>
  <c r="BK278" i="5"/>
  <c r="BK354" i="5"/>
  <c r="BK326" i="5"/>
  <c r="BK323" i="5"/>
  <c r="BK305" i="5"/>
  <c r="BK299" i="5"/>
  <c r="BK286" i="5"/>
  <c r="BK268" i="5"/>
  <c r="BK264" i="5"/>
  <c r="BK248" i="5"/>
  <c r="BK212" i="5"/>
  <c r="BK172" i="5"/>
  <c r="BK160" i="5"/>
  <c r="BK348" i="5"/>
  <c r="BK289" i="5"/>
  <c r="BK155" i="5"/>
  <c r="BK364" i="5"/>
  <c r="BK361" i="5"/>
  <c r="BK358" i="5"/>
  <c r="BK339" i="5"/>
  <c r="BK335" i="5"/>
  <c r="BK255" i="5"/>
  <c r="BK188" i="12"/>
  <c r="BK172" i="12"/>
  <c r="BK165" i="12"/>
  <c r="BK162" i="12"/>
  <c r="BK184" i="12"/>
  <c r="BK179" i="12"/>
  <c r="BK174" i="12"/>
  <c r="BK170" i="12"/>
  <c r="BK163" i="12"/>
  <c r="BK154" i="12"/>
  <c r="BK150" i="12"/>
  <c r="BK143" i="12"/>
  <c r="BK141" i="12"/>
  <c r="BK135" i="12"/>
  <c r="BK191" i="12"/>
  <c r="BK185" i="12"/>
  <c r="BK152" i="12"/>
  <c r="BK146" i="12"/>
  <c r="BK160" i="12"/>
  <c r="BK134" i="12"/>
  <c r="BK212" i="13"/>
  <c r="BK206" i="13"/>
  <c r="BK202" i="13"/>
  <c r="BK200" i="13"/>
  <c r="BK195" i="13"/>
  <c r="BK193" i="13"/>
  <c r="BK179" i="13"/>
  <c r="BK177" i="13"/>
  <c r="BK168" i="13"/>
  <c r="BK147" i="13"/>
  <c r="BK146" i="13"/>
  <c r="BK143" i="13"/>
  <c r="BK184" i="13"/>
  <c r="BK172" i="13"/>
  <c r="BK203" i="13"/>
  <c r="BK175" i="13"/>
  <c r="BK165" i="13"/>
  <c r="BK183" i="13"/>
  <c r="BK159" i="13"/>
  <c r="BK164" i="13"/>
  <c r="BK162" i="13"/>
  <c r="BK209" i="13"/>
  <c r="BK207" i="13"/>
  <c r="BK198" i="13"/>
  <c r="BK190" i="13"/>
  <c r="BK181" i="13"/>
  <c r="BK174" i="13"/>
  <c r="BK166" i="13"/>
  <c r="BK158" i="13"/>
  <c r="BK155" i="13"/>
  <c r="BK151" i="13"/>
  <c r="BK148" i="13"/>
  <c r="BK135" i="13"/>
  <c r="BK136" i="13"/>
  <c r="BK175" i="14"/>
  <c r="BK164" i="14"/>
  <c r="BK179" i="14"/>
  <c r="BK163" i="14"/>
  <c r="BK152" i="14"/>
  <c r="BK133" i="14"/>
  <c r="BK180" i="14"/>
  <c r="BK153" i="14"/>
  <c r="BK142" i="14"/>
  <c r="BK182" i="14"/>
  <c r="BK160" i="14"/>
  <c r="BK157" i="14"/>
  <c r="BK146" i="14"/>
  <c r="BK143" i="14"/>
  <c r="BK139" i="14"/>
  <c r="BK177" i="14"/>
  <c r="BK170" i="14"/>
  <c r="BK161" i="14"/>
  <c r="BK149" i="14"/>
  <c r="BK186" i="15"/>
  <c r="BK155" i="15"/>
  <c r="BK183" i="15"/>
  <c r="BK191" i="15"/>
  <c r="BK154" i="15"/>
  <c r="BK139" i="15"/>
  <c r="BK181" i="15"/>
  <c r="BK178" i="15"/>
  <c r="BK163" i="15"/>
  <c r="BK156" i="15"/>
  <c r="BK148" i="15"/>
  <c r="BK141" i="15"/>
  <c r="BK161" i="15"/>
  <c r="BK138" i="15"/>
  <c r="BK197" i="15"/>
  <c r="BK188" i="15"/>
  <c r="BK184" i="15"/>
  <c r="BK175" i="15"/>
  <c r="BK167" i="15"/>
  <c r="BK146" i="15"/>
  <c r="BK136" i="15"/>
  <c r="BK153" i="16"/>
  <c r="BK142" i="16"/>
  <c r="BK170" i="16"/>
  <c r="BK161" i="16"/>
  <c r="BK152" i="16"/>
  <c r="BK137" i="16"/>
  <c r="BK164" i="16"/>
  <c r="BK175" i="16"/>
  <c r="BK168" i="16"/>
  <c r="BK156" i="16"/>
  <c r="BK146" i="16"/>
  <c r="BK139" i="16"/>
  <c r="BK136" i="16"/>
  <c r="BK176" i="16"/>
  <c r="BK169" i="16"/>
  <c r="BK134" i="16"/>
  <c r="BK162" i="16"/>
  <c r="BK149" i="16"/>
  <c r="BK143" i="16"/>
  <c r="P164" i="6" l="1"/>
  <c r="R164" i="6"/>
  <c r="P220" i="5"/>
  <c r="T220" i="5"/>
  <c r="P169" i="7"/>
  <c r="T169" i="7"/>
  <c r="T164" i="8"/>
  <c r="P174" i="16"/>
  <c r="P512" i="2"/>
  <c r="R512" i="2"/>
  <c r="T512" i="2"/>
  <c r="R148" i="2"/>
  <c r="BK547" i="2"/>
  <c r="J111" i="2" s="1"/>
  <c r="P547" i="2"/>
  <c r="R547" i="2"/>
  <c r="T547" i="2"/>
  <c r="F35" i="2"/>
  <c r="AZ96" i="1" s="1"/>
  <c r="F38" i="2"/>
  <c r="BC96" i="1" s="1"/>
  <c r="F39" i="2"/>
  <c r="BD96" i="1" s="1"/>
  <c r="F37" i="2"/>
  <c r="BB96" i="1" s="1"/>
  <c r="R220" i="5"/>
  <c r="J35" i="2"/>
  <c r="AV96" i="1" s="1"/>
  <c r="BK236" i="2"/>
  <c r="J105" i="2" s="1"/>
  <c r="BK342" i="2"/>
  <c r="J342" i="2" s="1"/>
  <c r="J106" i="2" s="1"/>
  <c r="BK132" i="3"/>
  <c r="J100" i="3"/>
  <c r="P132" i="3"/>
  <c r="R132" i="3"/>
  <c r="T132" i="3"/>
  <c r="P127" i="4"/>
  <c r="P145" i="4"/>
  <c r="R150" i="4"/>
  <c r="T144" i="5"/>
  <c r="P154" i="5"/>
  <c r="R154" i="5"/>
  <c r="P159" i="5"/>
  <c r="BK174" i="5"/>
  <c r="J105" i="5" s="1"/>
  <c r="P174" i="5"/>
  <c r="R178" i="5"/>
  <c r="BK199" i="5"/>
  <c r="J108" i="5"/>
  <c r="T210" i="5"/>
  <c r="T302" i="5"/>
  <c r="P310" i="5"/>
  <c r="R320" i="5"/>
  <c r="P336" i="5"/>
  <c r="R341" i="5"/>
  <c r="R346" i="5"/>
  <c r="R352" i="5"/>
  <c r="BK136" i="6"/>
  <c r="J100" i="6" s="1"/>
  <c r="P143" i="6"/>
  <c r="R155" i="6"/>
  <c r="BK212" i="6"/>
  <c r="J110" i="6" s="1"/>
  <c r="BK220" i="6"/>
  <c r="BK169" i="6" s="1"/>
  <c r="J109" i="6" s="1"/>
  <c r="P223" i="6"/>
  <c r="BK136" i="7"/>
  <c r="J100" i="7"/>
  <c r="BK145" i="7"/>
  <c r="J101" i="7" s="1"/>
  <c r="R160" i="7"/>
  <c r="P135" i="8"/>
  <c r="R149" i="8"/>
  <c r="BK155" i="8"/>
  <c r="J104" i="8" s="1"/>
  <c r="P213" i="8"/>
  <c r="P221" i="8"/>
  <c r="P169" i="8" s="1"/>
  <c r="T221" i="8"/>
  <c r="T224" i="8"/>
  <c r="T128" i="9"/>
  <c r="T125" i="9" s="1"/>
  <c r="T133" i="9"/>
  <c r="T173" i="3"/>
  <c r="T204" i="3"/>
  <c r="BK255" i="3"/>
  <c r="J107" i="3" s="1"/>
  <c r="BK289" i="3"/>
  <c r="J108" i="3" s="1"/>
  <c r="R127" i="4"/>
  <c r="R145" i="4"/>
  <c r="BK150" i="4"/>
  <c r="J102" i="4" s="1"/>
  <c r="R144" i="5"/>
  <c r="BK159" i="5"/>
  <c r="J104" i="5" s="1"/>
  <c r="T159" i="5"/>
  <c r="R174" i="5"/>
  <c r="BK178" i="5"/>
  <c r="J106" i="5"/>
  <c r="T199" i="5"/>
  <c r="P210" i="5"/>
  <c r="BK302" i="5"/>
  <c r="J114" i="5"/>
  <c r="T310" i="5"/>
  <c r="T320" i="5"/>
  <c r="T336" i="5"/>
  <c r="T341" i="5"/>
  <c r="T225" i="5" s="1"/>
  <c r="T346" i="5"/>
  <c r="BK352" i="5"/>
  <c r="J120" i="5" s="1"/>
  <c r="R136" i="6"/>
  <c r="T143" i="6"/>
  <c r="BK149" i="6"/>
  <c r="J104" i="6" s="1"/>
  <c r="T149" i="6"/>
  <c r="P212" i="6"/>
  <c r="P220" i="6"/>
  <c r="R223" i="6"/>
  <c r="P136" i="7"/>
  <c r="P145" i="7"/>
  <c r="R151" i="7"/>
  <c r="P160" i="7"/>
  <c r="P222" i="7"/>
  <c r="BK230" i="7"/>
  <c r="J111" i="7" s="1"/>
  <c r="BK233" i="7"/>
  <c r="J112" i="7" s="1"/>
  <c r="T233" i="7"/>
  <c r="BK135" i="8"/>
  <c r="J100" i="8" s="1"/>
  <c r="T149" i="8"/>
  <c r="P155" i="8"/>
  <c r="R213" i="8"/>
  <c r="BK224" i="8"/>
  <c r="J111" i="8" s="1"/>
  <c r="R128" i="9"/>
  <c r="R125" i="9" s="1"/>
  <c r="R133" i="9"/>
  <c r="P148" i="2"/>
  <c r="BK159" i="2"/>
  <c r="J101" i="2" s="1"/>
  <c r="T159" i="2"/>
  <c r="R169" i="2"/>
  <c r="P212" i="2"/>
  <c r="BK223" i="2"/>
  <c r="J104" i="2" s="1"/>
  <c r="R223" i="2"/>
  <c r="T236" i="2"/>
  <c r="P342" i="2"/>
  <c r="BK512" i="2"/>
  <c r="R539" i="2"/>
  <c r="T555" i="2"/>
  <c r="R581" i="2"/>
  <c r="R597" i="2"/>
  <c r="P647" i="2"/>
  <c r="R665" i="2"/>
  <c r="R800" i="2"/>
  <c r="P807" i="2"/>
  <c r="R818" i="2"/>
  <c r="R826" i="2"/>
  <c r="T875" i="2"/>
  <c r="T900" i="2"/>
  <c r="T899" i="2" s="1"/>
  <c r="BK145" i="3"/>
  <c r="J102" i="3"/>
  <c r="P145" i="3"/>
  <c r="R145" i="3"/>
  <c r="T145" i="3"/>
  <c r="BK158" i="3"/>
  <c r="J104" i="3" s="1"/>
  <c r="P158" i="3"/>
  <c r="R158" i="3"/>
  <c r="BK173" i="3"/>
  <c r="J105" i="3" s="1"/>
  <c r="P204" i="3"/>
  <c r="T255" i="3"/>
  <c r="T289" i="3"/>
  <c r="T145" i="4"/>
  <c r="R136" i="7"/>
  <c r="T145" i="7"/>
  <c r="BK151" i="7"/>
  <c r="J104" i="7"/>
  <c r="T151" i="7"/>
  <c r="T160" i="7"/>
  <c r="BK222" i="7"/>
  <c r="J110" i="7" s="1"/>
  <c r="T222" i="7"/>
  <c r="P230" i="7"/>
  <c r="T230" i="7"/>
  <c r="R233" i="7"/>
  <c r="R135" i="8"/>
  <c r="P149" i="8"/>
  <c r="T155" i="8"/>
  <c r="T213" i="8"/>
  <c r="T169" i="8"/>
  <c r="R221" i="8"/>
  <c r="R169" i="8" s="1"/>
  <c r="R224" i="8"/>
  <c r="BK128" i="9"/>
  <c r="J101" i="9" s="1"/>
  <c r="P133" i="9"/>
  <c r="P138" i="10"/>
  <c r="P135" i="10" s="1"/>
  <c r="P145" i="10"/>
  <c r="BK167" i="10"/>
  <c r="J104" i="10"/>
  <c r="P167" i="10"/>
  <c r="BK251" i="10"/>
  <c r="J105" i="10"/>
  <c r="R251" i="10"/>
  <c r="BK301" i="10"/>
  <c r="J106" i="10" s="1"/>
  <c r="T301" i="10"/>
  <c r="P327" i="10"/>
  <c r="R327" i="10"/>
  <c r="P413" i="10"/>
  <c r="BK417" i="10"/>
  <c r="J109" i="10"/>
  <c r="P417" i="10"/>
  <c r="T417" i="10"/>
  <c r="P422" i="10"/>
  <c r="R422" i="10"/>
  <c r="BK442" i="10"/>
  <c r="J111" i="10" s="1"/>
  <c r="P442" i="10"/>
  <c r="T442" i="10"/>
  <c r="P125" i="11"/>
  <c r="T125" i="11"/>
  <c r="P133" i="11"/>
  <c r="P124" i="11" s="1"/>
  <c r="P123" i="11" s="1"/>
  <c r="AU106" i="1" s="1"/>
  <c r="R133" i="11"/>
  <c r="R133" i="12"/>
  <c r="P148" i="12"/>
  <c r="T148" i="12"/>
  <c r="R151" i="12"/>
  <c r="P156" i="12"/>
  <c r="BK169" i="12"/>
  <c r="J104" i="12" s="1"/>
  <c r="R169" i="12"/>
  <c r="BK177" i="12"/>
  <c r="J105" i="12" s="1"/>
  <c r="T177" i="12"/>
  <c r="P181" i="12"/>
  <c r="BK186" i="12"/>
  <c r="J108" i="12" s="1"/>
  <c r="T186" i="12"/>
  <c r="BK134" i="13"/>
  <c r="J100" i="13"/>
  <c r="R134" i="13"/>
  <c r="BK149" i="13"/>
  <c r="J101" i="13"/>
  <c r="R149" i="13"/>
  <c r="P152" i="13"/>
  <c r="BK157" i="13"/>
  <c r="J103" i="13" s="1"/>
  <c r="T157" i="13"/>
  <c r="R173" i="13"/>
  <c r="BK182" i="13"/>
  <c r="J105" i="13"/>
  <c r="T182" i="13"/>
  <c r="BK186" i="13"/>
  <c r="J107" i="13" s="1"/>
  <c r="R186" i="13"/>
  <c r="BK196" i="13"/>
  <c r="J108" i="13" s="1"/>
  <c r="T196" i="13"/>
  <c r="P205" i="13"/>
  <c r="P132" i="14"/>
  <c r="BK162" i="14"/>
  <c r="J103" i="14"/>
  <c r="R162" i="14"/>
  <c r="BK169" i="14"/>
  <c r="J104" i="14" s="1"/>
  <c r="R169" i="14"/>
  <c r="T173" i="14"/>
  <c r="BK135" i="16"/>
  <c r="J101" i="16" s="1"/>
  <c r="T148" i="2"/>
  <c r="R159" i="2"/>
  <c r="P169" i="2"/>
  <c r="BK212" i="2"/>
  <c r="J103" i="2" s="1"/>
  <c r="T212" i="2"/>
  <c r="T223" i="2"/>
  <c r="P236" i="2"/>
  <c r="T342" i="2"/>
  <c r="BK539" i="2"/>
  <c r="J110" i="2" s="1"/>
  <c r="BK555" i="2"/>
  <c r="J112" i="2" s="1"/>
  <c r="BK581" i="2"/>
  <c r="J113" i="2" s="1"/>
  <c r="P581" i="2"/>
  <c r="BK647" i="2"/>
  <c r="J115" i="2" s="1"/>
  <c r="P665" i="2"/>
  <c r="P800" i="2"/>
  <c r="R807" i="2"/>
  <c r="T818" i="2"/>
  <c r="T826" i="2"/>
  <c r="BK900" i="2"/>
  <c r="J124" i="2" s="1"/>
  <c r="BK138" i="10"/>
  <c r="J101" i="10"/>
  <c r="T138" i="10"/>
  <c r="T135" i="10" s="1"/>
  <c r="BK145" i="10"/>
  <c r="J103" i="10"/>
  <c r="T145" i="10"/>
  <c r="R167" i="10"/>
  <c r="T251" i="10"/>
  <c r="R301" i="10"/>
  <c r="BK327" i="10"/>
  <c r="J107" i="10" s="1"/>
  <c r="T327" i="10"/>
  <c r="BK413" i="10"/>
  <c r="J108" i="10" s="1"/>
  <c r="R413" i="10"/>
  <c r="T413" i="10"/>
  <c r="R417" i="10"/>
  <c r="T422" i="10"/>
  <c r="BK125" i="11"/>
  <c r="J100" i="11" s="1"/>
  <c r="R125" i="11"/>
  <c r="BK133" i="11"/>
  <c r="J101" i="11" s="1"/>
  <c r="T133" i="11"/>
  <c r="BK159" i="16"/>
  <c r="J105" i="16" s="1"/>
  <c r="BK875" i="2"/>
  <c r="J121" i="2" s="1"/>
  <c r="BK127" i="4"/>
  <c r="BK126" i="4" s="1"/>
  <c r="J99" i="4" s="1"/>
  <c r="BK145" i="4"/>
  <c r="J101" i="4"/>
  <c r="T150" i="4"/>
  <c r="P144" i="5"/>
  <c r="BK154" i="5"/>
  <c r="J103" i="5"/>
  <c r="T154" i="5"/>
  <c r="R159" i="5"/>
  <c r="T174" i="5"/>
  <c r="P178" i="5"/>
  <c r="P199" i="5"/>
  <c r="R210" i="5"/>
  <c r="P302" i="5"/>
  <c r="R310" i="5"/>
  <c r="R225" i="5" s="1"/>
  <c r="P320" i="5"/>
  <c r="R336" i="5"/>
  <c r="BK341" i="5"/>
  <c r="J118" i="5"/>
  <c r="P346" i="5"/>
  <c r="T352" i="5"/>
  <c r="R143" i="6"/>
  <c r="R149" i="6"/>
  <c r="T155" i="6"/>
  <c r="R220" i="6"/>
  <c r="T223" i="6"/>
  <c r="R199" i="15"/>
  <c r="T199" i="15"/>
  <c r="P132" i="16"/>
  <c r="R135" i="16"/>
  <c r="P155" i="16"/>
  <c r="R155" i="16"/>
  <c r="T155" i="16"/>
  <c r="P159" i="16"/>
  <c r="T159" i="16"/>
  <c r="BK165" i="16"/>
  <c r="J106" i="16" s="1"/>
  <c r="R165" i="16"/>
  <c r="P173" i="3"/>
  <c r="R204" i="3"/>
  <c r="R255" i="3"/>
  <c r="R289" i="3"/>
  <c r="T127" i="4"/>
  <c r="T126" i="4" s="1"/>
  <c r="T125" i="4" s="1"/>
  <c r="P150" i="4"/>
  <c r="BK144" i="5"/>
  <c r="J100" i="5" s="1"/>
  <c r="T178" i="5"/>
  <c r="R199" i="5"/>
  <c r="BK210" i="5"/>
  <c r="J109" i="5" s="1"/>
  <c r="R302" i="5"/>
  <c r="BK310" i="5"/>
  <c r="BK320" i="5"/>
  <c r="J116" i="5" s="1"/>
  <c r="BK336" i="5"/>
  <c r="J117" i="5" s="1"/>
  <c r="P341" i="5"/>
  <c r="BK346" i="5"/>
  <c r="J119" i="5" s="1"/>
  <c r="P352" i="5"/>
  <c r="T136" i="6"/>
  <c r="BK155" i="6"/>
  <c r="J105" i="6" s="1"/>
  <c r="R212" i="6"/>
  <c r="R169" i="6" s="1"/>
  <c r="BK223" i="6"/>
  <c r="J112" i="6"/>
  <c r="T136" i="7"/>
  <c r="T135" i="7" s="1"/>
  <c r="R145" i="7"/>
  <c r="P151" i="7"/>
  <c r="BK160" i="7"/>
  <c r="J105" i="7" s="1"/>
  <c r="R222" i="7"/>
  <c r="R174" i="7" s="1"/>
  <c r="R230" i="7"/>
  <c r="P233" i="7"/>
  <c r="T135" i="8"/>
  <c r="T134" i="8" s="1"/>
  <c r="BK149" i="8"/>
  <c r="J103" i="8"/>
  <c r="R155" i="8"/>
  <c r="BK213" i="8"/>
  <c r="J109" i="8" s="1"/>
  <c r="BK221" i="8"/>
  <c r="J110" i="8" s="1"/>
  <c r="P224" i="8"/>
  <c r="P128" i="9"/>
  <c r="P125" i="9" s="1"/>
  <c r="P124" i="9" s="1"/>
  <c r="AU103" i="1" s="1"/>
  <c r="BK133" i="9"/>
  <c r="J102" i="9" s="1"/>
  <c r="R138" i="10"/>
  <c r="R135" i="10"/>
  <c r="R145" i="10"/>
  <c r="T167" i="10"/>
  <c r="P251" i="10"/>
  <c r="P301" i="10"/>
  <c r="BK422" i="10"/>
  <c r="J110" i="10" s="1"/>
  <c r="R442" i="10"/>
  <c r="BK148" i="12"/>
  <c r="J101" i="12" s="1"/>
  <c r="BK151" i="12"/>
  <c r="J102" i="12"/>
  <c r="BK156" i="12"/>
  <c r="J103" i="12" s="1"/>
  <c r="T156" i="12"/>
  <c r="P177" i="12"/>
  <c r="BK152" i="13"/>
  <c r="J102" i="13" s="1"/>
  <c r="P157" i="13"/>
  <c r="BK173" i="13"/>
  <c r="J104" i="13" s="1"/>
  <c r="R196" i="13"/>
  <c r="T205" i="13"/>
  <c r="BK132" i="14"/>
  <c r="J100" i="14"/>
  <c r="T132" i="14"/>
  <c r="R144" i="14"/>
  <c r="R178" i="14"/>
  <c r="P135" i="15"/>
  <c r="T135" i="15"/>
  <c r="P147" i="15"/>
  <c r="T147" i="15"/>
  <c r="P150" i="15"/>
  <c r="T150" i="15"/>
  <c r="P157" i="15"/>
  <c r="R157" i="15"/>
  <c r="BK165" i="15"/>
  <c r="J104" i="15"/>
  <c r="P165" i="15"/>
  <c r="T165" i="15"/>
  <c r="BK169" i="15"/>
  <c r="J106" i="15" s="1"/>
  <c r="P169" i="15"/>
  <c r="T169" i="15"/>
  <c r="BK176" i="15"/>
  <c r="J107" i="15"/>
  <c r="P176" i="15"/>
  <c r="R176" i="15"/>
  <c r="T176" i="15"/>
  <c r="BK185" i="15"/>
  <c r="BK168" i="15" s="1"/>
  <c r="J105" i="15" s="1"/>
  <c r="P185" i="15"/>
  <c r="R185" i="15"/>
  <c r="T185" i="15"/>
  <c r="BK194" i="15"/>
  <c r="J109" i="15" s="1"/>
  <c r="P194" i="15"/>
  <c r="R194" i="15"/>
  <c r="R168" i="15" s="1"/>
  <c r="T194" i="15"/>
  <c r="BK199" i="15"/>
  <c r="J110" i="15"/>
  <c r="P199" i="15"/>
  <c r="BK132" i="16"/>
  <c r="J100" i="16" s="1"/>
  <c r="R132" i="16"/>
  <c r="T132" i="16"/>
  <c r="T135" i="16"/>
  <c r="BK148" i="16"/>
  <c r="J102" i="16"/>
  <c r="P148" i="16"/>
  <c r="R148" i="16"/>
  <c r="T148" i="16"/>
  <c r="R159" i="16"/>
  <c r="T165" i="16"/>
  <c r="P159" i="2"/>
  <c r="BK169" i="2"/>
  <c r="J102" i="2" s="1"/>
  <c r="T169" i="2"/>
  <c r="R212" i="2"/>
  <c r="P223" i="2"/>
  <c r="R236" i="2"/>
  <c r="R342" i="2"/>
  <c r="P539" i="2"/>
  <c r="P555" i="2"/>
  <c r="BK597" i="2"/>
  <c r="J114" i="2" s="1"/>
  <c r="T597" i="2"/>
  <c r="T647" i="2"/>
  <c r="T665" i="2"/>
  <c r="T800" i="2"/>
  <c r="T807" i="2"/>
  <c r="P818" i="2"/>
  <c r="P826" i="2"/>
  <c r="P875" i="2"/>
  <c r="R900" i="2"/>
  <c r="R899" i="2" s="1"/>
  <c r="P136" i="6"/>
  <c r="BK143" i="6"/>
  <c r="J101" i="6"/>
  <c r="P149" i="6"/>
  <c r="P155" i="6"/>
  <c r="T212" i="6"/>
  <c r="T220" i="6"/>
  <c r="T169" i="6" s="1"/>
  <c r="BK148" i="2"/>
  <c r="J100" i="2" s="1"/>
  <c r="T539" i="2"/>
  <c r="R555" i="2"/>
  <c r="T581" i="2"/>
  <c r="P597" i="2"/>
  <c r="R647" i="2"/>
  <c r="BK665" i="2"/>
  <c r="J116" i="2" s="1"/>
  <c r="BK800" i="2"/>
  <c r="J117" i="2" s="1"/>
  <c r="BK807" i="2"/>
  <c r="J807" i="2" s="1"/>
  <c r="J118" i="2" s="1"/>
  <c r="BK818" i="2"/>
  <c r="J119" i="2" s="1"/>
  <c r="BK826" i="2"/>
  <c r="J120" i="2" s="1"/>
  <c r="R875" i="2"/>
  <c r="P900" i="2"/>
  <c r="P899" i="2" s="1"/>
  <c r="T158" i="3"/>
  <c r="T157" i="3" s="1"/>
  <c r="R173" i="3"/>
  <c r="BK204" i="3"/>
  <c r="J106" i="3" s="1"/>
  <c r="P255" i="3"/>
  <c r="P289" i="3"/>
  <c r="BK133" i="12"/>
  <c r="BK132" i="12" s="1"/>
  <c r="J99" i="12" s="1"/>
  <c r="P133" i="12"/>
  <c r="T133" i="12"/>
  <c r="R148" i="12"/>
  <c r="P151" i="12"/>
  <c r="T151" i="12"/>
  <c r="R156" i="12"/>
  <c r="P169" i="12"/>
  <c r="T169" i="12"/>
  <c r="R177" i="12"/>
  <c r="BK181" i="12"/>
  <c r="J107" i="12"/>
  <c r="R181" i="12"/>
  <c r="T181" i="12"/>
  <c r="T180" i="12" s="1"/>
  <c r="P186" i="12"/>
  <c r="R186" i="12"/>
  <c r="P134" i="13"/>
  <c r="T134" i="13"/>
  <c r="P149" i="13"/>
  <c r="T149" i="13"/>
  <c r="R152" i="13"/>
  <c r="T152" i="13"/>
  <c r="R157" i="13"/>
  <c r="P173" i="13"/>
  <c r="T173" i="13"/>
  <c r="P182" i="13"/>
  <c r="R182" i="13"/>
  <c r="P186" i="13"/>
  <c r="T186" i="13"/>
  <c r="P196" i="13"/>
  <c r="BK205" i="13"/>
  <c r="J109" i="13"/>
  <c r="R205" i="13"/>
  <c r="R132" i="14"/>
  <c r="BK144" i="14"/>
  <c r="J101" i="14" s="1"/>
  <c r="P144" i="14"/>
  <c r="T144" i="14"/>
  <c r="BK147" i="14"/>
  <c r="J102" i="14" s="1"/>
  <c r="P147" i="14"/>
  <c r="R147" i="14"/>
  <c r="T147" i="14"/>
  <c r="P162" i="14"/>
  <c r="T162" i="14"/>
  <c r="P169" i="14"/>
  <c r="T169" i="14"/>
  <c r="BK173" i="14"/>
  <c r="J106" i="14"/>
  <c r="P173" i="14"/>
  <c r="R173" i="14"/>
  <c r="R172" i="14"/>
  <c r="BK178" i="14"/>
  <c r="J107" i="14" s="1"/>
  <c r="P178" i="14"/>
  <c r="T178" i="14"/>
  <c r="BK135" i="15"/>
  <c r="J100" i="15" s="1"/>
  <c r="R135" i="15"/>
  <c r="BK147" i="15"/>
  <c r="J101" i="15"/>
  <c r="R147" i="15"/>
  <c r="BK150" i="15"/>
  <c r="J102" i="15"/>
  <c r="R150" i="15"/>
  <c r="BK157" i="15"/>
  <c r="J103" i="15" s="1"/>
  <c r="T157" i="15"/>
  <c r="R165" i="15"/>
  <c r="R169" i="15"/>
  <c r="P135" i="16"/>
  <c r="BK155" i="16"/>
  <c r="J103" i="16" s="1"/>
  <c r="P165" i="16"/>
  <c r="BK174" i="16"/>
  <c r="J107" i="16" s="1"/>
  <c r="R174" i="16"/>
  <c r="T174" i="16"/>
  <c r="BK167" i="8"/>
  <c r="J107" i="8" s="1"/>
  <c r="BK154" i="4"/>
  <c r="J103" i="4" s="1"/>
  <c r="BK152" i="5"/>
  <c r="J102" i="5"/>
  <c r="BK221" i="5"/>
  <c r="J111" i="5" s="1"/>
  <c r="BK143" i="3"/>
  <c r="J101" i="3" s="1"/>
  <c r="BK172" i="7"/>
  <c r="J108" i="7"/>
  <c r="BK126" i="9"/>
  <c r="J100" i="9"/>
  <c r="BK136" i="10"/>
  <c r="J100" i="10" s="1"/>
  <c r="BK211" i="13"/>
  <c r="J110" i="13" s="1"/>
  <c r="BK893" i="2"/>
  <c r="J893" i="2" s="1"/>
  <c r="J122" i="2" s="1"/>
  <c r="BK167" i="6"/>
  <c r="J108" i="6" s="1"/>
  <c r="BK202" i="15"/>
  <c r="J111" i="15" s="1"/>
  <c r="BK223" i="5"/>
  <c r="J112" i="5"/>
  <c r="BK147" i="6"/>
  <c r="J103" i="6" s="1"/>
  <c r="BK165" i="6"/>
  <c r="J107" i="6" s="1"/>
  <c r="BK149" i="7"/>
  <c r="J103" i="7" s="1"/>
  <c r="BK170" i="7"/>
  <c r="J107" i="7" s="1"/>
  <c r="BK147" i="8"/>
  <c r="J102" i="8"/>
  <c r="BK165" i="8"/>
  <c r="J106" i="8"/>
  <c r="BK447" i="10"/>
  <c r="J112" i="10" s="1"/>
  <c r="BK509" i="2"/>
  <c r="J107" i="2" s="1"/>
  <c r="BK193" i="12"/>
  <c r="J109" i="12" s="1"/>
  <c r="BK185" i="14"/>
  <c r="J108" i="14"/>
  <c r="BK180" i="16"/>
  <c r="J108" i="16" s="1"/>
  <c r="F93" i="16"/>
  <c r="BF134" i="16"/>
  <c r="BF136" i="16"/>
  <c r="BF137" i="16"/>
  <c r="BF142" i="16"/>
  <c r="BF162" i="16"/>
  <c r="BF171" i="16"/>
  <c r="BF177" i="16"/>
  <c r="F94" i="16"/>
  <c r="E118" i="16"/>
  <c r="BF133" i="16"/>
  <c r="BF138" i="16"/>
  <c r="BF139" i="16"/>
  <c r="BF151" i="16"/>
  <c r="BF153" i="16"/>
  <c r="BF164" i="16"/>
  <c r="BF176" i="16"/>
  <c r="BF179" i="16"/>
  <c r="J93" i="16"/>
  <c r="BF141" i="16"/>
  <c r="BF143" i="16"/>
  <c r="BF146" i="16"/>
  <c r="BF147" i="16"/>
  <c r="BF150" i="16"/>
  <c r="BF163" i="16"/>
  <c r="BF168" i="16"/>
  <c r="BF173" i="16"/>
  <c r="BF178" i="16"/>
  <c r="J91" i="16"/>
  <c r="J127" i="16"/>
  <c r="BF144" i="16"/>
  <c r="BF166" i="16"/>
  <c r="BF140" i="16"/>
  <c r="BF156" i="16"/>
  <c r="BF157" i="16"/>
  <c r="BF160" i="16"/>
  <c r="BF175" i="16"/>
  <c r="BF145" i="16"/>
  <c r="BF149" i="16"/>
  <c r="BF152" i="16"/>
  <c r="BF154" i="16"/>
  <c r="BF161" i="16"/>
  <c r="BF167" i="16"/>
  <c r="BF169" i="16"/>
  <c r="BF170" i="16"/>
  <c r="BF172" i="16"/>
  <c r="BF181" i="16"/>
  <c r="F93" i="15"/>
  <c r="J127" i="15"/>
  <c r="BF148" i="15"/>
  <c r="BF161" i="15"/>
  <c r="BF166" i="15"/>
  <c r="BF173" i="15"/>
  <c r="BF177" i="15"/>
  <c r="BF188" i="15"/>
  <c r="BF196" i="15"/>
  <c r="BF200" i="15"/>
  <c r="BF201" i="15"/>
  <c r="BF203" i="15"/>
  <c r="BF156" i="15"/>
  <c r="BF163" i="15"/>
  <c r="BF172" i="15"/>
  <c r="BF184" i="15"/>
  <c r="BF191" i="15"/>
  <c r="F94" i="15"/>
  <c r="BF139" i="15"/>
  <c r="BF149" i="15"/>
  <c r="BF155" i="15"/>
  <c r="BF160" i="15"/>
  <c r="BF162" i="15"/>
  <c r="BK131" i="14"/>
  <c r="J99" i="14"/>
  <c r="BF140" i="15"/>
  <c r="BF143" i="15"/>
  <c r="BF144" i="15"/>
  <c r="BF146" i="15"/>
  <c r="BF151" i="15"/>
  <c r="BF152" i="15"/>
  <c r="BF158" i="15"/>
  <c r="BF171" i="15"/>
  <c r="BF175" i="15"/>
  <c r="BF179" i="15"/>
  <c r="BF186" i="15"/>
  <c r="BF190" i="15"/>
  <c r="BF197" i="15"/>
  <c r="E85" i="15"/>
  <c r="BF141" i="15"/>
  <c r="BF145" i="15"/>
  <c r="BF153" i="15"/>
  <c r="BF154" i="15"/>
  <c r="BF167" i="15"/>
  <c r="BF170" i="15"/>
  <c r="BF178" i="15"/>
  <c r="BF183" i="15"/>
  <c r="BF189" i="15"/>
  <c r="BF193" i="15"/>
  <c r="BF195" i="15"/>
  <c r="BF198" i="15"/>
  <c r="J130" i="15"/>
  <c r="BF181" i="15"/>
  <c r="BF192" i="15"/>
  <c r="J93" i="15"/>
  <c r="BF137" i="15"/>
  <c r="BF142" i="15"/>
  <c r="BF159" i="15"/>
  <c r="BF174" i="15"/>
  <c r="BF180" i="15"/>
  <c r="BF182" i="15"/>
  <c r="BF136" i="15"/>
  <c r="BF138" i="15"/>
  <c r="BF164" i="15"/>
  <c r="BF187" i="15"/>
  <c r="J94" i="14"/>
  <c r="BK185" i="13"/>
  <c r="J106" i="13" s="1"/>
  <c r="J91" i="14"/>
  <c r="E118" i="14"/>
  <c r="BF133" i="14"/>
  <c r="BF140" i="14"/>
  <c r="BF145" i="14"/>
  <c r="BF146" i="14"/>
  <c r="BF148" i="14"/>
  <c r="BF153" i="14"/>
  <c r="BF157" i="14"/>
  <c r="BF158" i="14"/>
  <c r="BF159" i="14"/>
  <c r="BF160" i="14"/>
  <c r="BF176" i="14"/>
  <c r="BF182" i="14"/>
  <c r="BF137" i="14"/>
  <c r="BF138" i="14"/>
  <c r="BF139" i="14"/>
  <c r="BF151" i="14"/>
  <c r="BF171" i="14"/>
  <c r="BF163" i="14"/>
  <c r="BF164" i="14"/>
  <c r="BF166" i="14"/>
  <c r="BF170" i="14"/>
  <c r="BF174" i="14"/>
  <c r="BF175" i="14"/>
  <c r="BF183" i="14"/>
  <c r="BF186" i="14"/>
  <c r="BF150" i="14"/>
  <c r="BF168" i="14"/>
  <c r="F93" i="14"/>
  <c r="F94" i="14"/>
  <c r="BF134" i="14"/>
  <c r="BF141" i="14"/>
  <c r="BF143" i="14"/>
  <c r="BF149" i="14"/>
  <c r="BF152" i="14"/>
  <c r="BF154" i="14"/>
  <c r="BF156" i="14"/>
  <c r="BF161" i="14"/>
  <c r="BF165" i="14"/>
  <c r="BF177" i="14"/>
  <c r="BF181" i="14"/>
  <c r="BF184" i="14"/>
  <c r="J93" i="14"/>
  <c r="BF135" i="14"/>
  <c r="BF136" i="14"/>
  <c r="BF142" i="14"/>
  <c r="BF155" i="14"/>
  <c r="BF167" i="14"/>
  <c r="BF179" i="14"/>
  <c r="BF180" i="14"/>
  <c r="J91" i="13"/>
  <c r="BF165" i="13"/>
  <c r="BF175" i="13"/>
  <c r="BF181" i="13"/>
  <c r="BF183" i="13"/>
  <c r="BF184" i="13"/>
  <c r="BF187" i="13"/>
  <c r="BF193" i="13"/>
  <c r="F93" i="13"/>
  <c r="E120" i="13"/>
  <c r="F129" i="13"/>
  <c r="BF148" i="13"/>
  <c r="BF150" i="13"/>
  <c r="BF161" i="13"/>
  <c r="BF162" i="13"/>
  <c r="BF167" i="13"/>
  <c r="BF169" i="13"/>
  <c r="BF172" i="13"/>
  <c r="BF189" i="13"/>
  <c r="BF190" i="13"/>
  <c r="BF197" i="13"/>
  <c r="BF199" i="13"/>
  <c r="BF201" i="13"/>
  <c r="BF203" i="13"/>
  <c r="BF208" i="13"/>
  <c r="BF138" i="13"/>
  <c r="BF160" i="13"/>
  <c r="BF166" i="13"/>
  <c r="BF168" i="13"/>
  <c r="BF171" i="13"/>
  <c r="BF174" i="13"/>
  <c r="BF176" i="13"/>
  <c r="BF179" i="13"/>
  <c r="BF180" i="13"/>
  <c r="BF191" i="13"/>
  <c r="BF192" i="13"/>
  <c r="BF198" i="13"/>
  <c r="J93" i="13"/>
  <c r="BF137" i="13"/>
  <c r="BF140" i="13"/>
  <c r="BF156" i="13"/>
  <c r="BF194" i="13"/>
  <c r="BF202" i="13"/>
  <c r="J94" i="13"/>
  <c r="BF145" i="13"/>
  <c r="BF146" i="13"/>
  <c r="BF151" i="13"/>
  <c r="BF154" i="13"/>
  <c r="BF163" i="13"/>
  <c r="BF204" i="13"/>
  <c r="BF207" i="13"/>
  <c r="BF135" i="13"/>
  <c r="BF136" i="13"/>
  <c r="BF139" i="13"/>
  <c r="BF141" i="13"/>
  <c r="BF164" i="13"/>
  <c r="BF142" i="13"/>
  <c r="BF143" i="13"/>
  <c r="BF144" i="13"/>
  <c r="BF147" i="13"/>
  <c r="BF153" i="13"/>
  <c r="BF155" i="13"/>
  <c r="BF158" i="13"/>
  <c r="BF159" i="13"/>
  <c r="BF170" i="13"/>
  <c r="BF177" i="13"/>
  <c r="BF178" i="13"/>
  <c r="BF188" i="13"/>
  <c r="BF195" i="13"/>
  <c r="BF200" i="13"/>
  <c r="BF206" i="13"/>
  <c r="BF209" i="13"/>
  <c r="BF210" i="13"/>
  <c r="BF212" i="13"/>
  <c r="F93" i="12"/>
  <c r="J128" i="12"/>
  <c r="BF153" i="12"/>
  <c r="J93" i="12"/>
  <c r="BF136" i="12"/>
  <c r="BF154" i="12"/>
  <c r="E85" i="12"/>
  <c r="BF135" i="12"/>
  <c r="BF138" i="12"/>
  <c r="BF139" i="12"/>
  <c r="BF158" i="12"/>
  <c r="BF159" i="12"/>
  <c r="BF160" i="12"/>
  <c r="BF168" i="12"/>
  <c r="BF174" i="12"/>
  <c r="BF175" i="12"/>
  <c r="BF179" i="12"/>
  <c r="BF182" i="12"/>
  <c r="BF188" i="12"/>
  <c r="J91" i="12"/>
  <c r="F94" i="12"/>
  <c r="BF141" i="12"/>
  <c r="BF143" i="12"/>
  <c r="BF147" i="12"/>
  <c r="BF164" i="12"/>
  <c r="BF165" i="12"/>
  <c r="BF173" i="12"/>
  <c r="BF178" i="12"/>
  <c r="BF184" i="12"/>
  <c r="BF190" i="12"/>
  <c r="BF134" i="12"/>
  <c r="BF137" i="12"/>
  <c r="BF140" i="12"/>
  <c r="BF144" i="12"/>
  <c r="BF145" i="12"/>
  <c r="BF146" i="12"/>
  <c r="BF149" i="12"/>
  <c r="BF152" i="12"/>
  <c r="BF155" i="12"/>
  <c r="BF162" i="12"/>
  <c r="BF163" i="12"/>
  <c r="BF166" i="12"/>
  <c r="BF167" i="12"/>
  <c r="BF176" i="12"/>
  <c r="BF183" i="12"/>
  <c r="BF185" i="12"/>
  <c r="BF187" i="12"/>
  <c r="BF189" i="12"/>
  <c r="BF192" i="12"/>
  <c r="BF194" i="12"/>
  <c r="BF142" i="12"/>
  <c r="BF150" i="12"/>
  <c r="BF157" i="12"/>
  <c r="BF161" i="12"/>
  <c r="BF170" i="12"/>
  <c r="BF171" i="12"/>
  <c r="BF172" i="12"/>
  <c r="BF191" i="12"/>
  <c r="F93" i="11"/>
  <c r="E111" i="11"/>
  <c r="BF126" i="11"/>
  <c r="BF134" i="11"/>
  <c r="BF144" i="11"/>
  <c r="BF145" i="11"/>
  <c r="F94" i="11"/>
  <c r="J120" i="11"/>
  <c r="BF131" i="11"/>
  <c r="J91" i="11"/>
  <c r="BF132" i="11"/>
  <c r="BF139" i="11"/>
  <c r="BF146" i="11"/>
  <c r="F94" i="10"/>
  <c r="E122" i="10"/>
  <c r="J128" i="10"/>
  <c r="J131" i="10"/>
  <c r="BF139" i="10"/>
  <c r="BF141" i="10"/>
  <c r="BF147" i="10"/>
  <c r="BF151" i="10"/>
  <c r="BF153" i="10"/>
  <c r="F93" i="10"/>
  <c r="J130" i="10"/>
  <c r="BF140" i="10"/>
  <c r="BF142" i="10"/>
  <c r="BF143" i="10"/>
  <c r="BF146" i="10"/>
  <c r="BF148" i="10"/>
  <c r="BF154" i="10"/>
  <c r="BF155" i="10"/>
  <c r="BF156" i="10"/>
  <c r="BF157" i="10"/>
  <c r="BF158" i="10"/>
  <c r="BF159" i="10"/>
  <c r="BF160" i="10"/>
  <c r="BF162" i="10"/>
  <c r="BF165" i="10"/>
  <c r="BF166" i="10"/>
  <c r="BF168" i="10"/>
  <c r="BF169" i="10"/>
  <c r="BF170" i="10"/>
  <c r="BF176" i="10"/>
  <c r="BF177" i="10"/>
  <c r="BF180" i="10"/>
  <c r="BF181" i="10"/>
  <c r="BF182" i="10"/>
  <c r="BF184" i="10"/>
  <c r="BF185" i="10"/>
  <c r="BF188" i="10"/>
  <c r="BF190" i="10"/>
  <c r="BF192" i="10"/>
  <c r="BF193" i="10"/>
  <c r="BF194" i="10"/>
  <c r="BF195" i="10"/>
  <c r="BF196" i="10"/>
  <c r="BF198" i="10"/>
  <c r="BF199" i="10"/>
  <c r="BF200" i="10"/>
  <c r="BF201" i="10"/>
  <c r="BF202" i="10"/>
  <c r="BF204" i="10"/>
  <c r="BF205" i="10"/>
  <c r="BF211" i="10"/>
  <c r="BF212" i="10"/>
  <c r="BF215" i="10"/>
  <c r="BF218" i="10"/>
  <c r="BF219" i="10"/>
  <c r="BF220" i="10"/>
  <c r="BF221" i="10"/>
  <c r="BF222" i="10"/>
  <c r="BF225" i="10"/>
  <c r="BF226" i="10"/>
  <c r="BF237" i="10"/>
  <c r="BF240" i="10"/>
  <c r="BF241" i="10"/>
  <c r="BF242" i="10"/>
  <c r="BF247" i="10"/>
  <c r="BF253" i="10"/>
  <c r="BF257" i="10"/>
  <c r="BF260" i="10"/>
  <c r="BF261" i="10"/>
  <c r="BF262" i="10"/>
  <c r="BF263" i="10"/>
  <c r="BF264" i="10"/>
  <c r="BF265" i="10"/>
  <c r="BF266" i="10"/>
  <c r="BF269" i="10"/>
  <c r="BF271" i="10"/>
  <c r="BF272" i="10"/>
  <c r="BF274" i="10"/>
  <c r="BF275" i="10"/>
  <c r="BF276" i="10"/>
  <c r="BF278" i="10"/>
  <c r="BF280" i="10"/>
  <c r="BF281" i="10"/>
  <c r="BF285" i="10"/>
  <c r="BF286" i="10"/>
  <c r="BF287" i="10"/>
  <c r="BF289" i="10"/>
  <c r="BF290" i="10"/>
  <c r="BF291" i="10"/>
  <c r="BF294" i="10"/>
  <c r="BF296" i="10"/>
  <c r="BF297" i="10"/>
  <c r="BF299" i="10"/>
  <c r="BF302" i="10"/>
  <c r="BF304" i="10"/>
  <c r="BF305" i="10"/>
  <c r="BF306" i="10"/>
  <c r="BF307" i="10"/>
  <c r="BF308" i="10"/>
  <c r="BF309" i="10"/>
  <c r="BF310" i="10"/>
  <c r="BF311" i="10"/>
  <c r="BF312" i="10"/>
  <c r="BF314" i="10"/>
  <c r="BF315" i="10"/>
  <c r="BF318" i="10"/>
  <c r="BF319" i="10"/>
  <c r="BF320" i="10"/>
  <c r="BF323" i="10"/>
  <c r="BF324" i="10"/>
  <c r="BF325" i="10"/>
  <c r="BF326" i="10"/>
  <c r="BF329" i="10"/>
  <c r="BF330" i="10"/>
  <c r="BF331" i="10"/>
  <c r="BF332" i="10"/>
  <c r="BF335" i="10"/>
  <c r="BF338" i="10"/>
  <c r="BF342" i="10"/>
  <c r="BF343" i="10"/>
  <c r="BF344" i="10"/>
  <c r="BF346" i="10"/>
  <c r="BF137" i="10"/>
  <c r="BF149" i="10"/>
  <c r="BF150" i="10"/>
  <c r="BF152" i="10"/>
  <c r="BF161" i="10"/>
  <c r="BF163" i="10"/>
  <c r="BF164" i="10"/>
  <c r="BF171" i="10"/>
  <c r="BF172" i="10"/>
  <c r="BF173" i="10"/>
  <c r="BF174" i="10"/>
  <c r="BF175" i="10"/>
  <c r="BF178" i="10"/>
  <c r="BF179" i="10"/>
  <c r="BF183" i="10"/>
  <c r="BF186" i="10"/>
  <c r="BF187" i="10"/>
  <c r="BF189" i="10"/>
  <c r="BF191" i="10"/>
  <c r="BF197" i="10"/>
  <c r="BF203" i="10"/>
  <c r="BF206" i="10"/>
  <c r="BF207" i="10"/>
  <c r="BF208" i="10"/>
  <c r="BF209" i="10"/>
  <c r="BF210" i="10"/>
  <c r="BF213" i="10"/>
  <c r="BF214" i="10"/>
  <c r="BF216" i="10"/>
  <c r="BF217" i="10"/>
  <c r="BF223" i="10"/>
  <c r="BF224" i="10"/>
  <c r="BF227" i="10"/>
  <c r="BF228" i="10"/>
  <c r="BF229" i="10"/>
  <c r="BF230" i="10"/>
  <c r="BF231" i="10"/>
  <c r="BF232" i="10"/>
  <c r="BF233" i="10"/>
  <c r="BF234" i="10"/>
  <c r="BF235" i="10"/>
  <c r="BF236" i="10"/>
  <c r="BF238" i="10"/>
  <c r="BF239" i="10"/>
  <c r="BF243" i="10"/>
  <c r="BF244" i="10"/>
  <c r="BF245" i="10"/>
  <c r="BF246" i="10"/>
  <c r="BF248" i="10"/>
  <c r="BF249" i="10"/>
  <c r="BF250" i="10"/>
  <c r="BF252" i="10"/>
  <c r="BF254" i="10"/>
  <c r="BF255" i="10"/>
  <c r="BF256" i="10"/>
  <c r="BF258" i="10"/>
  <c r="BF259" i="10"/>
  <c r="BF267" i="10"/>
  <c r="BF268" i="10"/>
  <c r="BF270" i="10"/>
  <c r="BF273" i="10"/>
  <c r="BF277" i="10"/>
  <c r="BF279" i="10"/>
  <c r="BF282" i="10"/>
  <c r="BF283" i="10"/>
  <c r="BF284" i="10"/>
  <c r="BF288" i="10"/>
  <c r="BF292" i="10"/>
  <c r="BF293" i="10"/>
  <c r="BF295" i="10"/>
  <c r="BF298" i="10"/>
  <c r="BF300" i="10"/>
  <c r="BF303" i="10"/>
  <c r="BF313" i="10"/>
  <c r="BF316" i="10"/>
  <c r="BF317" i="10"/>
  <c r="BF321" i="10"/>
  <c r="BF322" i="10"/>
  <c r="BF328" i="10"/>
  <c r="BF333" i="10"/>
  <c r="BF334" i="10"/>
  <c r="BF336" i="10"/>
  <c r="BF337" i="10"/>
  <c r="BF339" i="10"/>
  <c r="BF340" i="10"/>
  <c r="BF341" i="10"/>
  <c r="BF345" i="10"/>
  <c r="BF347" i="10"/>
  <c r="BF348" i="10"/>
  <c r="BF349" i="10"/>
  <c r="BF350" i="10"/>
  <c r="BF351" i="10"/>
  <c r="BF352" i="10"/>
  <c r="BF353" i="10"/>
  <c r="BF354" i="10"/>
  <c r="BF358" i="10"/>
  <c r="BF361" i="10"/>
  <c r="BF362" i="10"/>
  <c r="BF364" i="10"/>
  <c r="BF365" i="10"/>
  <c r="BF366" i="10"/>
  <c r="BF371" i="10"/>
  <c r="BF373" i="10"/>
  <c r="BF374" i="10"/>
  <c r="BF375" i="10"/>
  <c r="BF377" i="10"/>
  <c r="BF379" i="10"/>
  <c r="BF380" i="10"/>
  <c r="BF381" i="10"/>
  <c r="BF382" i="10"/>
  <c r="BF383" i="10"/>
  <c r="BF384" i="10"/>
  <c r="BF385" i="10"/>
  <c r="BF386" i="10"/>
  <c r="BF387" i="10"/>
  <c r="BF388" i="10"/>
  <c r="BF389" i="10"/>
  <c r="BF390" i="10"/>
  <c r="BF391" i="10"/>
  <c r="BF392" i="10"/>
  <c r="BF393" i="10"/>
  <c r="BF394" i="10"/>
  <c r="BF395" i="10"/>
  <c r="BF396" i="10"/>
  <c r="BF397" i="10"/>
  <c r="BF398" i="10"/>
  <c r="BF399" i="10"/>
  <c r="BF400" i="10"/>
  <c r="BF401" i="10"/>
  <c r="BF402" i="10"/>
  <c r="BF403" i="10"/>
  <c r="BF404" i="10"/>
  <c r="BF405" i="10"/>
  <c r="BF406" i="10"/>
  <c r="BF438" i="10"/>
  <c r="BF439" i="10"/>
  <c r="BF440" i="10"/>
  <c r="BF441" i="10"/>
  <c r="BF443" i="10"/>
  <c r="BF445" i="10"/>
  <c r="BF446" i="10"/>
  <c r="BF448" i="10"/>
  <c r="BF355" i="10"/>
  <c r="BF356" i="10"/>
  <c r="BF357" i="10"/>
  <c r="BF359" i="10"/>
  <c r="BF360" i="10"/>
  <c r="BF363" i="10"/>
  <c r="BF367" i="10"/>
  <c r="BF368" i="10"/>
  <c r="BF369" i="10"/>
  <c r="BF370" i="10"/>
  <c r="BF372" i="10"/>
  <c r="BF376" i="10"/>
  <c r="BF378" i="10"/>
  <c r="BF407" i="10"/>
  <c r="BF408" i="10"/>
  <c r="BF410" i="10"/>
  <c r="BF411" i="10"/>
  <c r="BF412" i="10"/>
  <c r="BF415" i="10"/>
  <c r="BF418" i="10"/>
  <c r="BF421" i="10"/>
  <c r="BF427" i="10"/>
  <c r="BF429" i="10"/>
  <c r="BF430" i="10"/>
  <c r="BF432" i="10"/>
  <c r="BF444" i="10"/>
  <c r="BF409" i="10"/>
  <c r="BF414" i="10"/>
  <c r="BF416" i="10"/>
  <c r="BF419" i="10"/>
  <c r="BF420" i="10"/>
  <c r="BF423" i="10"/>
  <c r="BF424" i="10"/>
  <c r="BF425" i="10"/>
  <c r="BF426" i="10"/>
  <c r="BF428" i="10"/>
  <c r="BF431" i="10"/>
  <c r="BF433" i="10"/>
  <c r="BF434" i="10"/>
  <c r="BF435" i="10"/>
  <c r="BF436" i="10"/>
  <c r="BF437" i="10"/>
  <c r="J93" i="9"/>
  <c r="J118" i="9"/>
  <c r="BF138" i="9"/>
  <c r="BF145" i="9"/>
  <c r="E112" i="9"/>
  <c r="F120" i="9"/>
  <c r="BF132" i="9"/>
  <c r="BF135" i="9"/>
  <c r="BF137" i="9"/>
  <c r="BF139" i="9"/>
  <c r="BF141" i="9"/>
  <c r="BF142" i="9"/>
  <c r="BF143" i="9"/>
  <c r="J121" i="9"/>
  <c r="BF127" i="9"/>
  <c r="BF134" i="9"/>
  <c r="BF146" i="9"/>
  <c r="BF147" i="9"/>
  <c r="BF149" i="9"/>
  <c r="BF150" i="9"/>
  <c r="F94" i="9"/>
  <c r="BF130" i="9"/>
  <c r="BF136" i="9"/>
  <c r="BF144" i="9"/>
  <c r="BF148" i="9"/>
  <c r="BF129" i="9"/>
  <c r="BF131" i="9"/>
  <c r="BF140" i="9"/>
  <c r="E85" i="8"/>
  <c r="J91" i="8"/>
  <c r="J93" i="8"/>
  <c r="J94" i="8"/>
  <c r="BF138" i="8"/>
  <c r="BF140" i="8"/>
  <c r="BF141" i="8"/>
  <c r="BF143" i="8"/>
  <c r="BF148" i="8"/>
  <c r="BF150" i="8"/>
  <c r="BF153" i="8"/>
  <c r="BF156" i="8"/>
  <c r="BF157" i="8"/>
  <c r="BF158" i="8"/>
  <c r="BF159" i="8"/>
  <c r="BF170" i="8"/>
  <c r="BF171" i="8"/>
  <c r="BF173" i="8"/>
  <c r="BF174" i="8"/>
  <c r="BF175" i="8"/>
  <c r="BF176" i="8"/>
  <c r="BF182" i="8"/>
  <c r="BF183" i="8"/>
  <c r="BF184" i="8"/>
  <c r="BF185" i="8"/>
  <c r="BF186" i="8"/>
  <c r="BF195" i="8"/>
  <c r="BF196" i="8"/>
  <c r="BF198" i="8"/>
  <c r="BF199" i="8"/>
  <c r="BF203" i="8"/>
  <c r="BF204" i="8"/>
  <c r="BF205" i="8"/>
  <c r="BF210" i="8"/>
  <c r="BF211" i="8"/>
  <c r="BF212" i="8"/>
  <c r="BF216" i="8"/>
  <c r="BF218" i="8"/>
  <c r="BF219" i="8"/>
  <c r="BF139" i="8"/>
  <c r="BF145" i="8"/>
  <c r="BF151" i="8"/>
  <c r="BF161" i="8"/>
  <c r="BF162" i="8"/>
  <c r="BF163" i="8"/>
  <c r="BF168" i="8"/>
  <c r="BF172" i="8"/>
  <c r="BF181" i="8"/>
  <c r="BF188" i="8"/>
  <c r="BF189" i="8"/>
  <c r="F93" i="8"/>
  <c r="F94" i="8"/>
  <c r="BF136" i="8"/>
  <c r="BF137" i="8"/>
  <c r="BF142" i="8"/>
  <c r="BF144" i="8"/>
  <c r="BF152" i="8"/>
  <c r="BF154" i="8"/>
  <c r="BF160" i="8"/>
  <c r="BF166" i="8"/>
  <c r="BF177" i="8"/>
  <c r="BF178" i="8"/>
  <c r="BF179" i="8"/>
  <c r="BF180" i="8"/>
  <c r="BF187" i="8"/>
  <c r="BF190" i="8"/>
  <c r="BF191" i="8"/>
  <c r="BF192" i="8"/>
  <c r="BF193" i="8"/>
  <c r="BF194" i="8"/>
  <c r="BF197" i="8"/>
  <c r="BF200" i="8"/>
  <c r="BF201" i="8"/>
  <c r="BF202" i="8"/>
  <c r="BF206" i="8"/>
  <c r="BF207" i="8"/>
  <c r="BF208" i="8"/>
  <c r="BF209" i="8"/>
  <c r="BF214" i="8"/>
  <c r="BF215" i="8"/>
  <c r="BF217" i="8"/>
  <c r="BF220" i="8"/>
  <c r="BF222" i="8"/>
  <c r="BF223" i="8"/>
  <c r="BF225" i="8"/>
  <c r="BF226" i="8"/>
  <c r="BF227" i="8"/>
  <c r="BF228" i="8"/>
  <c r="BF229" i="8"/>
  <c r="BF230" i="8"/>
  <c r="BF231" i="8"/>
  <c r="BF232" i="8"/>
  <c r="BF233" i="8"/>
  <c r="F93" i="7"/>
  <c r="J131" i="7"/>
  <c r="BF138" i="7"/>
  <c r="BF142" i="7"/>
  <c r="BF153" i="7"/>
  <c r="BF157" i="7"/>
  <c r="BF190" i="7"/>
  <c r="J91" i="7"/>
  <c r="E122" i="7"/>
  <c r="BF159" i="7"/>
  <c r="BF162" i="7"/>
  <c r="BF165" i="7"/>
  <c r="BF171" i="7"/>
  <c r="BF181" i="7"/>
  <c r="BF185" i="7"/>
  <c r="BF198" i="7"/>
  <c r="BF201" i="7"/>
  <c r="BF208" i="7"/>
  <c r="BF212" i="7"/>
  <c r="J93" i="7"/>
  <c r="F131" i="7"/>
  <c r="BF150" i="7"/>
  <c r="BF167" i="7"/>
  <c r="BF173" i="7"/>
  <c r="BF182" i="7"/>
  <c r="BF186" i="7"/>
  <c r="BF187" i="7"/>
  <c r="BF188" i="7"/>
  <c r="BF200" i="7"/>
  <c r="BF202" i="7"/>
  <c r="BF213" i="7"/>
  <c r="BF218" i="7"/>
  <c r="BF223" i="7"/>
  <c r="BF228" i="7"/>
  <c r="BF229" i="7"/>
  <c r="BF143" i="7"/>
  <c r="BF144" i="7"/>
  <c r="BF178" i="7"/>
  <c r="BF180" i="7"/>
  <c r="BF183" i="7"/>
  <c r="BF207" i="7"/>
  <c r="BF209" i="7"/>
  <c r="BF221" i="7"/>
  <c r="BF224" i="7"/>
  <c r="BF225" i="7"/>
  <c r="BF226" i="7"/>
  <c r="BF227" i="7"/>
  <c r="BF141" i="7"/>
  <c r="BF146" i="7"/>
  <c r="BF147" i="7"/>
  <c r="BF155" i="7"/>
  <c r="BF156" i="7"/>
  <c r="BF158" i="7"/>
  <c r="BF161" i="7"/>
  <c r="BF166" i="7"/>
  <c r="BF168" i="7"/>
  <c r="BF176" i="7"/>
  <c r="BF177" i="7"/>
  <c r="BF189" i="7"/>
  <c r="BF191" i="7"/>
  <c r="BF194" i="7"/>
  <c r="BF195" i="7"/>
  <c r="BF196" i="7"/>
  <c r="BF197" i="7"/>
  <c r="BF199" i="7"/>
  <c r="BF204" i="7"/>
  <c r="BF215" i="7"/>
  <c r="BF219" i="7"/>
  <c r="BF220" i="7"/>
  <c r="BF232" i="7"/>
  <c r="BF235" i="7"/>
  <c r="BF237" i="7"/>
  <c r="BF238" i="7"/>
  <c r="BF240" i="7"/>
  <c r="BF241" i="7"/>
  <c r="BF137" i="7"/>
  <c r="BF139" i="7"/>
  <c r="BF140" i="7"/>
  <c r="BF152" i="7"/>
  <c r="BF163" i="7"/>
  <c r="BF175" i="7"/>
  <c r="BF184" i="7"/>
  <c r="BF203" i="7"/>
  <c r="BF205" i="7"/>
  <c r="BF206" i="7"/>
  <c r="BF210" i="7"/>
  <c r="BF211" i="7"/>
  <c r="BF214" i="7"/>
  <c r="BF216" i="7"/>
  <c r="BF217" i="7"/>
  <c r="BF234" i="7"/>
  <c r="BF236" i="7"/>
  <c r="BF239" i="7"/>
  <c r="BF154" i="7"/>
  <c r="BF164" i="7"/>
  <c r="BF179" i="7"/>
  <c r="BF192" i="7"/>
  <c r="BF193" i="7"/>
  <c r="BF231" i="7"/>
  <c r="BF242" i="7"/>
  <c r="F94" i="6"/>
  <c r="BF139" i="6"/>
  <c r="BF141" i="6"/>
  <c r="BF142" i="6"/>
  <c r="BF152" i="6"/>
  <c r="BF161" i="6"/>
  <c r="BF191" i="6"/>
  <c r="BF194" i="6"/>
  <c r="BF196" i="6"/>
  <c r="J130" i="6"/>
  <c r="BF140" i="6"/>
  <c r="BF150" i="6"/>
  <c r="BF154" i="6"/>
  <c r="BF160" i="6"/>
  <c r="BF179" i="6"/>
  <c r="BF184" i="6"/>
  <c r="J94" i="6"/>
  <c r="E122" i="6"/>
  <c r="BF157" i="6"/>
  <c r="BF170" i="6"/>
  <c r="BF174" i="6"/>
  <c r="BF175" i="6"/>
  <c r="BF178" i="6"/>
  <c r="BF185" i="6"/>
  <c r="BF195" i="6"/>
  <c r="BF205" i="6"/>
  <c r="BF210" i="6"/>
  <c r="BF216" i="6"/>
  <c r="BF218" i="6"/>
  <c r="BF219" i="6"/>
  <c r="F130" i="6"/>
  <c r="BF166" i="6"/>
  <c r="BF171" i="6"/>
  <c r="BF201" i="6"/>
  <c r="BF203" i="6"/>
  <c r="BF208" i="6"/>
  <c r="BF213" i="6"/>
  <c r="BF214" i="6"/>
  <c r="BF225" i="6"/>
  <c r="BF226" i="6"/>
  <c r="BF231" i="6"/>
  <c r="J91" i="6"/>
  <c r="BF145" i="6"/>
  <c r="BF153" i="6"/>
  <c r="BF162" i="6"/>
  <c r="BF172" i="6"/>
  <c r="BF177" i="6"/>
  <c r="BF180" i="6"/>
  <c r="BF182" i="6"/>
  <c r="BF183" i="6"/>
  <c r="BF192" i="6"/>
  <c r="BF198" i="6"/>
  <c r="BF221" i="6"/>
  <c r="BF222" i="6"/>
  <c r="BF228" i="6"/>
  <c r="BF229" i="6"/>
  <c r="BF230" i="6"/>
  <c r="BF232" i="6"/>
  <c r="BF138" i="6"/>
  <c r="BF144" i="6"/>
  <c r="BF168" i="6"/>
  <c r="BF173" i="6"/>
  <c r="BF186" i="6"/>
  <c r="BF187" i="6"/>
  <c r="BF188" i="6"/>
  <c r="BF189" i="6"/>
  <c r="BF193" i="6"/>
  <c r="BF197" i="6"/>
  <c r="BF199" i="6"/>
  <c r="BF200" i="6"/>
  <c r="BF202" i="6"/>
  <c r="BF204" i="6"/>
  <c r="BF206" i="6"/>
  <c r="BF207" i="6"/>
  <c r="BF209" i="6"/>
  <c r="BF211" i="6"/>
  <c r="BF215" i="6"/>
  <c r="BF217" i="6"/>
  <c r="BF224" i="6"/>
  <c r="BF137" i="6"/>
  <c r="BF148" i="6"/>
  <c r="BF151" i="6"/>
  <c r="BF156" i="6"/>
  <c r="BF158" i="6"/>
  <c r="BF159" i="6"/>
  <c r="BF163" i="6"/>
  <c r="BF176" i="6"/>
  <c r="BF181" i="6"/>
  <c r="BF190" i="6"/>
  <c r="BF227" i="6"/>
  <c r="F94" i="5"/>
  <c r="BF161" i="5"/>
  <c r="BF162" i="5"/>
  <c r="BF163" i="5"/>
  <c r="BF166" i="5"/>
  <c r="BF167" i="5"/>
  <c r="BF168" i="5"/>
  <c r="BF169" i="5"/>
  <c r="BF175" i="5"/>
  <c r="BF176" i="5"/>
  <c r="BF179" i="5"/>
  <c r="BF180" i="5"/>
  <c r="BF182" i="5"/>
  <c r="BF186" i="5"/>
  <c r="BF192" i="5"/>
  <c r="BF193" i="5"/>
  <c r="BF200" i="5"/>
  <c r="BF201" i="5"/>
  <c r="BF203" i="5"/>
  <c r="BF204" i="5"/>
  <c r="BF211" i="5"/>
  <c r="BF215" i="5"/>
  <c r="BF227" i="5"/>
  <c r="BF229" i="5"/>
  <c r="BF234" i="5"/>
  <c r="BF237" i="5"/>
  <c r="BF246" i="5"/>
  <c r="BF252" i="5"/>
  <c r="BF253" i="5"/>
  <c r="BF257" i="5"/>
  <c r="BF258" i="5"/>
  <c r="BF263" i="5"/>
  <c r="BF328" i="5"/>
  <c r="BF332" i="5"/>
  <c r="BF335" i="5"/>
  <c r="BF338" i="5"/>
  <c r="BF339" i="5"/>
  <c r="BF348" i="5"/>
  <c r="BF359" i="5"/>
  <c r="BF360" i="5"/>
  <c r="BF363" i="5"/>
  <c r="BF364" i="5"/>
  <c r="E85" i="5"/>
  <c r="J139" i="5"/>
  <c r="BF148" i="5"/>
  <c r="BF149" i="5"/>
  <c r="BF153" i="5"/>
  <c r="BF156" i="5"/>
  <c r="BF157" i="5"/>
  <c r="BF276" i="5"/>
  <c r="BF301" i="5"/>
  <c r="BF303" i="5"/>
  <c r="BF305" i="5"/>
  <c r="BF307" i="5"/>
  <c r="BF308" i="5"/>
  <c r="BF329" i="5"/>
  <c r="BF331" i="5"/>
  <c r="BF340" i="5"/>
  <c r="BF345" i="5"/>
  <c r="BF347" i="5"/>
  <c r="BF351" i="5"/>
  <c r="BF353" i="5"/>
  <c r="BF354" i="5"/>
  <c r="BF358" i="5"/>
  <c r="BF361" i="5"/>
  <c r="BF362" i="5"/>
  <c r="F93" i="5"/>
  <c r="J138" i="5"/>
  <c r="BF146" i="5"/>
  <c r="BF147" i="5"/>
  <c r="BF150" i="5"/>
  <c r="BF164" i="5"/>
  <c r="BF165" i="5"/>
  <c r="BF173" i="5"/>
  <c r="BF177" i="5"/>
  <c r="BF181" i="5"/>
  <c r="BF190" i="5"/>
  <c r="BF191" i="5"/>
  <c r="BF195" i="5"/>
  <c r="BF197" i="5"/>
  <c r="BF202" i="5"/>
  <c r="BF244" i="5"/>
  <c r="BF245" i="5"/>
  <c r="BF251" i="5"/>
  <c r="BF254" i="5"/>
  <c r="BF255" i="5"/>
  <c r="BF256" i="5"/>
  <c r="BF262" i="5"/>
  <c r="BF265" i="5"/>
  <c r="BF266" i="5"/>
  <c r="BF267" i="5"/>
  <c r="BF268" i="5"/>
  <c r="BF270" i="5"/>
  <c r="BF271" i="5"/>
  <c r="BF273" i="5"/>
  <c r="BF274" i="5"/>
  <c r="BF275" i="5"/>
  <c r="BF280" i="5"/>
  <c r="BF281" i="5"/>
  <c r="BF282" i="5"/>
  <c r="BF287" i="5"/>
  <c r="BF292" i="5"/>
  <c r="BF300" i="5"/>
  <c r="BF304" i="5"/>
  <c r="BF318" i="5"/>
  <c r="BF344" i="5"/>
  <c r="J91" i="5"/>
  <c r="BF158" i="5"/>
  <c r="BF171" i="5"/>
  <c r="BF183" i="5"/>
  <c r="BF184" i="5"/>
  <c r="BF187" i="5"/>
  <c r="BF194" i="5"/>
  <c r="BF196" i="5"/>
  <c r="BF205" i="5"/>
  <c r="BF207" i="5"/>
  <c r="BF208" i="5"/>
  <c r="BF214" i="5"/>
  <c r="BF218" i="5"/>
  <c r="BF235" i="5"/>
  <c r="BF236" i="5"/>
  <c r="BF239" i="5"/>
  <c r="BF279" i="5"/>
  <c r="BF290" i="5"/>
  <c r="BF297" i="5"/>
  <c r="BF298" i="5"/>
  <c r="BF306" i="5"/>
  <c r="BF349" i="5"/>
  <c r="BF355" i="5"/>
  <c r="BF145" i="5"/>
  <c r="BF206" i="5"/>
  <c r="BF209" i="5"/>
  <c r="BF212" i="5"/>
  <c r="BF213" i="5"/>
  <c r="BF216" i="5"/>
  <c r="BF217" i="5"/>
  <c r="BF226" i="5"/>
  <c r="BF228" i="5"/>
  <c r="BF230" i="5"/>
  <c r="BF232" i="5"/>
  <c r="BF238" i="5"/>
  <c r="BF277" i="5"/>
  <c r="BF278" i="5"/>
  <c r="BF284" i="5"/>
  <c r="BF285" i="5"/>
  <c r="BF286" i="5"/>
  <c r="BF289" i="5"/>
  <c r="BF294" i="5"/>
  <c r="BF299" i="5"/>
  <c r="BF313" i="5"/>
  <c r="BF322" i="5"/>
  <c r="BF324" i="5"/>
  <c r="BF325" i="5"/>
  <c r="BF343" i="5"/>
  <c r="BF356" i="5"/>
  <c r="BF357" i="5"/>
  <c r="BF365" i="5"/>
  <c r="BF291" i="5"/>
  <c r="BF295" i="5"/>
  <c r="BF296" i="5"/>
  <c r="BF312" i="5"/>
  <c r="BF314" i="5"/>
  <c r="BF315" i="5"/>
  <c r="BF316" i="5"/>
  <c r="BF317" i="5"/>
  <c r="BF330" i="5"/>
  <c r="BF333" i="5"/>
  <c r="BF342" i="5"/>
  <c r="BF155" i="5"/>
  <c r="BF160" i="5"/>
  <c r="BF170" i="5"/>
  <c r="BF172" i="5"/>
  <c r="BF185" i="5"/>
  <c r="BF188" i="5"/>
  <c r="BF189" i="5"/>
  <c r="BF219" i="5"/>
  <c r="BF222" i="5"/>
  <c r="BF224" i="5"/>
  <c r="BF231" i="5"/>
  <c r="BF233" i="5"/>
  <c r="BF240" i="5"/>
  <c r="BF241" i="5"/>
  <c r="BF242" i="5"/>
  <c r="BF243" i="5"/>
  <c r="BF247" i="5"/>
  <c r="BF248" i="5"/>
  <c r="BF249" i="5"/>
  <c r="BF250" i="5"/>
  <c r="BF259" i="5"/>
  <c r="BF260" i="5"/>
  <c r="BF261" i="5"/>
  <c r="BF264" i="5"/>
  <c r="BF269" i="5"/>
  <c r="BF272" i="5"/>
  <c r="BF283" i="5"/>
  <c r="BF288" i="5"/>
  <c r="BF293" i="5"/>
  <c r="BF309" i="5"/>
  <c r="BF311" i="5"/>
  <c r="BF319" i="5"/>
  <c r="BF321" i="5"/>
  <c r="BF323" i="5"/>
  <c r="BF326" i="5"/>
  <c r="BF327" i="5"/>
  <c r="BF334" i="5"/>
  <c r="BF337" i="5"/>
  <c r="BF350" i="5"/>
  <c r="J93" i="4"/>
  <c r="BF148" i="4"/>
  <c r="F94" i="4"/>
  <c r="J119" i="4"/>
  <c r="J122" i="4"/>
  <c r="BF133" i="4"/>
  <c r="BF135" i="4"/>
  <c r="BF152" i="4"/>
  <c r="BF155" i="4"/>
  <c r="E85" i="4"/>
  <c r="F93" i="4"/>
  <c r="BF129" i="4"/>
  <c r="BF130" i="4"/>
  <c r="BF137" i="4"/>
  <c r="BF141" i="4"/>
  <c r="BF132" i="4"/>
  <c r="BF143" i="4"/>
  <c r="BF147" i="4"/>
  <c r="BF128" i="4"/>
  <c r="BF131" i="4"/>
  <c r="BF134" i="4"/>
  <c r="BF136" i="4"/>
  <c r="BF138" i="4"/>
  <c r="BF139" i="4"/>
  <c r="BF140" i="4"/>
  <c r="BF142" i="4"/>
  <c r="BF144" i="4"/>
  <c r="BF146" i="4"/>
  <c r="BF149" i="4"/>
  <c r="BF151" i="4"/>
  <c r="BF153" i="4"/>
  <c r="J91" i="3"/>
  <c r="J94" i="3"/>
  <c r="J126" i="3"/>
  <c r="BF133" i="3"/>
  <c r="BF134" i="3"/>
  <c r="BF137" i="3"/>
  <c r="BF138" i="3"/>
  <c r="BF140" i="3"/>
  <c r="BF146" i="3"/>
  <c r="BF147" i="3"/>
  <c r="BF162" i="3"/>
  <c r="BF166" i="3"/>
  <c r="BF176" i="3"/>
  <c r="BF177" i="3"/>
  <c r="BF179" i="3"/>
  <c r="BF186" i="3"/>
  <c r="BF191" i="3"/>
  <c r="BF195" i="3"/>
  <c r="BF197" i="3"/>
  <c r="BF199" i="3"/>
  <c r="BF202" i="3"/>
  <c r="BF207" i="3"/>
  <c r="BF215" i="3"/>
  <c r="BF216" i="3"/>
  <c r="BF224" i="3"/>
  <c r="BF225" i="3"/>
  <c r="BF242" i="3"/>
  <c r="BF243" i="3"/>
  <c r="BF248" i="3"/>
  <c r="BF250" i="3"/>
  <c r="BF253" i="3"/>
  <c r="BF254" i="3"/>
  <c r="BF261" i="3"/>
  <c r="BF262" i="3"/>
  <c r="BF271" i="3"/>
  <c r="BF280" i="3"/>
  <c r="BF282" i="3"/>
  <c r="BF180" i="3"/>
  <c r="BF203" i="3"/>
  <c r="BF206" i="3"/>
  <c r="BF210" i="3"/>
  <c r="BF214" i="3"/>
  <c r="BF252" i="3"/>
  <c r="BF270" i="3"/>
  <c r="BF273" i="3"/>
  <c r="BF142" i="3"/>
  <c r="BF148" i="3"/>
  <c r="BF150" i="3"/>
  <c r="BF151" i="3"/>
  <c r="BF154" i="3"/>
  <c r="BF164" i="3"/>
  <c r="BF172" i="3"/>
  <c r="BF184" i="3"/>
  <c r="BF188" i="3"/>
  <c r="BF221" i="3"/>
  <c r="BF227" i="3"/>
  <c r="BF232" i="3"/>
  <c r="BF272" i="3"/>
  <c r="BF276" i="3"/>
  <c r="BF277" i="3"/>
  <c r="BF278" i="3"/>
  <c r="BF139" i="3"/>
  <c r="BF149" i="3"/>
  <c r="BF163" i="3"/>
  <c r="BF178" i="3"/>
  <c r="BF181" i="3"/>
  <c r="BF183" i="3"/>
  <c r="BF208" i="3"/>
  <c r="BF220" i="3"/>
  <c r="BF229" i="3"/>
  <c r="BF239" i="3"/>
  <c r="BF240" i="3"/>
  <c r="BF246" i="3"/>
  <c r="BF249" i="3"/>
  <c r="BF251" i="3"/>
  <c r="BF265" i="3"/>
  <c r="BF268" i="3"/>
  <c r="F94" i="3"/>
  <c r="BF152" i="3"/>
  <c r="BF153" i="3"/>
  <c r="BF161" i="3"/>
  <c r="BF171" i="3"/>
  <c r="BF175" i="3"/>
  <c r="BF217" i="3"/>
  <c r="BF222" i="3"/>
  <c r="BF226" i="3"/>
  <c r="BF235" i="3"/>
  <c r="BF237" i="3"/>
  <c r="BF257" i="3"/>
  <c r="BF267" i="3"/>
  <c r="BF269" i="3"/>
  <c r="E118" i="3"/>
  <c r="BF136" i="3"/>
  <c r="BF141" i="3"/>
  <c r="BF144" i="3"/>
  <c r="BF168" i="3"/>
  <c r="BF170" i="3"/>
  <c r="BF174" i="3"/>
  <c r="BF187" i="3"/>
  <c r="BF193" i="3"/>
  <c r="BF201" i="3"/>
  <c r="BF205" i="3"/>
  <c r="BF209" i="3"/>
  <c r="BF218" i="3"/>
  <c r="BF234" i="3"/>
  <c r="BF244" i="3"/>
  <c r="BF263" i="3"/>
  <c r="BF266" i="3"/>
  <c r="BF274" i="3"/>
  <c r="BF279" i="3"/>
  <c r="BF223" i="3"/>
  <c r="BF228" i="3"/>
  <c r="BF230" i="3"/>
  <c r="BF231" i="3"/>
  <c r="BF233" i="3"/>
  <c r="BF236" i="3"/>
  <c r="BF256" i="3"/>
  <c r="BF258" i="3"/>
  <c r="BF259" i="3"/>
  <c r="BF284" i="3"/>
  <c r="F93" i="3"/>
  <c r="BF135" i="3"/>
  <c r="BF155" i="3"/>
  <c r="BF156" i="3"/>
  <c r="BF159" i="3"/>
  <c r="BF160" i="3"/>
  <c r="BF165" i="3"/>
  <c r="BF167" i="3"/>
  <c r="BF169" i="3"/>
  <c r="BF182" i="3"/>
  <c r="BF185" i="3"/>
  <c r="BF189" i="3"/>
  <c r="BF190" i="3"/>
  <c r="BF192" i="3"/>
  <c r="BF194" i="3"/>
  <c r="BF196" i="3"/>
  <c r="BF198" i="3"/>
  <c r="BF200" i="3"/>
  <c r="BF211" i="3"/>
  <c r="BF212" i="3"/>
  <c r="BF213" i="3"/>
  <c r="BF219" i="3"/>
  <c r="BF238" i="3"/>
  <c r="BF241" i="3"/>
  <c r="BF245" i="3"/>
  <c r="BF247" i="3"/>
  <c r="BF260" i="3"/>
  <c r="BF264" i="3"/>
  <c r="BF275" i="3"/>
  <c r="BF281" i="3"/>
  <c r="BF283" i="3"/>
  <c r="BF285" i="3"/>
  <c r="BF286" i="3"/>
  <c r="BF287" i="3"/>
  <c r="BF288" i="3"/>
  <c r="BF290" i="3"/>
  <c r="BF291" i="3"/>
  <c r="BF292" i="3"/>
  <c r="BF293" i="3"/>
  <c r="E85" i="2"/>
  <c r="J91" i="2"/>
  <c r="F93" i="2"/>
  <c r="J93" i="2"/>
  <c r="F94" i="2"/>
  <c r="J94" i="2"/>
  <c r="BF149" i="2"/>
  <c r="BF153" i="2"/>
  <c r="BF156" i="2"/>
  <c r="BF160" i="2"/>
  <c r="BF163" i="2"/>
  <c r="BF166" i="2"/>
  <c r="BF170" i="2"/>
  <c r="BF177" i="2"/>
  <c r="BF181" i="2"/>
  <c r="BF184" i="2"/>
  <c r="BF187" i="2"/>
  <c r="BF190" i="2"/>
  <c r="BF193" i="2"/>
  <c r="BF196" i="2"/>
  <c r="BF199" i="2"/>
  <c r="BF202" i="2"/>
  <c r="BF206" i="2"/>
  <c r="BF213" i="2"/>
  <c r="BF216" i="2"/>
  <c r="BF219" i="2"/>
  <c r="BF220" i="2"/>
  <c r="BF224" i="2"/>
  <c r="BF227" i="2"/>
  <c r="BF230" i="2"/>
  <c r="BF233" i="2"/>
  <c r="BF237" i="2"/>
  <c r="BF240" i="2"/>
  <c r="BF244" i="2"/>
  <c r="BF248" i="2"/>
  <c r="BF251" i="2"/>
  <c r="BF255" i="2"/>
  <c r="BF258" i="2"/>
  <c r="BF261" i="2"/>
  <c r="BF264" i="2"/>
  <c r="BF269" i="2"/>
  <c r="BF273" i="2"/>
  <c r="BF276" i="2"/>
  <c r="BF279" i="2"/>
  <c r="BF286" i="2"/>
  <c r="BF289" i="2"/>
  <c r="BF293" i="2"/>
  <c r="BF296" i="2"/>
  <c r="BF299" i="2"/>
  <c r="BF304" i="2"/>
  <c r="BF307" i="2"/>
  <c r="BF310" i="2"/>
  <c r="BF313" i="2"/>
  <c r="BF318" i="2"/>
  <c r="BF319" i="2"/>
  <c r="BF324" i="2"/>
  <c r="BF328" i="2"/>
  <c r="BF332" i="2"/>
  <c r="BF338" i="2"/>
  <c r="BF339" i="2"/>
  <c r="BF340" i="2"/>
  <c r="BF341" i="2"/>
  <c r="BF343" i="2"/>
  <c r="BF346" i="2"/>
  <c r="BF349" i="2"/>
  <c r="BF352" i="2"/>
  <c r="BF355" i="2"/>
  <c r="BF358" i="2"/>
  <c r="BF370" i="2"/>
  <c r="BF375" i="2"/>
  <c r="BF378" i="2"/>
  <c r="BF384" i="2"/>
  <c r="BF390" i="2"/>
  <c r="BF393" i="2"/>
  <c r="BF398" i="2"/>
  <c r="BF402" i="2"/>
  <c r="BF409" i="2"/>
  <c r="BF413" i="2"/>
  <c r="BF416" i="2"/>
  <c r="BF423" i="2"/>
  <c r="BF426" i="2"/>
  <c r="BF430" i="2"/>
  <c r="BF434" i="2"/>
  <c r="BF442" i="2"/>
  <c r="BF460" i="2"/>
  <c r="BF469" i="2"/>
  <c r="BF473" i="2"/>
  <c r="BF476" i="2"/>
  <c r="BF479" i="2"/>
  <c r="BF482" i="2"/>
  <c r="BF485" i="2"/>
  <c r="BF488" i="2"/>
  <c r="BF491" i="2"/>
  <c r="BF494" i="2"/>
  <c r="BF498" i="2"/>
  <c r="BF501" i="2"/>
  <c r="BF502" i="2"/>
  <c r="BF503" i="2"/>
  <c r="BF504" i="2"/>
  <c r="BF505" i="2"/>
  <c r="BF506" i="2"/>
  <c r="BF507" i="2"/>
  <c r="BF508" i="2"/>
  <c r="BF510" i="2"/>
  <c r="BF513" i="2"/>
  <c r="BF517" i="2"/>
  <c r="BF520" i="2"/>
  <c r="BF523" i="2"/>
  <c r="BF526" i="2"/>
  <c r="BF535" i="2"/>
  <c r="BF538" i="2"/>
  <c r="BF540" i="2"/>
  <c r="BF543" i="2"/>
  <c r="BF548" i="2"/>
  <c r="BF556" i="2"/>
  <c r="BF562" i="2"/>
  <c r="BF566" i="2"/>
  <c r="BF570" i="2"/>
  <c r="BF575" i="2"/>
  <c r="BF580" i="2"/>
  <c r="BF582" i="2"/>
  <c r="BF585" i="2"/>
  <c r="BF588" i="2"/>
  <c r="BF592" i="2"/>
  <c r="BF596" i="2"/>
  <c r="BF598" i="2"/>
  <c r="BF602" i="2"/>
  <c r="BF605" i="2"/>
  <c r="BF608" i="2"/>
  <c r="BF611" i="2"/>
  <c r="BF615" i="2"/>
  <c r="BF620" i="2"/>
  <c r="BF624" i="2"/>
  <c r="BF630" i="2"/>
  <c r="BF634" i="2"/>
  <c r="BF642" i="2"/>
  <c r="BF646" i="2"/>
  <c r="BF648" i="2"/>
  <c r="BF654" i="2"/>
  <c r="BF655" i="2"/>
  <c r="BF656" i="2"/>
  <c r="BF657" i="2"/>
  <c r="BF658" i="2"/>
  <c r="BF662" i="2"/>
  <c r="BF663" i="2"/>
  <c r="BF664" i="2"/>
  <c r="BF666" i="2"/>
  <c r="BF672" i="2"/>
  <c r="BF677" i="2"/>
  <c r="BF682" i="2"/>
  <c r="BF685" i="2"/>
  <c r="BF697" i="2"/>
  <c r="BF698" i="2"/>
  <c r="BF699" i="2"/>
  <c r="BF700" i="2"/>
  <c r="BF701" i="2"/>
  <c r="BF702" i="2"/>
  <c r="BF703" i="2"/>
  <c r="BF704" i="2"/>
  <c r="BF705" i="2"/>
  <c r="BF706" i="2"/>
  <c r="BF707" i="2"/>
  <c r="BF708" i="2"/>
  <c r="BF709" i="2"/>
  <c r="BF714" i="2"/>
  <c r="BF718" i="2"/>
  <c r="BF723" i="2"/>
  <c r="BF724" i="2"/>
  <c r="BF725" i="2"/>
  <c r="BF726" i="2"/>
  <c r="BF731" i="2"/>
  <c r="BF732" i="2"/>
  <c r="BF733" i="2"/>
  <c r="BF734" i="2"/>
  <c r="BF737" i="2"/>
  <c r="BF738" i="2"/>
  <c r="BF742" i="2"/>
  <c r="BF743" i="2"/>
  <c r="BF744" i="2"/>
  <c r="BF747" i="2"/>
  <c r="BF748" i="2"/>
  <c r="BF751" i="2"/>
  <c r="BF754" i="2"/>
  <c r="BF761" i="2"/>
  <c r="BF767" i="2"/>
  <c r="BF770" i="2"/>
  <c r="BF774" i="2"/>
  <c r="BF783" i="2"/>
  <c r="BF786" i="2"/>
  <c r="BF793" i="2"/>
  <c r="BF799" i="2"/>
  <c r="BF801" i="2"/>
  <c r="BF804" i="2"/>
  <c r="BF808" i="2"/>
  <c r="BF811" i="2"/>
  <c r="BF814" i="2"/>
  <c r="BF817" i="2"/>
  <c r="BF819" i="2"/>
  <c r="BF822" i="2"/>
  <c r="BF825" i="2"/>
  <c r="BF827" i="2"/>
  <c r="BF833" i="2"/>
  <c r="BF839" i="2"/>
  <c r="BF857" i="2"/>
  <c r="BF876" i="2"/>
  <c r="BF883" i="2"/>
  <c r="BF890" i="2"/>
  <c r="BF894" i="2"/>
  <c r="BF901" i="2"/>
  <c r="BF906" i="2"/>
  <c r="BF907" i="2"/>
  <c r="F38" i="3"/>
  <c r="BC97" i="1" s="1"/>
  <c r="F35" i="5"/>
  <c r="AZ99" i="1"/>
  <c r="F35" i="6"/>
  <c r="AZ100" i="1" s="1"/>
  <c r="F35" i="7"/>
  <c r="AZ101" i="1" s="1"/>
  <c r="F37" i="10"/>
  <c r="BB104" i="1" s="1"/>
  <c r="F35" i="3"/>
  <c r="AZ97" i="1" s="1"/>
  <c r="F38" i="4"/>
  <c r="BC98" i="1" s="1"/>
  <c r="F39" i="4"/>
  <c r="BD98" i="1"/>
  <c r="F38" i="5"/>
  <c r="BC99" i="1" s="1"/>
  <c r="J35" i="6"/>
  <c r="AV100" i="1" s="1"/>
  <c r="F39" i="7"/>
  <c r="BD101" i="1" s="1"/>
  <c r="F38" i="10"/>
  <c r="BC104" i="1"/>
  <c r="F39" i="5"/>
  <c r="BD99" i="1" s="1"/>
  <c r="F35" i="8"/>
  <c r="AZ102" i="1"/>
  <c r="J35" i="8"/>
  <c r="AV102" i="1" s="1"/>
  <c r="F37" i="8"/>
  <c r="BB102" i="1" s="1"/>
  <c r="F38" i="8"/>
  <c r="BC102" i="1" s="1"/>
  <c r="F39" i="8"/>
  <c r="BD102" i="1"/>
  <c r="F37" i="9"/>
  <c r="BB103" i="1" s="1"/>
  <c r="F35" i="9"/>
  <c r="AZ103" i="1"/>
  <c r="F38" i="9"/>
  <c r="BC103" i="1" s="1"/>
  <c r="J35" i="9"/>
  <c r="AV103" i="1" s="1"/>
  <c r="F39" i="9"/>
  <c r="BD103" i="1" s="1"/>
  <c r="F35" i="10"/>
  <c r="AZ104" i="1" s="1"/>
  <c r="F37" i="3"/>
  <c r="BB97" i="1" s="1"/>
  <c r="J35" i="4"/>
  <c r="AV98" i="1"/>
  <c r="J35" i="5"/>
  <c r="AV99" i="1" s="1"/>
  <c r="F38" i="7"/>
  <c r="BC101" i="1" s="1"/>
  <c r="F39" i="10"/>
  <c r="BD104" i="1" s="1"/>
  <c r="F39" i="3"/>
  <c r="BD97" i="1"/>
  <c r="F37" i="6"/>
  <c r="BB100" i="1" s="1"/>
  <c r="F39" i="6"/>
  <c r="BD100" i="1"/>
  <c r="F37" i="7"/>
  <c r="BB101" i="1" s="1"/>
  <c r="J35" i="11"/>
  <c r="AV106" i="1" s="1"/>
  <c r="F39" i="11"/>
  <c r="BD106" i="1" s="1"/>
  <c r="F38" i="11"/>
  <c r="BC106" i="1" s="1"/>
  <c r="F37" i="11"/>
  <c r="BB106" i="1" s="1"/>
  <c r="F35" i="11"/>
  <c r="AZ106" i="1" s="1"/>
  <c r="F39" i="12"/>
  <c r="BD107" i="1"/>
  <c r="F37" i="12"/>
  <c r="BB107" i="1" s="1"/>
  <c r="J35" i="12"/>
  <c r="AV107" i="1" s="1"/>
  <c r="F35" i="12"/>
  <c r="AZ107" i="1"/>
  <c r="F38" i="12"/>
  <c r="BC107" i="1" s="1"/>
  <c r="F35" i="13"/>
  <c r="AZ108" i="1" s="1"/>
  <c r="F37" i="13"/>
  <c r="BB108" i="1" s="1"/>
  <c r="F38" i="13"/>
  <c r="BC108" i="1" s="1"/>
  <c r="J35" i="13"/>
  <c r="AV108" i="1" s="1"/>
  <c r="F39" i="13"/>
  <c r="BD108" i="1"/>
  <c r="J35" i="14"/>
  <c r="AV109" i="1" s="1"/>
  <c r="F38" i="14"/>
  <c r="BC109" i="1" s="1"/>
  <c r="F39" i="14"/>
  <c r="BD109" i="1" s="1"/>
  <c r="F35" i="14"/>
  <c r="AZ109" i="1" s="1"/>
  <c r="F37" i="14"/>
  <c r="BB109" i="1" s="1"/>
  <c r="F35" i="15"/>
  <c r="AZ110" i="1" s="1"/>
  <c r="F37" i="15"/>
  <c r="BB110" i="1" s="1"/>
  <c r="F39" i="15"/>
  <c r="BD110" i="1" s="1"/>
  <c r="F38" i="15"/>
  <c r="BC110" i="1" s="1"/>
  <c r="J35" i="15"/>
  <c r="AV110" i="1" s="1"/>
  <c r="J35" i="16"/>
  <c r="AV111" i="1" s="1"/>
  <c r="F39" i="16"/>
  <c r="BD111" i="1" s="1"/>
  <c r="F38" i="16"/>
  <c r="BC111" i="1" s="1"/>
  <c r="F35" i="16"/>
  <c r="AZ111" i="1" s="1"/>
  <c r="F37" i="16"/>
  <c r="BB111" i="1" s="1"/>
  <c r="AS94" i="1"/>
  <c r="J35" i="3"/>
  <c r="AV97" i="1" s="1"/>
  <c r="F37" i="4"/>
  <c r="BB98" i="1" s="1"/>
  <c r="F35" i="4"/>
  <c r="AZ98" i="1" s="1"/>
  <c r="F37" i="5"/>
  <c r="BB99" i="1"/>
  <c r="F38" i="6"/>
  <c r="BC100" i="1" s="1"/>
  <c r="J35" i="7"/>
  <c r="AV101" i="1" s="1"/>
  <c r="J35" i="10"/>
  <c r="AV104" i="1" s="1"/>
  <c r="J100" i="12" l="1"/>
  <c r="J108" i="15"/>
  <c r="T185" i="13"/>
  <c r="T132" i="13" s="1"/>
  <c r="P225" i="5"/>
  <c r="J100" i="4"/>
  <c r="T174" i="7"/>
  <c r="T134" i="7" s="1"/>
  <c r="J111" i="6"/>
  <c r="P174" i="7"/>
  <c r="BK225" i="5"/>
  <c r="J113" i="5" s="1"/>
  <c r="P180" i="12"/>
  <c r="R134" i="8"/>
  <c r="R133" i="8" s="1"/>
  <c r="R124" i="9"/>
  <c r="T124" i="9"/>
  <c r="T135" i="6"/>
  <c r="T134" i="6" s="1"/>
  <c r="R124" i="11"/>
  <c r="R123" i="11" s="1"/>
  <c r="R126" i="4"/>
  <c r="R125" i="4" s="1"/>
  <c r="P169" i="6"/>
  <c r="J109" i="2"/>
  <c r="R147" i="2"/>
  <c r="J115" i="5"/>
  <c r="BK133" i="13"/>
  <c r="J99" i="13" s="1"/>
  <c r="BK169" i="8"/>
  <c r="J108" i="8" s="1"/>
  <c r="BK174" i="7"/>
  <c r="J109" i="7" s="1"/>
  <c r="BK134" i="15"/>
  <c r="BK133" i="15" s="1"/>
  <c r="R134" i="15"/>
  <c r="R133" i="15" s="1"/>
  <c r="P172" i="14"/>
  <c r="R131" i="14"/>
  <c r="R130" i="14" s="1"/>
  <c r="P185" i="13"/>
  <c r="T133" i="13"/>
  <c r="P133" i="13"/>
  <c r="P132" i="13" s="1"/>
  <c r="AU108" i="1" s="1"/>
  <c r="R180" i="12"/>
  <c r="T132" i="12"/>
  <c r="T131" i="12"/>
  <c r="P132" i="12"/>
  <c r="P131" i="12" s="1"/>
  <c r="AU107" i="1" s="1"/>
  <c r="P135" i="6"/>
  <c r="P134" i="6" s="1"/>
  <c r="AU100" i="1" s="1"/>
  <c r="R511" i="2"/>
  <c r="R158" i="16"/>
  <c r="T131" i="16"/>
  <c r="R131" i="16"/>
  <c r="R130" i="16" s="1"/>
  <c r="T168" i="15"/>
  <c r="P168" i="15"/>
  <c r="T134" i="15"/>
  <c r="P134" i="15"/>
  <c r="T131" i="14"/>
  <c r="R144" i="10"/>
  <c r="R134" i="10"/>
  <c r="T133" i="8"/>
  <c r="BK143" i="5"/>
  <c r="R157" i="3"/>
  <c r="T158" i="16"/>
  <c r="P158" i="16"/>
  <c r="P131" i="16"/>
  <c r="P130" i="16" s="1"/>
  <c r="AU111" i="1" s="1"/>
  <c r="P143" i="5"/>
  <c r="P142" i="5" s="1"/>
  <c r="AU99" i="1" s="1"/>
  <c r="T144" i="10"/>
  <c r="T134" i="10" s="1"/>
  <c r="T172" i="14"/>
  <c r="P131" i="14"/>
  <c r="R133" i="13"/>
  <c r="R132" i="12"/>
  <c r="R131" i="12" s="1"/>
  <c r="T124" i="11"/>
  <c r="T123" i="11" s="1"/>
  <c r="R135" i="7"/>
  <c r="R134" i="7" s="1"/>
  <c r="P157" i="3"/>
  <c r="BK511" i="2"/>
  <c r="J108" i="2" s="1"/>
  <c r="P511" i="2"/>
  <c r="P144" i="10"/>
  <c r="P134" i="10" s="1"/>
  <c r="AU104" i="1" s="1"/>
  <c r="BK135" i="6"/>
  <c r="P131" i="3"/>
  <c r="P130" i="3" s="1"/>
  <c r="AU97" i="1" s="1"/>
  <c r="P147" i="2"/>
  <c r="R135" i="6"/>
  <c r="R134" i="6" s="1"/>
  <c r="R131" i="3"/>
  <c r="T143" i="5"/>
  <c r="T142" i="5" s="1"/>
  <c r="T131" i="3"/>
  <c r="T130" i="3"/>
  <c r="T147" i="2"/>
  <c r="R185" i="13"/>
  <c r="P135" i="7"/>
  <c r="P134" i="7" s="1"/>
  <c r="AU101" i="1" s="1"/>
  <c r="R143" i="5"/>
  <c r="R142" i="5" s="1"/>
  <c r="P134" i="8"/>
  <c r="P133" i="8" s="1"/>
  <c r="AU102" i="1" s="1"/>
  <c r="P126" i="4"/>
  <c r="P125" i="4" s="1"/>
  <c r="AU98" i="1" s="1"/>
  <c r="BK157" i="3"/>
  <c r="J103" i="3" s="1"/>
  <c r="T511" i="2"/>
  <c r="BK144" i="10"/>
  <c r="BK131" i="3"/>
  <c r="J99" i="3" s="1"/>
  <c r="BK164" i="8"/>
  <c r="J105" i="8" s="1"/>
  <c r="BK220" i="5"/>
  <c r="J110" i="5" s="1"/>
  <c r="BK169" i="7"/>
  <c r="J106" i="7" s="1"/>
  <c r="BK899" i="2"/>
  <c r="J123" i="2" s="1"/>
  <c r="BK134" i="8"/>
  <c r="J99" i="8"/>
  <c r="BK125" i="9"/>
  <c r="J99" i="9" s="1"/>
  <c r="BK172" i="14"/>
  <c r="J105" i="14"/>
  <c r="BK147" i="2"/>
  <c r="J99" i="2" s="1"/>
  <c r="BK135" i="10"/>
  <c r="J99" i="10"/>
  <c r="BK124" i="11"/>
  <c r="J99" i="11" s="1"/>
  <c r="BK158" i="16"/>
  <c r="J104" i="16"/>
  <c r="BK164" i="6"/>
  <c r="J106" i="6" s="1"/>
  <c r="BK135" i="7"/>
  <c r="J99" i="7"/>
  <c r="BK180" i="12"/>
  <c r="J106" i="12"/>
  <c r="BK131" i="16"/>
  <c r="J99" i="16" s="1"/>
  <c r="BK130" i="14"/>
  <c r="BK132" i="13"/>
  <c r="J102" i="10"/>
  <c r="BK125" i="4"/>
  <c r="F36" i="3"/>
  <c r="BA97" i="1" s="1"/>
  <c r="J36" i="5"/>
  <c r="AW99" i="1" s="1"/>
  <c r="AT99" i="1" s="1"/>
  <c r="F36" i="8"/>
  <c r="BA102" i="1" s="1"/>
  <c r="BB95" i="1"/>
  <c r="AZ95" i="1"/>
  <c r="F36" i="11"/>
  <c r="BA106" i="1" s="1"/>
  <c r="F36" i="12"/>
  <c r="BA107" i="1" s="1"/>
  <c r="F36" i="13"/>
  <c r="BA108" i="1"/>
  <c r="J36" i="14"/>
  <c r="AW109" i="1" s="1"/>
  <c r="AT109" i="1" s="1"/>
  <c r="F36" i="15"/>
  <c r="BA110" i="1" s="1"/>
  <c r="J36" i="16"/>
  <c r="AW111" i="1" s="1"/>
  <c r="AT111" i="1" s="1"/>
  <c r="F36" i="4"/>
  <c r="BA98" i="1"/>
  <c r="J36" i="4"/>
  <c r="AW98" i="1" s="1"/>
  <c r="AT98" i="1" s="1"/>
  <c r="F36" i="5"/>
  <c r="BA99" i="1" s="1"/>
  <c r="J36" i="7"/>
  <c r="AW101" i="1" s="1"/>
  <c r="AT101" i="1" s="1"/>
  <c r="J36" i="10"/>
  <c r="AW104" i="1" s="1"/>
  <c r="AT104" i="1" s="1"/>
  <c r="BB105" i="1"/>
  <c r="AX105" i="1" s="1"/>
  <c r="AZ105" i="1"/>
  <c r="AV105" i="1" s="1"/>
  <c r="J36" i="2"/>
  <c r="AW96" i="1" s="1"/>
  <c r="AT96" i="1" s="1"/>
  <c r="F36" i="9"/>
  <c r="BA103" i="1"/>
  <c r="BD95" i="1"/>
  <c r="J36" i="12"/>
  <c r="AW107" i="1"/>
  <c r="AT107" i="1" s="1"/>
  <c r="F36" i="14"/>
  <c r="BA109" i="1" s="1"/>
  <c r="F36" i="16"/>
  <c r="BA111" i="1" s="1"/>
  <c r="F36" i="2"/>
  <c r="BA96" i="1" s="1"/>
  <c r="J36" i="8"/>
  <c r="AW102" i="1" s="1"/>
  <c r="AT102" i="1" s="1"/>
  <c r="F36" i="10"/>
  <c r="BA104" i="1" s="1"/>
  <c r="BD105" i="1"/>
  <c r="J36" i="3"/>
  <c r="AW97" i="1" s="1"/>
  <c r="AT97" i="1" s="1"/>
  <c r="J36" i="6"/>
  <c r="AW100" i="1" s="1"/>
  <c r="AT100" i="1" s="1"/>
  <c r="F36" i="6"/>
  <c r="BA100" i="1"/>
  <c r="F36" i="7"/>
  <c r="BA101" i="1" s="1"/>
  <c r="J36" i="9"/>
  <c r="AW103" i="1" s="1"/>
  <c r="AT103" i="1" s="1"/>
  <c r="BC95" i="1"/>
  <c r="J36" i="11"/>
  <c r="AW106" i="1" s="1"/>
  <c r="AT106" i="1" s="1"/>
  <c r="J36" i="13"/>
  <c r="AW108" i="1" s="1"/>
  <c r="AT108" i="1" s="1"/>
  <c r="J36" i="15"/>
  <c r="AW110" i="1" s="1"/>
  <c r="AT110" i="1" s="1"/>
  <c r="BC105" i="1"/>
  <c r="AY105" i="1" s="1"/>
  <c r="J98" i="15" l="1"/>
  <c r="P130" i="14"/>
  <c r="AU109" i="1" s="1"/>
  <c r="T133" i="15"/>
  <c r="R146" i="2"/>
  <c r="J99" i="15"/>
  <c r="BK134" i="6"/>
  <c r="R132" i="13"/>
  <c r="P133" i="15"/>
  <c r="AU110" i="1" s="1"/>
  <c r="AU105" i="1" s="1"/>
  <c r="BK134" i="10"/>
  <c r="J98" i="10"/>
  <c r="P146" i="2"/>
  <c r="AU96" i="1" s="1"/>
  <c r="AU95" i="1" s="1"/>
  <c r="AU94" i="1" s="1"/>
  <c r="BK142" i="5"/>
  <c r="J98" i="5"/>
  <c r="T146" i="2"/>
  <c r="T130" i="16"/>
  <c r="R130" i="3"/>
  <c r="T130" i="14"/>
  <c r="BK131" i="12"/>
  <c r="J98" i="12" s="1"/>
  <c r="BK134" i="7"/>
  <c r="J98" i="7"/>
  <c r="BK124" i="9"/>
  <c r="J99" i="5"/>
  <c r="J99" i="6"/>
  <c r="BK123" i="11"/>
  <c r="J98" i="11" s="1"/>
  <c r="BK130" i="16"/>
  <c r="J98" i="16" s="1"/>
  <c r="BK146" i="2"/>
  <c r="J98" i="2" s="1"/>
  <c r="BK130" i="3"/>
  <c r="J98" i="3" s="1"/>
  <c r="BK133" i="8"/>
  <c r="J98" i="8"/>
  <c r="J98" i="14"/>
  <c r="J98" i="13"/>
  <c r="J98" i="4"/>
  <c r="AY95" i="1"/>
  <c r="BB94" i="1"/>
  <c r="W31" i="1" s="1"/>
  <c r="AZ94" i="1"/>
  <c r="W29" i="1" s="1"/>
  <c r="BC94" i="1"/>
  <c r="W32" i="1" s="1"/>
  <c r="AX95" i="1"/>
  <c r="BA95" i="1"/>
  <c r="AW95" i="1" s="1"/>
  <c r="AV95" i="1"/>
  <c r="BD94" i="1"/>
  <c r="W33" i="1" s="1"/>
  <c r="BA105" i="1"/>
  <c r="AW105" i="1" s="1"/>
  <c r="AT105" i="1" s="1"/>
  <c r="J98" i="9" l="1"/>
  <c r="J98" i="6"/>
  <c r="AV94" i="1"/>
  <c r="AK29" i="1" s="1"/>
  <c r="AX94" i="1"/>
  <c r="AT95" i="1"/>
  <c r="AY94" i="1"/>
  <c r="BA94" i="1"/>
  <c r="W30" i="1" s="1"/>
  <c r="AW94" i="1" l="1"/>
  <c r="AK30" i="1" s="1"/>
  <c r="AT94" i="1" l="1"/>
</calcChain>
</file>

<file path=xl/sharedStrings.xml><?xml version="1.0" encoding="utf-8"?>
<sst xmlns="http://schemas.openxmlformats.org/spreadsheetml/2006/main" count="24457" uniqueCount="3482">
  <si>
    <t>Export Komplet</t>
  </si>
  <si>
    <t/>
  </si>
  <si>
    <t>2.0</t>
  </si>
  <si>
    <t>False</t>
  </si>
  <si>
    <t>{33ea5404-88e0-4abc-aa6e-ccfcc4f0a06a}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</si>
  <si>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</si>
  <si>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</si>
  <si>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</si>
  <si>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</si>
  <si>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</si>
  <si>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</si>
  <si>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</si>
  <si>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</si>
  <si>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</si>
  <si>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</si>
  <si>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JKSO:</t>
  </si>
  <si>
    <t>ČS: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</si>
  <si>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</si>
  <si>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</si>
  <si>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</si>
  <si>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</si>
  <si>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</si>
  <si>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</si>
  <si>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</si>
  <si>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Vyplň údaj</t>
  </si>
  <si>
    <t>Projektant:</t>
  </si>
  <si>
    <t>Spracovateľ:</t>
  </si>
  <si>
    <t>True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</si>
  <si>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</si>
  <si>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</si>
  <si>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</si>
  <si>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</si>
  <si>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</si>
  <si>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</si>
  <si>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</si>
  <si>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</si>
  <si>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</si>
  <si>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</si>
  <si>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</si>
  <si>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</si>
  <si>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</si>
  <si>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</si>
  <si>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</si>
  <si>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</si>
  <si>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</si>
  <si>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</si>
  <si>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</si>
  <si>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</si>
  <si>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</si>
  <si>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</si>
  <si>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</si>
  <si>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</si>
  <si>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</si>
  <si>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</si>
  <si>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</si>
  <si>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</si>
  <si>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</si>
  <si>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</si>
  <si>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</si>
  <si>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</si>
  <si>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</si>
  <si>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</si>
  <si>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</si>
  <si>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</si>
  <si>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</si>
  <si>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</si>
  <si>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</si>
  <si>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</si>
  <si>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</si>
  <si>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</si>
  <si>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</si>
  <si>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</si>
  <si>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</si>
  <si>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SO 01</t>
  </si>
  <si>
    <t>Kotolňa obj.09</t>
  </si>
  <si>
    <t>STA</t>
  </si>
  <si>
    <t>1</t>
  </si>
  <si>
    <t>{bff7c6ad-ed28-4f18-93be-80e8fdd0d280}</t>
  </si>
  <si>
    <t>/</t>
  </si>
  <si>
    <t>E1.1,2</t>
  </si>
  <si>
    <t>Architektúra +  statika + BP</t>
  </si>
  <si>
    <t>Časť</t>
  </si>
  <si>
    <t>2</t>
  </si>
  <si>
    <t>{d9e248a1-9021-4de3-b423-c7f1bf6eacf0}</t>
  </si>
  <si>
    <t>E1.3</t>
  </si>
  <si>
    <t>Zdravotechnika</t>
  </si>
  <si>
    <t>{299649cb-f3a6-486f-afc2-d9d03a9ceb1f}</t>
  </si>
  <si>
    <t>E1.5</t>
  </si>
  <si>
    <t>Plynoinštalácia</t>
  </si>
  <si>
    <t>{f8669663-7959-4524-9313-509d9eeb82b7}</t>
  </si>
  <si>
    <t>E1.6-1</t>
  </si>
  <si>
    <t>ELI + MaR - DT01</t>
  </si>
  <si>
    <t>{1404d5c4-c53a-4ebe-86e7-b1a27d4f4eb4}</t>
  </si>
  <si>
    <t>E1.6-3</t>
  </si>
  <si>
    <t>ELI + MaR - DT03</t>
  </si>
  <si>
    <t>{f8134bcd-ed40-48f2-b953-8b02d1b79c4e}</t>
  </si>
  <si>
    <t>E1.6-2A</t>
  </si>
  <si>
    <t>ELI  MaR - DT02A</t>
  </si>
  <si>
    <t>{be9437e3-beff-4457-b343-7a5c8776fd2a}</t>
  </si>
  <si>
    <t>E1.6-2B</t>
  </si>
  <si>
    <t>ELI + MaR - DT02B</t>
  </si>
  <si>
    <t>{62eee569-0049-424d-abe6-d38e4cef4fda}</t>
  </si>
  <si>
    <t>E1.6-4</t>
  </si>
  <si>
    <t>ELI + MaR - PRIS4.1</t>
  </si>
  <si>
    <t>{39ee12f4-57c4-4007-9e85-4a2bce995192}</t>
  </si>
  <si>
    <t>E1.4</t>
  </si>
  <si>
    <t>Technologia kotolní a vykurovanie</t>
  </si>
  <si>
    <t>{8e4e4e28-52c9-47d5-876b-38d41e5431bb}</t>
  </si>
  <si>
    <t>SO 02</t>
  </si>
  <si>
    <t>Teplovod</t>
  </si>
  <si>
    <t>{e9a83485-3146-4a3b-9f59-176297af9e14}</t>
  </si>
  <si>
    <t>E2.1</t>
  </si>
  <si>
    <t>SO 02.1  Búracie práce</t>
  </si>
  <si>
    <t>{089b0f90-eddd-4ac2-ac20-9c4faca7570d}</t>
  </si>
  <si>
    <t>E2.1-A</t>
  </si>
  <si>
    <t>Teplovod pre obj.03 Prevádz. budova</t>
  </si>
  <si>
    <t>{1af94a36-ae16-4a1a-8e82-83f26f6ffa45}</t>
  </si>
  <si>
    <t>E2.1-B</t>
  </si>
  <si>
    <t>Teplovod pre obj. 01 Sklad</t>
  </si>
  <si>
    <t>{feaa346a-74f0-494c-88ac-4fb81494c126}</t>
  </si>
  <si>
    <t>E2.1.-C</t>
  </si>
  <si>
    <t>Teplovod pre obj. 02A-02B Sklady</t>
  </si>
  <si>
    <t>{33ea2ea4-d33c-442b-9714-34089b5d1cd5}</t>
  </si>
  <si>
    <t>E2.1-Cz</t>
  </si>
  <si>
    <t>Teplovod pre obj.02A-02B Sklady časť obj. 01 Sklad záloha</t>
  </si>
  <si>
    <t>{76e66dd4-eadb-4721-9f7b-4887179d8574}</t>
  </si>
  <si>
    <t>E2.1-D</t>
  </si>
  <si>
    <t>Teplovod pre obj. 04 Garáže</t>
  </si>
  <si>
    <t>{855a62b8-43fd-4531-884a-a800fef7c015}</t>
  </si>
  <si>
    <t>KRYCÍ LIST ROZPOČTU</t>
  </si>
  <si>
    <t>Objekt:</t>
  </si>
  <si>
    <t>SO 01 - Kotolňa obj.09</t>
  </si>
  <si>
    <t>Časť:</t>
  </si>
  <si>
    <t>E1.1,2 - Architektúra +  statika + BP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</si>
  <si>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</si>
  <si>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</si>
  <si>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</si>
  <si>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</si>
  <si>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</si>
  <si>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</si>
  <si>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</si>
  <si>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</si>
  <si>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</si>
  <si>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</si>
  <si>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</si>
  <si>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Úprava povrchov</t>
  </si>
  <si>
    <t xml:space="preserve">    9 - Ostatné konštrukcie</t>
  </si>
  <si>
    <t xml:space="preserve">    99 - Presun hmôt</t>
  </si>
  <si>
    <t>PSV - Práce a dodávky PSV</t>
  </si>
  <si>
    <t xml:space="preserve">    711 - Izolácie proti vode a zemnej vlhkosti</t>
  </si>
  <si>
    <t xml:space="preserve">    712 - Izolácie striech, povlakové krytiny</t>
  </si>
  <si>
    <t xml:space="preserve">    713 - Izolácie tepelné</t>
  </si>
  <si>
    <t xml:space="preserve">    762 - Konštrukcie tesárske</t>
  </si>
  <si>
    <t xml:space="preserve">    763 - Konštrukcie - drevostavby</t>
  </si>
  <si>
    <t xml:space="preserve">    764 - Klampiarske konštrukcie</t>
  </si>
  <si>
    <t xml:space="preserve">    766 - Konštrukcie stolárske</t>
  </si>
  <si>
    <t xml:space="preserve">    767 - Kovové konštrukcie</t>
  </si>
  <si>
    <t xml:space="preserve">    769 - Montáž vzduchotechnických zariadení</t>
  </si>
  <si>
    <t xml:space="preserve">    771 - Podlahy z dlaždíc</t>
  </si>
  <si>
    <t xml:space="preserve">    781 - Dokončovacie práce a obklady</t>
  </si>
  <si>
    <t xml:space="preserve">    783 - Nátery</t>
  </si>
  <si>
    <t xml:space="preserve">    784 - Dokončovacie práce - maľby</t>
  </si>
  <si>
    <t xml:space="preserve">    787 - Dokončovacie práce - maľby</t>
  </si>
  <si>
    <t>M - Práce a dodávky PSV</t>
  </si>
  <si>
    <t xml:space="preserve">    43-M - Izolácie proti vode a zemnej vlhkosti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</si>
  <si>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</si>
  <si>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</si>
  <si>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</si>
  <si>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</si>
  <si>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</si>
  <si>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</si>
  <si>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</si>
  <si>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</si>
  <si>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</si>
  <si>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</si>
  <si>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</si>
  <si>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</si>
  <si>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</si>
  <si>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</si>
  <si>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</si>
  <si>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</si>
  <si>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</si>
  <si>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113107131.S</t>
  </si>
  <si>
    <t>Odstránenie krytu v ploche do 200 m2 z betónu prostého, hr. vrstvy do 150 mm,  -0,22500t</t>
  </si>
  <si>
    <t>m2</t>
  </si>
  <si>
    <t>4</t>
  </si>
  <si>
    <t>113307113.S</t>
  </si>
  <si>
    <t>Odstránenie podkladu v ploche do 200 m2 z kameniva ťaženého, hr.vrstvy 200 do 300 mm,  -0,50000t</t>
  </si>
  <si>
    <t>3</t>
  </si>
  <si>
    <t>171209002.S</t>
  </si>
  <si>
    <t>Poplatok za skládku - zemina a kamenivo (17 05) ostatné</t>
  </si>
  <si>
    <t>t</t>
  </si>
  <si>
    <t>6</t>
  </si>
  <si>
    <t>Zakladanie</t>
  </si>
  <si>
    <t>273313611.S</t>
  </si>
  <si>
    <t>Betón základových dosiek, prostý tr. C 16/20 - podkladný</t>
  </si>
  <si>
    <t>m3</t>
  </si>
  <si>
    <t>8</t>
  </si>
  <si>
    <t>5</t>
  </si>
  <si>
    <t>289971211.S</t>
  </si>
  <si>
    <t>Zhotovenie vrstvy z geotextílie na upravenom povrchu sklon do 1 : 5 , šírky od 0 do 3 m</t>
  </si>
  <si>
    <t>10</t>
  </si>
  <si>
    <t>M</t>
  </si>
  <si>
    <t>693110004500.S</t>
  </si>
  <si>
    <t>Geotextília polypropylénová netkaná 300 g/m2</t>
  </si>
  <si>
    <t>12</t>
  </si>
  <si>
    <t>Zvislé a kompletné konštrukcie</t>
  </si>
  <si>
    <t>7</t>
  </si>
  <si>
    <t>310238211.S</t>
  </si>
  <si>
    <t>Zamurovanie otvoru s plochou nad 0.25 do 1 m2 v murive nadzákladného tehlami na maltu vápennocementovú</t>
  </si>
  <si>
    <t>14</t>
  </si>
  <si>
    <t>310239211.S</t>
  </si>
  <si>
    <t>Zamurovanie otvoru s plochou nad 1 do 4 m2 v murive nadzákladného tehlami na maltu vápennocementovú</t>
  </si>
  <si>
    <t>16</t>
  </si>
  <si>
    <t>9</t>
  </si>
  <si>
    <t>317161141.S</t>
  </si>
  <si>
    <t>Pórobetónový preklad nenosný šírky 150 mm, výšky 250 mm, dĺžky 1000 mm</t>
  </si>
  <si>
    <t>ks</t>
  </si>
  <si>
    <t>18</t>
  </si>
  <si>
    <t>317161142.S</t>
  </si>
  <si>
    <t>Pórobetónový preklad nenosný šírky 150 mm, výšky 250 mm, dĺžky 1200 mm</t>
  </si>
  <si>
    <t>20</t>
  </si>
  <si>
    <t>11</t>
  </si>
  <si>
    <t>317161143.S</t>
  </si>
  <si>
    <t>Pórobetónový preklad nenosný šírky 150 mm, výšky 250 mm, dĺžky 1500 mm</t>
  </si>
  <si>
    <t>22</t>
  </si>
  <si>
    <t>317161145.S</t>
  </si>
  <si>
    <t>Pórobetónový preklad nenosný šírky 150 mm, výšky 250 mm, dĺžky 2500 mm</t>
  </si>
  <si>
    <t>24</t>
  </si>
  <si>
    <t>13</t>
  </si>
  <si>
    <t>317160312.S</t>
  </si>
  <si>
    <t>Keramický preklad nosný šírky 70 mm, výšky 238 mm, dĺžky 1250 mm</t>
  </si>
  <si>
    <t>26</t>
  </si>
  <si>
    <t>317160313.S</t>
  </si>
  <si>
    <t>Keramický preklad nosný šírky 70 mm, výšky 238 mm, dĺžky 1500 mm</t>
  </si>
  <si>
    <t>28</t>
  </si>
  <si>
    <t>15</t>
  </si>
  <si>
    <t>317160316.S</t>
  </si>
  <si>
    <t>Keramický preklad nosný šírky 70 mm, výšky 238 mm, dĺžky 2250 mm</t>
  </si>
  <si>
    <t>30</t>
  </si>
  <si>
    <t>342272131.S</t>
  </si>
  <si>
    <t>Priečky z pórobetónových tvárnic väčších rozmerov hladkých s objemovou hmotnosťou do 600 kg/m3 hrúbky 100 mm</t>
  </si>
  <si>
    <t>32</t>
  </si>
  <si>
    <t>17</t>
  </si>
  <si>
    <t>342272151.S</t>
  </si>
  <si>
    <t>Priečky z pórobetónových tvárnic väčších rozmerov hladkých s objemovou hmotnosťou do 600 kg/m3 hrúbky 150 mm</t>
  </si>
  <si>
    <t>34</t>
  </si>
  <si>
    <t>Vodorovné konštrukcie</t>
  </si>
  <si>
    <t>4303216165</t>
  </si>
  <si>
    <t>Schodiskové konštrukcie, betón železový, exteriérové schodiská a základové pásy</t>
  </si>
  <si>
    <t>36</t>
  </si>
  <si>
    <t>19</t>
  </si>
  <si>
    <t>434351141.S</t>
  </si>
  <si>
    <t>Debnenie stupňov na podstupňovej doske alebo na teréne pôdorysne priamočiarych zhotovenie</t>
  </si>
  <si>
    <t>38</t>
  </si>
  <si>
    <t>434351142.S</t>
  </si>
  <si>
    <t>Debnenie stupňov na podstupňovej doske alebo na teréne pôdorysne priamočiarych odstránenie</t>
  </si>
  <si>
    <t>40</t>
  </si>
  <si>
    <t>21</t>
  </si>
  <si>
    <t>430362021.S</t>
  </si>
  <si>
    <t>Výstuž schodiskových konštrukcií zo zváraných sietí z drôtov typu KARI</t>
  </si>
  <si>
    <t>42</t>
  </si>
  <si>
    <t>Komunikácie</t>
  </si>
  <si>
    <t>564750211.S</t>
  </si>
  <si>
    <t>Podklad alebo kryt z kameniva hrubého drveného veľ. 16-32 mm s rozprestretím a zhutnením hr. 150 mm</t>
  </si>
  <si>
    <t>44</t>
  </si>
  <si>
    <t>581120315.S</t>
  </si>
  <si>
    <t>Kryt cementobetónový cestných komunikácií skupiny CB III pre TDZ IV, V a VI, hr. 150 mm</t>
  </si>
  <si>
    <t>46</t>
  </si>
  <si>
    <t>596911</t>
  </si>
  <si>
    <t>Kladenie betónovej dlažby</t>
  </si>
  <si>
    <t>48</t>
  </si>
  <si>
    <t>25</t>
  </si>
  <si>
    <t>5924600</t>
  </si>
  <si>
    <t>Dlaždica betónová , rozmer 500x500x50 mm</t>
  </si>
  <si>
    <t>50</t>
  </si>
  <si>
    <t>Úprava povrchov</t>
  </si>
  <si>
    <t>611460272.S1</t>
  </si>
  <si>
    <t>Vnútorná omietka stropov sadrová, hr. 10 mm- protipožiarna</t>
  </si>
  <si>
    <t>52</t>
  </si>
  <si>
    <t>27</t>
  </si>
  <si>
    <t>611459171.S1</t>
  </si>
  <si>
    <t>Vyspravenie povrchu neomietaných betónových alebo železobetón. konštrukcií maltou cementovou pre omietky - v rozsahu do 10% plochy</t>
  </si>
  <si>
    <t>54</t>
  </si>
  <si>
    <t>611473_PC001</t>
  </si>
  <si>
    <t>Mechanické očistenie a umytie existujúcej vnútornej omietky stropov v rozsahu do 10% plochy</t>
  </si>
  <si>
    <t>56</t>
  </si>
  <si>
    <t>29</t>
  </si>
  <si>
    <t>612451071.S</t>
  </si>
  <si>
    <t>Vyspravenie povrchu neomietaných betónových stien vnútorných maltou cementovou pre omietky - rozsah do 20% plochy</t>
  </si>
  <si>
    <t>58</t>
  </si>
  <si>
    <t>612481031.S1</t>
  </si>
  <si>
    <t>Rohový profil z pozinkovaného plechu pre hrúbku omietky 8 až 12 mm - výstražný bezpečnostný žlto-čierny M+D</t>
  </si>
  <si>
    <t>m</t>
  </si>
  <si>
    <t>60</t>
  </si>
  <si>
    <t>31</t>
  </si>
  <si>
    <t>612481119.S</t>
  </si>
  <si>
    <t>Potiahnutie vnútorných stien sklotextílnou mriežkou s celoplošným prilepením - U8</t>
  </si>
  <si>
    <t>62</t>
  </si>
  <si>
    <t>612460241.S</t>
  </si>
  <si>
    <t>Vnútorná omietka stien vápennocementová jadrová (hrubá), hr. 10 mm  /pod obklad</t>
  </si>
  <si>
    <t>64</t>
  </si>
  <si>
    <t>33</t>
  </si>
  <si>
    <t>612460363.S</t>
  </si>
  <si>
    <t>Vnútorná omietka stien vápennocementová jednovrstvová, hr. 10 mm</t>
  </si>
  <si>
    <t>66</t>
  </si>
  <si>
    <t>622461052.S</t>
  </si>
  <si>
    <t>Vonkajšia omietka stien pastovitá silikónová roztieraná, hr. 1,5 mm</t>
  </si>
  <si>
    <t>68</t>
  </si>
  <si>
    <t>35</t>
  </si>
  <si>
    <t>622461053.S</t>
  </si>
  <si>
    <t>Vonkajšia omietka stien pastovitá silikónová roztieraná, hr. 2 mm</t>
  </si>
  <si>
    <t>70</t>
  </si>
  <si>
    <t>612473_PC001</t>
  </si>
  <si>
    <t>Mechanické očistenie a umytie existujúcej vnútornej omietky stien</t>
  </si>
  <si>
    <t>72</t>
  </si>
  <si>
    <t>37</t>
  </si>
  <si>
    <t>622460114.S</t>
  </si>
  <si>
    <t>Príprava vonkajšieho podkladu stien na hladké nenasiakavé podklady adhéznym mostíkom</t>
  </si>
  <si>
    <t>74</t>
  </si>
  <si>
    <t>622473301.S</t>
  </si>
  <si>
    <t>Čistenie fasády od mastnoty a nečistôt - ľahký stupeň znečistenia</t>
  </si>
  <si>
    <t>76</t>
  </si>
  <si>
    <t>39</t>
  </si>
  <si>
    <t>625250540.S</t>
  </si>
  <si>
    <t>Kontaktný zatepľovací systém soklovej alebo vodou namáhanej časti hr. 30 mm, skrutkovacie kotvy, vr.všetkých zakladacích, okapových, lemujúcich a dilatačných líšt - ostenie+nadpražie</t>
  </si>
  <si>
    <t>78</t>
  </si>
  <si>
    <t>625250542.S</t>
  </si>
  <si>
    <t>Kontaktný zatepľovací systém soklovej alebo vodou namáhanej časti hr. 40 mm, skrutkovacie kotvy, vr.všetkých zakladacích, okapových, lemujúcich a dilatačných líšt</t>
  </si>
  <si>
    <t>80</t>
  </si>
  <si>
    <t>41</t>
  </si>
  <si>
    <t>625250544.S</t>
  </si>
  <si>
    <t>Kontaktný zatepľovací systém soklovej alebo vodou namáhanej časti hr. 60 mm, skrutkovacie kotvy, vr.všetkých zakladacích, okapových, lemujúcich a dilatačných líšt</t>
  </si>
  <si>
    <t>82</t>
  </si>
  <si>
    <t>625250704.S</t>
  </si>
  <si>
    <t>Kontaktný zatepľovací systém z minerálnej vlny hr. 60 mm, skrutkovacie kotvy, vr.všetkých zakladacích, okapových, lemujúcich a dilatačných líšt</t>
  </si>
  <si>
    <t>84</t>
  </si>
  <si>
    <t>43</t>
  </si>
  <si>
    <t>627455141.S1</t>
  </si>
  <si>
    <t>Oprava poškodených častí exteriérovou omietkou hr. do 10 mm v rozsahu 15%</t>
  </si>
  <si>
    <t>86</t>
  </si>
  <si>
    <t>62525PC001</t>
  </si>
  <si>
    <t>Ozdobné šambrány okolo vstupných dvier š.100 mm</t>
  </si>
  <si>
    <t>88</t>
  </si>
  <si>
    <t>45</t>
  </si>
  <si>
    <t>627455141.S2</t>
  </si>
  <si>
    <t>Oprava poškodených častí exteriérovou omietkou hr. do 10 mm v rozsahu 100%</t>
  </si>
  <si>
    <t>-946502410</t>
  </si>
  <si>
    <t>631343821.S</t>
  </si>
  <si>
    <t>Položenie mazaniny z betónu ľahkého (m3) hr.nad 80 do 120 mm</t>
  </si>
  <si>
    <t>-114018450</t>
  </si>
  <si>
    <t>47</t>
  </si>
  <si>
    <t>631345821.S</t>
  </si>
  <si>
    <t>Položenie mazaniny z betónu ľahkého (m3) hr.nad 120 do 240 mm</t>
  </si>
  <si>
    <t>90</t>
  </si>
  <si>
    <t>589310005700.S</t>
  </si>
  <si>
    <t>Betón STN EN 206-1-C 25/30-XC3 (SK)-Cl 0,4-Dmax 22 - S1 z cementu portlandského</t>
  </si>
  <si>
    <t>92</t>
  </si>
  <si>
    <t>49</t>
  </si>
  <si>
    <t>631362441.S</t>
  </si>
  <si>
    <t>Výstuž mazanín z betónov (z kameniva) a z ľahkých betónov zo sietí KARI, priemer drôtu 8/8 mm, veľkosť oka 100x100 mm</t>
  </si>
  <si>
    <t>94</t>
  </si>
  <si>
    <t>632452765.S</t>
  </si>
  <si>
    <t>Cementová samonivelizačná hmota PCI pre pojazdné podlahy v skladoch, vrátane finálneho náteru, pevnosť v tlaku 25 MPa, hr. 10 mm</t>
  </si>
  <si>
    <t>96</t>
  </si>
  <si>
    <t>51</t>
  </si>
  <si>
    <t>632001051.S1</t>
  </si>
  <si>
    <t>Zhotovenie jednonásobného penetračného náteru pre potery a stierky, vr.dodávky</t>
  </si>
  <si>
    <t>98</t>
  </si>
  <si>
    <t>642944121.S</t>
  </si>
  <si>
    <t>Dodatočná montáž oceľovej dverovej zárubne, plochy otvoru do 2,5 m2</t>
  </si>
  <si>
    <t>100</t>
  </si>
  <si>
    <t>53</t>
  </si>
  <si>
    <t>Z01</t>
  </si>
  <si>
    <t>Hranatá zárubňa pre vnútorné dvere, otváracie, s polodrážkou, oceľová hranatá zárubňa do priečky z presných pórobetónových tvárnic hr. 150 mm, svetlý ozmer 700x1970 mm, bez prahu, s nulovým presahom do podlahy (plochá tyč 30/3 ako prahová spojka), počet z</t>
  </si>
  <si>
    <t>102</t>
  </si>
  <si>
    <t>Z02</t>
  </si>
  <si>
    <t>Hranatá zárubňa pre vnútorné dvere, otváracie, s polodrážkou, oceľová hranatá zárubňa do priečky z presných pórobetónových tvárnic hr. 100 mm, svetlý ozmer 600x1970 mm, bez prahu, s nulovým presahom do podlahy (plochá tyč 30/3 ako prahová spojka), počet z</t>
  </si>
  <si>
    <t>104</t>
  </si>
  <si>
    <t>55</t>
  </si>
  <si>
    <t>Z03</t>
  </si>
  <si>
    <t xml:space="preserve">Hranatá zárubňa pre vnútorné dvere, otváracie, s polodrážkou, oceľová hranatá zárubňa do priečky z presných pórobetónových tvárnic hr. 150 mm, svetlý ozmer 1000x1970 mm, bez prahu, s nulovým presahom do podlahy (plochá tyč 30/3 ako prahová spojka), počet </t>
  </si>
  <si>
    <t>106</t>
  </si>
  <si>
    <t>Z04</t>
  </si>
  <si>
    <t>Hranatá zárubňa pre vnútorné dvere, otváracie, s polodrážkou, oceľová hranatá zárubňa do priečky z presných pórobetónových tvárnic hr. 150 mm, svetlý ozmer 800x1970 mm, bez prahu, s nulovým presahom do podlahy (plochá tyč 30/3 ako prahová spojka), počet z</t>
  </si>
  <si>
    <t>108</t>
  </si>
  <si>
    <t>Ostatné konštrukcie</t>
  </si>
  <si>
    <t>57</t>
  </si>
  <si>
    <t>941942003.S</t>
  </si>
  <si>
    <t>Montáž lešenia rámového systémového s podlahami šírky do 0,75 m, výšky nad 20 do 50 m</t>
  </si>
  <si>
    <t>110</t>
  </si>
  <si>
    <t>941942903.S</t>
  </si>
  <si>
    <t>Príplatok za prvý a každý ďalší i začatý týždeň použitia lešenia rámového systémového šírky do 0,75 m, výšky nad 20 do 50 m</t>
  </si>
  <si>
    <t>112</t>
  </si>
  <si>
    <t>59</t>
  </si>
  <si>
    <t>941942803.S</t>
  </si>
  <si>
    <t>Demontáž lešenia rámového systémového s podlahami šírky do 0,75 m, výšky nad 20 do 50 m</t>
  </si>
  <si>
    <t>114</t>
  </si>
  <si>
    <t>952901221.S</t>
  </si>
  <si>
    <t>Vyčistenie budov pri výške podlaží do 4m</t>
  </si>
  <si>
    <t>116</t>
  </si>
  <si>
    <t>61</t>
  </si>
  <si>
    <t>941955004.S</t>
  </si>
  <si>
    <t>Lešenie ľahké pracovné pomocné s výškou lešeňovej podlahy nad 2,50 do 3,5 m</t>
  </si>
  <si>
    <t>118</t>
  </si>
  <si>
    <t>961055111.S</t>
  </si>
  <si>
    <t>Búranie základov alebo vybúranie otvorov plochy nad 4 m2 v základoch železobetónových,  -2,40000t spôsobom šetrným pre existujúce konštrukcie a vrstvy</t>
  </si>
  <si>
    <t>120</t>
  </si>
  <si>
    <t>63</t>
  </si>
  <si>
    <t>962031135.S</t>
  </si>
  <si>
    <t>Búranie priečok alebo vybúranie otvorov plochy nad 4 m2 z tvárnic alebo priečkoviek hr. do150 mm,  -0,11500t</t>
  </si>
  <si>
    <t>122</t>
  </si>
  <si>
    <t>962032231.S</t>
  </si>
  <si>
    <t>Búranie muriva alebo vybúranie otvorov plochy nad 4 m2 nadzákladového z tehál pálených, vápenopieskových, cementových na maltu,  -1,90500t</t>
  </si>
  <si>
    <t>124</t>
  </si>
  <si>
    <t>65</t>
  </si>
  <si>
    <t>962042321.S</t>
  </si>
  <si>
    <t>Búranie muriva alebo vybúranie otvorov plochy nad 4 m2 z betónu prostého nadzákladného,  -2,20000t</t>
  </si>
  <si>
    <t>126</t>
  </si>
  <si>
    <t>962081141.S</t>
  </si>
  <si>
    <t>Búranie muriva priečok zo sklenených tvárnic, hr. do 150 mm -0,082 t</t>
  </si>
  <si>
    <t>128</t>
  </si>
  <si>
    <t>67</t>
  </si>
  <si>
    <t>968061125.S</t>
  </si>
  <si>
    <t>Vyvesenie dreveného dverného krídla do suti plochy do 2 m2, -0,02400t</t>
  </si>
  <si>
    <t>130</t>
  </si>
  <si>
    <t>968071125.S</t>
  </si>
  <si>
    <t>Vyvesenie kovového dverného krídla do suti plochy do 2 m2</t>
  </si>
  <si>
    <t>132</t>
  </si>
  <si>
    <t>69</t>
  </si>
  <si>
    <t>968071126.S</t>
  </si>
  <si>
    <t>Vyvesenie kovového dverného krídla do suti plochy nad 2 m2</t>
  </si>
  <si>
    <t>134</t>
  </si>
  <si>
    <t>968061112.S</t>
  </si>
  <si>
    <t>Vyvesenie dreveného okenného krídla do suti plochy do 1,5 m2, -0,01200t</t>
  </si>
  <si>
    <t>136</t>
  </si>
  <si>
    <t>71</t>
  </si>
  <si>
    <t>968071113.S</t>
  </si>
  <si>
    <t>Vyvesenie kovového okenného krídla do suti plochy nad 1, 5 m2</t>
  </si>
  <si>
    <t>138</t>
  </si>
  <si>
    <t>968071137.S</t>
  </si>
  <si>
    <t>Vyvesenie kovového krídla vrát do suti plochy nad 4 m2  -0,006t</t>
  </si>
  <si>
    <t>140</t>
  </si>
  <si>
    <t>73</t>
  </si>
  <si>
    <t>968072455.S</t>
  </si>
  <si>
    <t>Vybúranie kovových dverových zárubní plochy do 2 m2,  -0,07600t</t>
  </si>
  <si>
    <t>142</t>
  </si>
  <si>
    <t>968072559.S</t>
  </si>
  <si>
    <t>Vybúranie kovových vrát plochy nad 5 m2,  -0,06600t</t>
  </si>
  <si>
    <t>144</t>
  </si>
  <si>
    <t>75</t>
  </si>
  <si>
    <t>968072456.S</t>
  </si>
  <si>
    <t>Vybúranie kovových dverových zárubní plochy nad 2 m2,  -0,06300t</t>
  </si>
  <si>
    <t>146</t>
  </si>
  <si>
    <t>971033241.S</t>
  </si>
  <si>
    <t>Vybúranie otvoru v murive tehl. plochy do 0,0225 m2 hr. do 300 mm,  -0,00800t</t>
  </si>
  <si>
    <t>148</t>
  </si>
  <si>
    <t>77</t>
  </si>
  <si>
    <t>971033341.S</t>
  </si>
  <si>
    <t>Vybúranie otvoru v murive tehl. plochy do 0,09 m2 hr. do 300 mm,  -0,05700t</t>
  </si>
  <si>
    <t>150</t>
  </si>
  <si>
    <t>971033441.S</t>
  </si>
  <si>
    <t>Vybúranie otvoru v murive tehl. plochy do 0,25 m2 hr. do 300 mm,  -0,14600t</t>
  </si>
  <si>
    <t>152</t>
  </si>
  <si>
    <t>79</t>
  </si>
  <si>
    <t>971033451.S</t>
  </si>
  <si>
    <t>Vybúranie otvoru v murive tehl. plochy do 0,25 m2 hr. do 450 mm,  -0,21900t</t>
  </si>
  <si>
    <t>154</t>
  </si>
  <si>
    <t>971033541.S</t>
  </si>
  <si>
    <t>Vybúranie otvorov v murive tehl. plochy do 1 m2 hr. do 300 mm,  -1,87500t</t>
  </si>
  <si>
    <t>156</t>
  </si>
  <si>
    <t>81</t>
  </si>
  <si>
    <t>971033641.S</t>
  </si>
  <si>
    <t>Vybúranie otvorov v murive tehl. plochy do 4 m2 hr. do 300 mm,  -1,87500t</t>
  </si>
  <si>
    <t>158</t>
  </si>
  <si>
    <t>971036013.S</t>
  </si>
  <si>
    <t>Jadrové vrty diamantovými korunkami do D 140 mm do stien - murivo tehlové -0,00025t</t>
  </si>
  <si>
    <t>cm</t>
  </si>
  <si>
    <t>160</t>
  </si>
  <si>
    <t>83</t>
  </si>
  <si>
    <t>971036014.S</t>
  </si>
  <si>
    <t>Jadrové vrty diamantovými korunkami do D 150 mm do stien - murivo tehlové -0,00028t</t>
  </si>
  <si>
    <t>162</t>
  </si>
  <si>
    <t>972046013.S</t>
  </si>
  <si>
    <t>Jadrové vrty diamantovými korunkami do D 140 mm do stropov - betónových, dlažieb -0,00034t</t>
  </si>
  <si>
    <t>164</t>
  </si>
  <si>
    <t>85</t>
  </si>
  <si>
    <t>974PC001</t>
  </si>
  <si>
    <t>Vyrezanie otvoru v trapézovom plechu, plochy do 1 m2, hr. do 120 mm,  -0,011140t</t>
  </si>
  <si>
    <t>166</t>
  </si>
  <si>
    <t>974PC002</t>
  </si>
  <si>
    <t>Vyrezanie otvoru v strešnom plášti, plochy do 1 m2, hr. do 600 mm,  -0,0675t</t>
  </si>
  <si>
    <t>168</t>
  </si>
  <si>
    <t>87</t>
  </si>
  <si>
    <t>974PC003</t>
  </si>
  <si>
    <t>Utesnenie kruhového otvoru D110 mm minerálnou vlnou hr.15mm, hrúbka konštrukcie 300 mm (obvod otvoru 440 mm) - ozn.UTS1</t>
  </si>
  <si>
    <t>170</t>
  </si>
  <si>
    <t>974PC004</t>
  </si>
  <si>
    <t>Utesnenie obdĺžnikového otvoru 800x580 mm minerálnou vlnou hr.20mm, hrúbka konštrukcie 300 mm (obvod izolácie 1260 mm) - ozn.UTS2</t>
  </si>
  <si>
    <t>172</t>
  </si>
  <si>
    <t>89</t>
  </si>
  <si>
    <t>974PC005</t>
  </si>
  <si>
    <t>Utesnenie obdĺžnikového otvoru 800x580 mm oplechovaním - ozn.UTS3</t>
  </si>
  <si>
    <t>174</t>
  </si>
  <si>
    <t>974PC006</t>
  </si>
  <si>
    <t>Utesnenie obdĺžnikového otvoru 600x460 mm oplechovaním - ozn.UTS4</t>
  </si>
  <si>
    <t>176</t>
  </si>
  <si>
    <t>91</t>
  </si>
  <si>
    <t>974PC007</t>
  </si>
  <si>
    <t>Utesnenie kruhového otvoru D140 oplechovaním - ozn.UTS5</t>
  </si>
  <si>
    <t>178</t>
  </si>
  <si>
    <t>974PC008</t>
  </si>
  <si>
    <t>Bodové zosilnenie podlahy pod oceľové stĺpy prikotvením cez trny zvislo do spodnej dosky, vodorovne do hornej dosky s KARI rohožou a spätnou dobetonávkou - viď pozn.14 vr.odstránenia hornej dosky podlahy a dosky HOBREX rozmeru 1,0x1,0 m</t>
  </si>
  <si>
    <t>-1660571050</t>
  </si>
  <si>
    <t>93</t>
  </si>
  <si>
    <t>978071251.S</t>
  </si>
  <si>
    <t>Odsekanie a odstránenie izolácie lepenkovej vodorovnej,  -0,07300t</t>
  </si>
  <si>
    <t>180</t>
  </si>
  <si>
    <t>978071311.S</t>
  </si>
  <si>
    <t>Odsekanie a odstránenie izolácie z dosiek hr. do 50 mm,  -0,09300t</t>
  </si>
  <si>
    <t>182</t>
  </si>
  <si>
    <t>95</t>
  </si>
  <si>
    <t>979011111.S</t>
  </si>
  <si>
    <t>Zvislá doprava sutiny a vybúraných hmôt za prvé podlažie nad alebo pod základným podlažím</t>
  </si>
  <si>
    <t>184</t>
  </si>
  <si>
    <t>979082111.S</t>
  </si>
  <si>
    <t>Vnútrostavenisková doprava sutiny a vybúraných hmôt do 10 m</t>
  </si>
  <si>
    <t>186</t>
  </si>
  <si>
    <t>97</t>
  </si>
  <si>
    <t>979082121.S</t>
  </si>
  <si>
    <t>Vnútrostavenisková doprava sutiny a vybúraných hmôt za každých ďalších 5 m  (3x)</t>
  </si>
  <si>
    <t>188</t>
  </si>
  <si>
    <t>979089012.S</t>
  </si>
  <si>
    <t>Poplatok za skládku - betón, tehly, dlaždice (17 01) ostatné</t>
  </si>
  <si>
    <t>190</t>
  </si>
  <si>
    <t>99</t>
  </si>
  <si>
    <t>979089112.S</t>
  </si>
  <si>
    <t>Poplatok za skládku - drevo, sklo, plasty (17 02 ), ostatné</t>
  </si>
  <si>
    <t>192</t>
  </si>
  <si>
    <t>979089312.S</t>
  </si>
  <si>
    <t>Poplatok za skládku - kovy (meď, bronz, mosadz atď.) (17 04 ), ostatné</t>
  </si>
  <si>
    <t>194</t>
  </si>
  <si>
    <t>101</t>
  </si>
  <si>
    <t>979089412.S</t>
  </si>
  <si>
    <t>Poplatok za skládku - izolačné materiály (17 06), ostatné</t>
  </si>
  <si>
    <t>196</t>
  </si>
  <si>
    <t>979089715.S</t>
  </si>
  <si>
    <t>Prenájom kontajneru 16 m3</t>
  </si>
  <si>
    <t>198</t>
  </si>
  <si>
    <t>Presun hmôt</t>
  </si>
  <si>
    <t>103</t>
  </si>
  <si>
    <t>999281111.S</t>
  </si>
  <si>
    <t>Presun hmôt pre opravy a údržbu objektov vrátane vonkajších plášťov výšky do 25 m</t>
  </si>
  <si>
    <t>200</t>
  </si>
  <si>
    <t>PSV</t>
  </si>
  <si>
    <t>Práce a dodávky PSV</t>
  </si>
  <si>
    <t>711</t>
  </si>
  <si>
    <t>Izolácie proti vode a zemnej vlhkosti</t>
  </si>
  <si>
    <t>711131101.S</t>
  </si>
  <si>
    <t>Zhotovenie  izolácie proti zemnej vlhkosti vodorovná AIP na sucho</t>
  </si>
  <si>
    <t>202</t>
  </si>
  <si>
    <t>105</t>
  </si>
  <si>
    <t>711132101.S</t>
  </si>
  <si>
    <t>Zhotovenie izolácie proti zemnej vlhkosti zvislá AIP na sucho</t>
  </si>
  <si>
    <t>-435399206</t>
  </si>
  <si>
    <t>628311</t>
  </si>
  <si>
    <t>Pás asfaltový HYDROBIT V 60 S 35 pre spodné vrstvy hydroizolačných systémov, ICOPAL</t>
  </si>
  <si>
    <t>204</t>
  </si>
  <si>
    <t>107</t>
  </si>
  <si>
    <t>711210120.S</t>
  </si>
  <si>
    <t>Zhotovenie dvojnásobného izol. náteru pod keramické obklady v interiéri na ploche vodorovnej</t>
  </si>
  <si>
    <t>206</t>
  </si>
  <si>
    <t>245660000550.S</t>
  </si>
  <si>
    <t>Náter hydroizolačný tekutá vodonepriepustná membrána na báze živice</t>
  </si>
  <si>
    <t>kg</t>
  </si>
  <si>
    <t>208</t>
  </si>
  <si>
    <t>109</t>
  </si>
  <si>
    <t>210</t>
  </si>
  <si>
    <t>212</t>
  </si>
  <si>
    <t>111</t>
  </si>
  <si>
    <t>711211071.S1</t>
  </si>
  <si>
    <t>Jednozlož. polyuretánová hydroizolačná hmota, stierka vodorovná, napr. MUREXIN ds 28</t>
  </si>
  <si>
    <t>976154436</t>
  </si>
  <si>
    <t>998711202.S</t>
  </si>
  <si>
    <t>Presun hmôt pre izoláciu proti vode v objektoch výšky nad 6 do 12 m</t>
  </si>
  <si>
    <t>%</t>
  </si>
  <si>
    <t>214</t>
  </si>
  <si>
    <t>712</t>
  </si>
  <si>
    <t>Izolácie striech, povlakové krytiny</t>
  </si>
  <si>
    <t>113</t>
  </si>
  <si>
    <t>712370050.S</t>
  </si>
  <si>
    <t>Zhotovenie povlakovej krytiny striech plochých do 10°PVC-P fóliou položenou voľne so zvarením spoju</t>
  </si>
  <si>
    <t>1534065305</t>
  </si>
  <si>
    <t>283220002000.S</t>
  </si>
  <si>
    <t>Hydroizolačná fólia PVC-P FATRAFOL 807/V, hr. 1,9/1,5 mm, š. 1,65 m, s podkladnou vrstvou z PES textílie 180g/m2,pre lepené systémy, farba sivá, FATRA IZOLFA</t>
  </si>
  <si>
    <t>-1413953130</t>
  </si>
  <si>
    <t>115</t>
  </si>
  <si>
    <t>998712202.S</t>
  </si>
  <si>
    <t>Presun hmôt pre izoláciu povlakovej krytiny v objektoch výšky nad 6 do 12 m</t>
  </si>
  <si>
    <t>1359264527</t>
  </si>
  <si>
    <t>713</t>
  </si>
  <si>
    <t>Izolácie tepelné</t>
  </si>
  <si>
    <t>713122111.S</t>
  </si>
  <si>
    <t>Montáž tepelnej izolácie podláh polystyrénom, kladeným voľne v jednej vrstve</t>
  </si>
  <si>
    <t>804416949</t>
  </si>
  <si>
    <t>117</t>
  </si>
  <si>
    <t>283750002400.S</t>
  </si>
  <si>
    <t>Doska XPS 300 hr. 140 mm, zakladanie stavieb, podlahy,</t>
  </si>
  <si>
    <t>195641288</t>
  </si>
  <si>
    <t>998713202.S</t>
  </si>
  <si>
    <t>Presun hmôt pre izolácie tepelné v objektoch výšky nad 6 m do 12 m</t>
  </si>
  <si>
    <t>-2094737177</t>
  </si>
  <si>
    <t>762</t>
  </si>
  <si>
    <t>Konštrukcie tesárske</t>
  </si>
  <si>
    <t>119</t>
  </si>
  <si>
    <t>Montáž podkladnej konštrukcie z OSB dosiek hr.15 mm šírky 60 mm, vr.dodávky</t>
  </si>
  <si>
    <t>216</t>
  </si>
  <si>
    <t>762-K9</t>
  </si>
  <si>
    <t>Montáž podkladnej konštrukcie z OSB dosiek hr.30 mm šírky 360 mm, vr.dodávky a vr. dreveného klinu á 600 mm</t>
  </si>
  <si>
    <t>49781230</t>
  </si>
  <si>
    <t>121</t>
  </si>
  <si>
    <t>762.1</t>
  </si>
  <si>
    <t>Montáž podkladnej konštrukcie z fošní hr.60 mm, šírky 200 mm, vr.dodávky</t>
  </si>
  <si>
    <t>218</t>
  </si>
  <si>
    <t>762712110.S</t>
  </si>
  <si>
    <t>Montáž priestorových viazaných konštrukcií z reziva hraneného prierezovej plochy do 120 cm2 - podkonštrukcia podlahy z OSB dosiek</t>
  </si>
  <si>
    <t>2079610941</t>
  </si>
  <si>
    <t>123</t>
  </si>
  <si>
    <t>605110014500.S</t>
  </si>
  <si>
    <t>Dosky a fošne z mäkkého reziva neopracované omietané akosť I</t>
  </si>
  <si>
    <t>10845152</t>
  </si>
  <si>
    <t>998763201.S</t>
  </si>
  <si>
    <t>Presun hmôt pre drevostavby v objektoch výšky do 12 m</t>
  </si>
  <si>
    <t>220</t>
  </si>
  <si>
    <t>763</t>
  </si>
  <si>
    <t>Konštrukcie - drevostavby</t>
  </si>
  <si>
    <t>125</t>
  </si>
  <si>
    <t>763120011.S</t>
  </si>
  <si>
    <t>Sadrokartónová inštalačná predstena pre sanitárne zariadenia, kca CD+UD, dvojito opláštená doskou impregnovanou H2 2x12,5 mm - ozn.SDK1</t>
  </si>
  <si>
    <t>222</t>
  </si>
  <si>
    <t>763138200.S</t>
  </si>
  <si>
    <t>Podhľad SDK montovaný priamo na jednoúrovňovej oceľovej podkonštrukcií CD+UD, doska štandardná A 12.5 mm - ozn.SDK2</t>
  </si>
  <si>
    <t>224</t>
  </si>
  <si>
    <t>127</t>
  </si>
  <si>
    <t>763750010.S1</t>
  </si>
  <si>
    <t>Montáž  podláh  z OSB dosiek hr. 20 mm vr. dodávky</t>
  </si>
  <si>
    <t>1605058099</t>
  </si>
  <si>
    <t>763750010.S2</t>
  </si>
  <si>
    <t xml:space="preserve">Montáž  podláh  z OSB dosiek hr. 30 mm vr. dodávky </t>
  </si>
  <si>
    <t>-1601979361</t>
  </si>
  <si>
    <t>129</t>
  </si>
  <si>
    <t>226</t>
  </si>
  <si>
    <t>764</t>
  </si>
  <si>
    <t>Klampiarske konštrukcie</t>
  </si>
  <si>
    <t>764PC7001</t>
  </si>
  <si>
    <t>D+M oplechovania atiky z hliníkového plechu hr. 1,5 mm rš 130 mm</t>
  </si>
  <si>
    <t>228</t>
  </si>
  <si>
    <t>131</t>
  </si>
  <si>
    <t>764PC7002</t>
  </si>
  <si>
    <t>D+M oplechovania atiky zpoplastovaného plechu  rš 360 mm</t>
  </si>
  <si>
    <t>230</t>
  </si>
  <si>
    <t>764PC7002a</t>
  </si>
  <si>
    <t>D+M oplechovania atiky zpoplastovaného plechu  rš 70 mm- K10a</t>
  </si>
  <si>
    <t>-291093737</t>
  </si>
  <si>
    <t>133</t>
  </si>
  <si>
    <t>764PC7002b</t>
  </si>
  <si>
    <t>D+M oplechovania atiky zpoplastovaného plechu  rš 70 mm- K10b</t>
  </si>
  <si>
    <t>-355096539</t>
  </si>
  <si>
    <t>764PC7003</t>
  </si>
  <si>
    <t>D+M oplechovania atiky z hliníkového plechu hr. 1,5 mm rš 520 mm</t>
  </si>
  <si>
    <t>232</t>
  </si>
  <si>
    <t>135</t>
  </si>
  <si>
    <t>764PC7004</t>
  </si>
  <si>
    <t>D+M oplechovania prestupu potrubia z hliníkového plechu hr. 1,5 mm technológia skladu cez trapézový plech</t>
  </si>
  <si>
    <t>234</t>
  </si>
  <si>
    <t>764PC7005</t>
  </si>
  <si>
    <t>D+M oplechovanie vonkajšieho parapetu z hliníkového plechu hr.2 mm rš.240 mm</t>
  </si>
  <si>
    <t>236</t>
  </si>
  <si>
    <t>137</t>
  </si>
  <si>
    <t>764PC7006</t>
  </si>
  <si>
    <t>D+M oplechovanie vonkajšieho parapetu z hliníkového plechu hr.2 mm rš.300 mm</t>
  </si>
  <si>
    <t>238</t>
  </si>
  <si>
    <t>764PC7007</t>
  </si>
  <si>
    <t>D+M oplechovanie vonkajšieho parapetu z hliníkového plechu hr.2 mm rš.420 mm</t>
  </si>
  <si>
    <t>240</t>
  </si>
  <si>
    <t>139</t>
  </si>
  <si>
    <t>764410850.S</t>
  </si>
  <si>
    <t>Demontáž oplechovania parapetov rš od 100 do 330 mm,  -0,00135t</t>
  </si>
  <si>
    <t>242</t>
  </si>
  <si>
    <t>764430840.S</t>
  </si>
  <si>
    <t>Demontáž oplechovania múrov a nadmuroviek rš od 330 do 500 mm,  -0,00230t</t>
  </si>
  <si>
    <t>244</t>
  </si>
  <si>
    <t>141</t>
  </si>
  <si>
    <t>998764202.S</t>
  </si>
  <si>
    <t>Presun hmôt pre konštrukcie klampiarske v objektoch výšky nad 6 m do 12 m</t>
  </si>
  <si>
    <t>246</t>
  </si>
  <si>
    <t>766</t>
  </si>
  <si>
    <t>Konštrukcie stolárske</t>
  </si>
  <si>
    <t>766662112.S</t>
  </si>
  <si>
    <t>Montáž dverového krídla otočného jednokrídlového poldrážkového, do existujúcej zárubne, vrátane kovania</t>
  </si>
  <si>
    <t>248</t>
  </si>
  <si>
    <t>143</t>
  </si>
  <si>
    <t>Dr1</t>
  </si>
  <si>
    <t>Dvere vnútorné hladké drevené jednokrídlové, otočné plné,  rozmer 700/1970 mm so zvýšenou odolnosťou voči vlhkosti s poldrážkou do oceľovej zárubne, bezprahové, dverné krídlo - MDF doska, povrchová úprava laminovaním, zámok s vložkou FAB, obojstranná kľuč</t>
  </si>
  <si>
    <t>250</t>
  </si>
  <si>
    <t>Dr2</t>
  </si>
  <si>
    <t>Dvere vnútorné hladké drevené jednokrídlové, otočné, plné, rozmer 600/1970 mm so zvýšenou odolnosťou voči vlhkosti s poldrážkou do oceľovej zárubne, bezprahové, dverné krídlo - MDF doska, povrchová úprava laminovaním, zámok s vložkou FAB, obojstranná kľuč</t>
  </si>
  <si>
    <t>252</t>
  </si>
  <si>
    <t>145</t>
  </si>
  <si>
    <t>Dr3</t>
  </si>
  <si>
    <t>Dvere vnútorné hladké drevené jednokrídlové, otočné, plné, rozmer 1000/1970 mm so zvýšenou odolnosťou voči vlhkosti s poldrážkou do oceľovej zárubne, bezprahové, dverné krídlo - MDF doska, povrchová úprava laminovaním, zámok s vložkou FAB, obojstranná kľu</t>
  </si>
  <si>
    <t>254</t>
  </si>
  <si>
    <t>Dr5</t>
  </si>
  <si>
    <t>Dvere vnútorné hladké drevené jednokrídlové, otočné, plné, rozmer 800/1970 mm so zvýšenou odolnosťou voči vlhkosti s poldrážkou do oceľovej zárubne, bezprahové, dverné krídlo - MDF doska, povrchová úprava laminovaním, zámok s vložkou FAB, obojstranná kľuč</t>
  </si>
  <si>
    <t>256</t>
  </si>
  <si>
    <t>147</t>
  </si>
  <si>
    <t>766621268.S1</t>
  </si>
  <si>
    <t>Montáž okien drevených na PUR penu, interiérových</t>
  </si>
  <si>
    <t>258</t>
  </si>
  <si>
    <t>Dr4</t>
  </si>
  <si>
    <t>Interiérové drevené okno pevné, rozmer 1200x900 mm, drevený rám, výplň - jednoduché zasklenie čírym sklom bez požiadavky na tepelno-izolačné vlastnosti, farebný odtieň rámu - viď príloha technickej správy</t>
  </si>
  <si>
    <t>260</t>
  </si>
  <si>
    <t>149</t>
  </si>
  <si>
    <t>Dr6</t>
  </si>
  <si>
    <t>Interiérové drevené okno otváravé, rozmer 1200x900 mm, drevený rám, ovládanie pomocou kľučky, výplň - jednoduché zasklenie čírym sklom bez požiadavky na tepelnoizolačné vlastnosti, farebný odtieň rámu - viď príloha technickej správy</t>
  </si>
  <si>
    <t>262</t>
  </si>
  <si>
    <t>998766202.S</t>
  </si>
  <si>
    <t>Presun hmot pre konštrukcie stolárske v objektoch výšky nad 6 do 12 m</t>
  </si>
  <si>
    <t>264</t>
  </si>
  <si>
    <t>767</t>
  </si>
  <si>
    <t>Kovové konštrukcie</t>
  </si>
  <si>
    <t>151</t>
  </si>
  <si>
    <t>Demontáž oplechovania stien plechmi skrutkovanými,  -0,00900 t - trapézový plech</t>
  </si>
  <si>
    <t>-1001835932</t>
  </si>
  <si>
    <t>767137512.S</t>
  </si>
  <si>
    <t>Obloženie plechom tvarovaným skrutkovaním</t>
  </si>
  <si>
    <t>-2008123325</t>
  </si>
  <si>
    <t>153</t>
  </si>
  <si>
    <t>138310003700.S</t>
  </si>
  <si>
    <t>Plech trapézový pozinkovaný, výška profilu 60 mm, hr. 0,5 - 0,75 mm</t>
  </si>
  <si>
    <t>969958723</t>
  </si>
  <si>
    <t>767230070.S1</t>
  </si>
  <si>
    <t>Montáž držiaka schodiskového madla nerezového na stenu, vrátane dodávky a kotvenia</t>
  </si>
  <si>
    <t>266</t>
  </si>
  <si>
    <t>155</t>
  </si>
  <si>
    <t>767621400.S</t>
  </si>
  <si>
    <t>Montáž okien plastových s hydroizolačnými ISO páskami (exteriérová a interiérová)</t>
  </si>
  <si>
    <t>268</t>
  </si>
  <si>
    <t>PL1</t>
  </si>
  <si>
    <t>Exteriérové plastové okno sklopné, rozmer 600x600 mm, rámová konštrukcia z plastových viackomorových profilov, výplň - zasklenie čírym izolačným dvojsklom, charakteristiky: Uf rámu max.1,3W/m2K, Ug zasklenia max.1,1 W/m2K, štandardný hliníkový dištančný r</t>
  </si>
  <si>
    <t>270</t>
  </si>
  <si>
    <t>157</t>
  </si>
  <si>
    <t>PL2</t>
  </si>
  <si>
    <t>Exteriérové plastové okno otváravo-sklopné, rozmer 600x600 mm, rámová konštrukcia z plastových viackomorových profilov, výplň - zasklenie čírym izolačným dvojsklom, charakteristiky: Uf rámu max.1,3W/m2K, Ug zasklenia max.1,1 W/m2K, štandardný hliníkový di</t>
  </si>
  <si>
    <t>272</t>
  </si>
  <si>
    <t>PL3</t>
  </si>
  <si>
    <t xml:space="preserve">Exteriérové plastové okno otváravo-sklopné, rozmer 1200x1200 mm, rámová konštrukcia z plastových viackomorových profilov, výplň - zasklenie čírym izolačným dvojsklom, charakteristiky: Uf rámu max.1,3W/m2K, Ug zasklenia max.1,1 W/m2K, štandardný hliníkový </t>
  </si>
  <si>
    <t>274</t>
  </si>
  <si>
    <t>159</t>
  </si>
  <si>
    <t>PL4</t>
  </si>
  <si>
    <t>Exteriérové dvojkrídlové plastové okno jedno krídlo pevné, druhé otváravo-sklopné, rozmer 2400x1200 mm, rámová konštrukcia z plastových viackomorových profilov, výplň - zasklenie čírym izolačným dvojsklom, charakteristiky: Uf rámu max.1,3W/m2K, Ug zasklen</t>
  </si>
  <si>
    <t>276</t>
  </si>
  <si>
    <t>PL5</t>
  </si>
  <si>
    <t>Exteriérové dvojkrídlové plastové okno obe krídla pevné, rozmer 2400x1200 mm, rámová konštrukcia z plastových viackomorových profilov, výplň - zasklenie čírym izolačným dvojsklom, charakteristiky: Uf rámu max.1,3W/m2K, Ug zasklenia max.1,1 W/m2K, štandard</t>
  </si>
  <si>
    <t>278</t>
  </si>
  <si>
    <t>161</t>
  </si>
  <si>
    <t>PL6</t>
  </si>
  <si>
    <t>Exteriérové dvojkrídlové plastové okno obe krídla pevné, rozmer 2200x1200 mm, rámová konštrukcia z plastových viackomorových profilov, výplň - zasklenie čírym izolačným dvojsklom, charakteristiky: Uf rámu max.1,3W/m2K, Ug zasklenia max.1,1 W/m2K, štandard</t>
  </si>
  <si>
    <t>280</t>
  </si>
  <si>
    <t>PL7</t>
  </si>
  <si>
    <t>Exteriérové plastové okno sklopné, rozmer 1200x1200 mm, rámová konštrukcia z plastových viackomorových profilov, výplň - zasklenie čírym izolačným dvojsklom, charakteristiky: Uf rámu max.1,3W/m2K, Ug zasklenia max.1,1 W/m2K, štandardný hliníkový dištančný</t>
  </si>
  <si>
    <t>282</t>
  </si>
  <si>
    <t>163</t>
  </si>
  <si>
    <t>PL8</t>
  </si>
  <si>
    <t>Exteriérové plastové okno otváravo-sklopné, rozmer 1200x950 mm, rámová konštrukcia z plastových viackomorových profilov, výplň - zasklenie čírym izolačným dvojsklom, charakteristiky: Uf rámu max.1,3W/m2K, Ug zasklenia max.1,1 W/m2K, štandardný hliníkový d</t>
  </si>
  <si>
    <t>284</t>
  </si>
  <si>
    <t>PL9</t>
  </si>
  <si>
    <t>Exteriérové dvojkrídlové plastové okno so stĺpikom jedno krídlo otváravo-sklopné, druhé otváravé, rozmer 1200x600 mm, rámová konštrukcia z plastových viackomorových profilov, výplň - zasklenie čírym izolačným dvojsklom, charakteristiky: Uf rámu max.1,3W/m</t>
  </si>
  <si>
    <t>286</t>
  </si>
  <si>
    <t>165</t>
  </si>
  <si>
    <t>PL10</t>
  </si>
  <si>
    <t>288</t>
  </si>
  <si>
    <t>283290005900</t>
  </si>
  <si>
    <t>Tesniaca fólia CX exteriér, š. 90 mm, dl. 30 m, pre tesnenie pripájacej škáry okenného rámu a muriva, polymér</t>
  </si>
  <si>
    <t>290</t>
  </si>
  <si>
    <t>167</t>
  </si>
  <si>
    <t>283290005900.S</t>
  </si>
  <si>
    <t>Tesniaca paropriepustná fólia polymér-flísová, š. 90 mm, dl. 30 m, pre tesnenie pripájacej škáry okenného rámu a muriva z exteriéru</t>
  </si>
  <si>
    <t>292</t>
  </si>
  <si>
    <t>767694141.S1</t>
  </si>
  <si>
    <t>M+D parapetná doska plastová s nosom š.150 mm hr.25 mm</t>
  </si>
  <si>
    <t>294</t>
  </si>
  <si>
    <t>169</t>
  </si>
  <si>
    <t>767694141.S2</t>
  </si>
  <si>
    <t>M+D parapetná doska plastová s nosom š.350 mm hr.25 mm</t>
  </si>
  <si>
    <t>296</t>
  </si>
  <si>
    <t>767646510.S</t>
  </si>
  <si>
    <t>Montáž dverí oceľových jednokrídlových, exteriérových</t>
  </si>
  <si>
    <t>298</t>
  </si>
  <si>
    <t>171</t>
  </si>
  <si>
    <t>Oc1</t>
  </si>
  <si>
    <t>Exteriérové oceľové jednokrídlové dvere, rozmer 1000/1970 mm, oceľová hranatá jednodielna zárubňa vložená do otvoru v murovanej stene s prerušeným tepelným mostom, osadenie v rovine obvodovej stena na podkladný tepelnoizolačný profil s výškou 160 mm, v úr</t>
  </si>
  <si>
    <t>300</t>
  </si>
  <si>
    <t>Oc6</t>
  </si>
  <si>
    <t>Exteriérové oceľové jednokrídlové dvere, rozmer 900/1970 mm, oceľová hranatá jednodielna zárubňa vložená do otvoru v murovanej stene s prerušeným tepelným mostom, osadenie v rovine obvodovej stena na podkladný tepelnoizolačný profil s výškou 160 mm, v úro</t>
  </si>
  <si>
    <t>302</t>
  </si>
  <si>
    <t>173</t>
  </si>
  <si>
    <t>Oc10</t>
  </si>
  <si>
    <t>304</t>
  </si>
  <si>
    <t>767643110.S</t>
  </si>
  <si>
    <t>Montáž kovových jednokrídlových ineteriérových dverí</t>
  </si>
  <si>
    <t>306</t>
  </si>
  <si>
    <t>175</t>
  </si>
  <si>
    <t>Oc3</t>
  </si>
  <si>
    <t>Interiérové oceľové jednokrídlové dvere, rozmer 1000/1970 mm, oceľová hranatá jednodielna zárubňa do stavebného otvoru v murovanej stene z pórobetónu, bez prahu, s nulovým presahom do podlahy (plochá tyč 30/3 ako prahová spojka), dvere plné s polodrážkou,</t>
  </si>
  <si>
    <t>308</t>
  </si>
  <si>
    <t>Oc5</t>
  </si>
  <si>
    <t>Interiérové oceľové jednokrídlové dvere, rozmer 800/1970 mm, oceľová hranatá jednodielna zárubňa na suchú montáž (priskrutkovanie) do stavebného otvoru, bez prahu, s nulovým presahom do podlahy (plochá tyč 30/3 ako prahová spojka), dvere plné s polodrážko</t>
  </si>
  <si>
    <t>310</t>
  </si>
  <si>
    <t>177</t>
  </si>
  <si>
    <t>Oc8</t>
  </si>
  <si>
    <t>Interiérové oceľové jednokrídlové dvere, rozmer 900/1970 mm, oceľová hranatá jednodielna zárubňa do stavebného otvoru v murovanej stene, bez prahu, s nulovým presahom do podlahy (plochá tyč 30/3 ako prahová spojka), dvere plné s polodrážkou, jednoplášťové</t>
  </si>
  <si>
    <t>312</t>
  </si>
  <si>
    <t>767643120.S1</t>
  </si>
  <si>
    <t>Montáž dverí kovových kyvných dvojkrídlových ineteriérových dverí</t>
  </si>
  <si>
    <t>314</t>
  </si>
  <si>
    <t>179</t>
  </si>
  <si>
    <t>Oc2</t>
  </si>
  <si>
    <t>Interiérové oceľové dvojkrídlové dvere, rozmer 1600/1970 mm, oceľová hranatá jednodielna zárubňa do stavebného otvoru v murovanej stene, bez prahu, s nulovým presahom do podlahy (plochá tyč 30/3 ako prahová spojka), dvere plné s polodrážkou, jednoplášťové</t>
  </si>
  <si>
    <t>316</t>
  </si>
  <si>
    <t>767643110.S1</t>
  </si>
  <si>
    <t>Montáž dverí kovových kyvných jednokrídlových ineteriérových dverí - protipožiarne</t>
  </si>
  <si>
    <t>318</t>
  </si>
  <si>
    <t>181</t>
  </si>
  <si>
    <t>Oc7</t>
  </si>
  <si>
    <t>Interiérové oceľové protipožiarne jednokrídlové dvere, požiarna odolnosť EW15D3+C, rozmer 900/1970 mm, oceľová hranatá jednodielna zárubňa do stavebného otvoru v murovanej stene, bez prahu, s nulovým presahom do podlahy (plochá tyč 30/3 ako prahová spojka</t>
  </si>
  <si>
    <t>320</t>
  </si>
  <si>
    <t>Oc9</t>
  </si>
  <si>
    <t>Interiérové oceľové protipožiarne jednokrídlové dvere, požiarna odolnosť EW30D1+C, rozmer 1000/1970 mm, oceľová hranatá jednodielna zárubňa do stavebného otvoru v murovanej stene, bez prahu, s nulovým presahom do podlahy (plochá tyč 30/3 ako prahová spojk</t>
  </si>
  <si>
    <t>322</t>
  </si>
  <si>
    <t>183</t>
  </si>
  <si>
    <t>767643120.S2</t>
  </si>
  <si>
    <t>Montáž kovových dvojkrídlových ineteriérových dverí - protipožiarnych</t>
  </si>
  <si>
    <t>324</t>
  </si>
  <si>
    <t>Oc4</t>
  </si>
  <si>
    <t>Interiérové oceľové protipožiarne dvojkrídlové dvere, požiarna odolnosť EW30D3+C+K, rozmer 1000/1970 mm, oceľová hranatá jednodielna zárubňa do stavebného otvoru v murovanej stene, bez prahu, s nulovým presahom do podlahy (plochá tyč 30/3 ako prahová spoj</t>
  </si>
  <si>
    <t>326</t>
  </si>
  <si>
    <t>185</t>
  </si>
  <si>
    <t>767658315.S1</t>
  </si>
  <si>
    <t>M+D sekčnej brány , rozmer 3600x3600 mm, priemyselná brána s elektrickým pohonom a núdzovým ovládaním (reťazou), konštrukcia vrátového krídla zo zateplených panelovs izolačnou výplňou hr.40 mm, pás presvetlovacích panelov s dolnou hranou na úrovni min.210</t>
  </si>
  <si>
    <t>328</t>
  </si>
  <si>
    <t>767658315.S2</t>
  </si>
  <si>
    <t>M+D sekčnej brány s integrovanými dverami, rozmer 3450x3600 mm, priemyselná brána s elektrickým pohonom a núdzovým ovládaním (reťazou), konštrukcia vrátového krídla zo zateplených panelovs izolačnou výplňou hr.40 mm, integrované dvere s prahom, pás presve</t>
  </si>
  <si>
    <t>330</t>
  </si>
  <si>
    <t>187</t>
  </si>
  <si>
    <t>767995104.S</t>
  </si>
  <si>
    <t>Montáž ostatných atypických kovových stavebných doplnkových konštrukcií nad 5 do 20 kg, vr.povrchovej úpravy</t>
  </si>
  <si>
    <t>332</t>
  </si>
  <si>
    <t>767995105.S</t>
  </si>
  <si>
    <t>Montáž ostatných atypických kovových stavebných doplnkových konštrukcií nad 50 do 100 kg, vr.povrchovej úpravy a doldávky</t>
  </si>
  <si>
    <t>334</t>
  </si>
  <si>
    <t>189</t>
  </si>
  <si>
    <t>767995106.S</t>
  </si>
  <si>
    <t>Montáž ostatných atypických kovových stavebných doplnkových konštrukcií nad 100 do 250 kg, vr.povrchovej úpravy a dodávky</t>
  </si>
  <si>
    <t>336</t>
  </si>
  <si>
    <t>767995107.S</t>
  </si>
  <si>
    <t>Montáž ostatných atypických kovových stavebných doplnkových konštrukcií nad 250 do 500 kg, vr.povrchovej úpravy a dodávky</t>
  </si>
  <si>
    <t>338</t>
  </si>
  <si>
    <t>191</t>
  </si>
  <si>
    <t>767996801.S</t>
  </si>
  <si>
    <t>Demontáž ostatných doplnkov stavieb s hmotnosťou jednotlivých dielov konštrukcií do 50 kg,  -0,00100t</t>
  </si>
  <si>
    <t>340</t>
  </si>
  <si>
    <t>767996802.S</t>
  </si>
  <si>
    <t>Demontáž ostatných doplnkov stavieb s hmotnosťou jednotlivých dielov konštr. nad 50 do 100 kg,  -0,00100t</t>
  </si>
  <si>
    <t>342</t>
  </si>
  <si>
    <t>193</t>
  </si>
  <si>
    <t>767996803.S</t>
  </si>
  <si>
    <t>Demontáž ostatných doplnkov stavieb s hmotnosťou jednotlivých dielov konšt. nad 100 do 250 kg,  -0,00100t</t>
  </si>
  <si>
    <t>344</t>
  </si>
  <si>
    <t>767996805.S</t>
  </si>
  <si>
    <t>Demontáž ostatných doplnkov stavieb s hmotnosťou jednotlivých dielov konšt. nad 500 kg,  -0,00100t</t>
  </si>
  <si>
    <t>346</t>
  </si>
  <si>
    <t>195</t>
  </si>
  <si>
    <t>998767202.S</t>
  </si>
  <si>
    <t>Presun hmôt pre kovové stavebné doplnkové konštrukcie v objektoch výšky nad 6 do 12 m</t>
  </si>
  <si>
    <t>348</t>
  </si>
  <si>
    <t>769</t>
  </si>
  <si>
    <t>Montáž vzduchotechnických zariadení</t>
  </si>
  <si>
    <t>769035003.S1</t>
  </si>
  <si>
    <t>Montáž dvernej mriežky prierezu 0.090-0.190 m2 kovová ventilačná mriežka so sieťovinou proti vtáctvu a s pevnými horizontálnymi žalúziami so sklonom, rozmer 355x550 mm, vr.dodávky</t>
  </si>
  <si>
    <t>350</t>
  </si>
  <si>
    <t>197</t>
  </si>
  <si>
    <t>769083145.S</t>
  </si>
  <si>
    <t>Demontáž štvorhranného potrubia dĺžky 1000 mm do obvodu 4000 mm,  -0,0101 t</t>
  </si>
  <si>
    <t>352</t>
  </si>
  <si>
    <t>771</t>
  </si>
  <si>
    <t>Podlahy z dlaždíc</t>
  </si>
  <si>
    <t>771571112.S</t>
  </si>
  <si>
    <t>Montáž podláh z dlaždíc keramických do malty veľ. 300 x 300 mm, vr.škárovania</t>
  </si>
  <si>
    <t>354</t>
  </si>
  <si>
    <t>199</t>
  </si>
  <si>
    <t>7715711</t>
  </si>
  <si>
    <t>Montáž podláh z dlaždíc keramických do malty veľ. 500 x 500 mm, vr.škárovania</t>
  </si>
  <si>
    <t>356</t>
  </si>
  <si>
    <t>5977400010</t>
  </si>
  <si>
    <t>ozn.P1- Dlaždice keramické  lxv 300x300x9 farba svetlošedá mm  R12/A, PT, lepiaca  malta hr.3mm+ škarovacia hmota</t>
  </si>
  <si>
    <t>358</t>
  </si>
  <si>
    <t>201</t>
  </si>
  <si>
    <t>998771202.S</t>
  </si>
  <si>
    <t>Presun hmôt pre podlahy z dlaždíc v objektoch výšky nad 6 do 12 m</t>
  </si>
  <si>
    <t>360</t>
  </si>
  <si>
    <t>781</t>
  </si>
  <si>
    <t>Dokončovacie práce a obklady</t>
  </si>
  <si>
    <t>781441020.S</t>
  </si>
  <si>
    <t>Montáž obkladov vnútor. stien z obkladačiek kladených do malty veľ. 300x300 mm,  vr. Ukončovacích a rohových profilov</t>
  </si>
  <si>
    <t>362</t>
  </si>
  <si>
    <t>203</t>
  </si>
  <si>
    <t>597640000800.S1</t>
  </si>
  <si>
    <t>Obkladačky keramické glazované jednofarebné hladké lxv 300x300x8 mm</t>
  </si>
  <si>
    <t>364</t>
  </si>
  <si>
    <t>998781202.S</t>
  </si>
  <si>
    <t>Presun hmôt pre obklady keramické v objektoch výšky nad 6 do 12 m</t>
  </si>
  <si>
    <t>366</t>
  </si>
  <si>
    <t>783</t>
  </si>
  <si>
    <t>Nátery</t>
  </si>
  <si>
    <t>205</t>
  </si>
  <si>
    <t>783201811.S1</t>
  </si>
  <si>
    <t>Odstránenie starých náterov z kovových stavebných doplnkových konštrukcií oškrabaním - očistenie a odmastenie</t>
  </si>
  <si>
    <t>368</t>
  </si>
  <si>
    <t>783201821.S1</t>
  </si>
  <si>
    <t>Odstránenie starých náterov z kovových stavebných doplnkových konštrukcií opálením alebo oklepaním - brúsenie</t>
  </si>
  <si>
    <t>370</t>
  </si>
  <si>
    <t>207</t>
  </si>
  <si>
    <t>783125730.S</t>
  </si>
  <si>
    <t>Nátery oceľ.konštr. syntetické ľahkých C alebo veľmi ľahkých CC základné - 35μm</t>
  </si>
  <si>
    <t>372</t>
  </si>
  <si>
    <t>783134130.S</t>
  </si>
  <si>
    <t>Nátery oceľ.konštr. chlórkaučuk. ľahkých C, veľmi ľahkých CC dvojnás. 2x s emailov. - 140μm</t>
  </si>
  <si>
    <t>374</t>
  </si>
  <si>
    <t>784</t>
  </si>
  <si>
    <t>Dokončovacie práce - maľby</t>
  </si>
  <si>
    <t>209</t>
  </si>
  <si>
    <t>784410100.S</t>
  </si>
  <si>
    <t>Penetrovanie jednonásobné jemnozrnných podkladov výšky nad 3,80 m</t>
  </si>
  <si>
    <t>376</t>
  </si>
  <si>
    <t>784424271.S</t>
  </si>
  <si>
    <t>Maľby vápenné dvojnásobné ručne nanášané, tónované s bielym stropom na podklad jemnozrnný nad 3,80 m</t>
  </si>
  <si>
    <t>378</t>
  </si>
  <si>
    <t>211</t>
  </si>
  <si>
    <t>784424PC001</t>
  </si>
  <si>
    <t>Maliarsky náter vonkajších stien 1x na adhézny mostík</t>
  </si>
  <si>
    <t>380</t>
  </si>
  <si>
    <t>787</t>
  </si>
  <si>
    <t>787193311</t>
  </si>
  <si>
    <t>Zasklievanie bezpečnostným sklom hr.10 mm na lišty plochy do 1,5 m2</t>
  </si>
  <si>
    <t>382</t>
  </si>
  <si>
    <t>43-M</t>
  </si>
  <si>
    <t>213</t>
  </si>
  <si>
    <t>430862006.S</t>
  </si>
  <si>
    <t>Montáž rôznych dielov OK - druhá cenová krivka do 10 000 kg vrátane</t>
  </si>
  <si>
    <t>384</t>
  </si>
  <si>
    <t>5534301</t>
  </si>
  <si>
    <t>386</t>
  </si>
  <si>
    <t>215</t>
  </si>
  <si>
    <t>MD</t>
  </si>
  <si>
    <t>Mimostavenisková doprava</t>
  </si>
  <si>
    <t>388</t>
  </si>
  <si>
    <t>PD</t>
  </si>
  <si>
    <t>Presun dodávok</t>
  </si>
  <si>
    <t>390</t>
  </si>
  <si>
    <t>217</t>
  </si>
  <si>
    <t>PPV</t>
  </si>
  <si>
    <t>Podiel pridružených výkonov</t>
  </si>
  <si>
    <t>392</t>
  </si>
  <si>
    <t>E1.3 - Zdravotechnika</t>
  </si>
  <si>
    <t xml:space="preserve">HSV - Práce a dodávky HSV   </t>
  </si>
  <si>
    <t xml:space="preserve">    1 - Zemné práce   </t>
  </si>
  <si>
    <t xml:space="preserve">    4 - Vodorovné konštrukcie   </t>
  </si>
  <si>
    <t xml:space="preserve">    9 - Ostatné konštrukcie a práce-búranie   </t>
  </si>
  <si>
    <t xml:space="preserve">PSV - Práce a dodávky PSV   </t>
  </si>
  <si>
    <t xml:space="preserve">    713 - Izolácie tepelné   </t>
  </si>
  <si>
    <t xml:space="preserve">    721 - Zdravotech. vnútorná kanalizácia   </t>
  </si>
  <si>
    <t xml:space="preserve">    722 - Zdravotechnika - vnútorný vodovod   </t>
  </si>
  <si>
    <t xml:space="preserve">    725 - Zdravotechnika - zariaď. predmety   </t>
  </si>
  <si>
    <t xml:space="preserve">    767 - Konštrukcie doplnkové kovové   </t>
  </si>
  <si>
    <t xml:space="preserve">Práce a dodávky HSV   </t>
  </si>
  <si>
    <t xml:space="preserve">Zemné práce   </t>
  </si>
  <si>
    <t>132311111.S</t>
  </si>
  <si>
    <t>Hĺbenie rýh šírky do 600 mm v  hornine tr.4 nesúdržných - ručným  alebo pneumatickým náradím</t>
  </si>
  <si>
    <t>167101100.S</t>
  </si>
  <si>
    <t>Nakladanie výkopku tr.1-4 ručne</t>
  </si>
  <si>
    <t>162501102.S</t>
  </si>
  <si>
    <t>Vodorovné premiestnenie výkopku po spevnenej ceste z horniny tr.1-4, do 100 m3 na vzdialenosť do 3000 m</t>
  </si>
  <si>
    <t>171201201.S</t>
  </si>
  <si>
    <t>Uloženie sypaniny na skládky do 100 m3</t>
  </si>
  <si>
    <t>162501212.S</t>
  </si>
  <si>
    <t>Vodorovné premiestnenie výkopku po spevnenej ceste z horniny tr.5-7, do 100 m3 na vzdialenosť do 3000 m</t>
  </si>
  <si>
    <t>162501213.S</t>
  </si>
  <si>
    <t>Vodorovné premiestnenie výkopku po spevnenej ceste z horniny tr.5-7, do 100 m3, príplatok k cene za každých ďalšich a začatých 1000 m</t>
  </si>
  <si>
    <t>167101151.S</t>
  </si>
  <si>
    <t>Nakladanie neuľahnutého výkopku z hornín tr.5-7 do 100 m3</t>
  </si>
  <si>
    <t>162701105</t>
  </si>
  <si>
    <t>Poplatok za skladovanie vykopanej horniny (2,579x1,67t=4,307t)</t>
  </si>
  <si>
    <t>175101202</t>
  </si>
  <si>
    <t>Obsyp objektov sypaninou z vhodných hornín 1 až 4 s prehodením sypaniny</t>
  </si>
  <si>
    <t>583310002700</t>
  </si>
  <si>
    <t>Štrkopiesok frakcia 0-8 mm, STN EN 12620 + A1</t>
  </si>
  <si>
    <t xml:space="preserve">Vodorovné konštrukcie   </t>
  </si>
  <si>
    <t>451573111</t>
  </si>
  <si>
    <t>Lôžko pod potrubie, stoky a drobné objekty, v otvorenom výkope z piesku a štrkopiesku do 20 mm (pod podtrubie splaškovej kanalizácie)</t>
  </si>
  <si>
    <t xml:space="preserve">Ostatné konštrukcie a práce-búranie   </t>
  </si>
  <si>
    <t>971042241.S</t>
  </si>
  <si>
    <t>Vybúranie otvoru v betónových priečkach a stenách plochy do 0,0225 m2, do 300 mm,  -0,01500t</t>
  </si>
  <si>
    <t>971042351.S</t>
  </si>
  <si>
    <t>Vybúranie otvoru v betónových priečkach a stenách plochy do 0,09 m2, hr. do 450 mm,  -0,18900t</t>
  </si>
  <si>
    <t>979011111</t>
  </si>
  <si>
    <t>979011121.S</t>
  </si>
  <si>
    <t>Zvislá doprava sutiny a vybúraných hmôt za každé ďalšie podlažie</t>
  </si>
  <si>
    <t>979081111</t>
  </si>
  <si>
    <t>Odvoz sutiny a vybúraných hmôt na skládku do 1 km</t>
  </si>
  <si>
    <t>979081121</t>
  </si>
  <si>
    <t>Odvoz sutiny a vybúraných hmôt na skládku za každý ďalší 1 km (24 km)</t>
  </si>
  <si>
    <t>979082111</t>
  </si>
  <si>
    <t>Vnútrostavenisková doprava sutiny a vybúraných hmôt za každých ďalších 5 m</t>
  </si>
  <si>
    <t>979089612.S</t>
  </si>
  <si>
    <t>Poplatok za skládku - iné odpady zo stavieb a demolácií (17 09), ostatné</t>
  </si>
  <si>
    <t xml:space="preserve">Práce a dodávky PSV   </t>
  </si>
  <si>
    <t xml:space="preserve">Izolácie tepelné   </t>
  </si>
  <si>
    <t>713482111.S</t>
  </si>
  <si>
    <t>Montáž trubíc z PE, hr.do 10 mm,vnút.priemer do 38 mm</t>
  </si>
  <si>
    <t>283310000400.S</t>
  </si>
  <si>
    <t>Izolačná PE trubica dxhr. 20x5 mm, nenadrezaná, na izolovanie rozvodov vody, kúrenia, zdravotechniky</t>
  </si>
  <si>
    <t>283310000700.S</t>
  </si>
  <si>
    <t>Izolačná PE trubica dxhr. 28x5 mm, nenadrezaná, na izolovanie rozvodov vody, kúrenia, zdravotechniky</t>
  </si>
  <si>
    <t>283310003100.S</t>
  </si>
  <si>
    <t>Izolačná PE trubica dxhr. 28x13 mm, nadrezaná, na izolovanie rozvodov vody, kúrenia, zdravotechniky</t>
  </si>
  <si>
    <t>283310003200.S</t>
  </si>
  <si>
    <t>Izolačná PE trubica dxhr. 32x13 mm, nadrezaná, na izolovanie rozvodov vody, kúrenia, zdravotechniky</t>
  </si>
  <si>
    <t>713482112.S</t>
  </si>
  <si>
    <t>Montáž trubíc z PE, hr.do 10 mm,vnút.priemer 39-70 mm</t>
  </si>
  <si>
    <t>283310003500.S</t>
  </si>
  <si>
    <t>Izolačná PE trubica dxhr. 42x13 mm, nadrezaná, na izolovanie rozvodov vody, kúrenia, zdravotechniky</t>
  </si>
  <si>
    <t>283310003600.S</t>
  </si>
  <si>
    <t>Izolačná PE trubica dxhr. 48x13 mm, nadrezaná, na izolovanie rozvodov vody, kúrenia, zdravotechniky</t>
  </si>
  <si>
    <t>283310003700.S</t>
  </si>
  <si>
    <t>Izolačná PE trubica dxhr. 50x13 mm, nadrezaná, na izolovanie rozvodov vody, kúrenia, zdravotechniky</t>
  </si>
  <si>
    <t>283310003800.S</t>
  </si>
  <si>
    <t>Izolačná PE trubica dxhr. 54x13 mm, nadrezaná, na izolovanie rozvodov vody, kúrenia, zdravotechniky</t>
  </si>
  <si>
    <t>713482121.S</t>
  </si>
  <si>
    <t>Montáž trubíc z PE, hr.15-20 mm,vnút.priemer do 38 mm</t>
  </si>
  <si>
    <t>283310004700.S</t>
  </si>
  <si>
    <t>Izolačná PE trubica dxhr. 22x20 mm, nadrezaná, na izolovanie rozvodov vody, kúrenia, zdravotechniky</t>
  </si>
  <si>
    <t>998713201.S</t>
  </si>
  <si>
    <t>Presun hmôt pre izolácie tepelné v objektoch výšky do 6 m</t>
  </si>
  <si>
    <t>998713294.S</t>
  </si>
  <si>
    <t>Izolácie tepelné, prípl.za presun nad vymedz. najväčšiu dopravnú vzdial. do 1000 m</t>
  </si>
  <si>
    <t>721</t>
  </si>
  <si>
    <t xml:space="preserve">Zdravotech. vnútorná kanalizácia   </t>
  </si>
  <si>
    <t>721140802.S</t>
  </si>
  <si>
    <t>Demontáž potrubia z liatinových rúr odpadového alebo dažďového do DN 100,  -0,01492t</t>
  </si>
  <si>
    <t>721140806.S</t>
  </si>
  <si>
    <t>Demontáž potrubia z liatinových rúr odpadového alebo dažďového nad DN 100 do DN 200,  -0,03065t</t>
  </si>
  <si>
    <t>721171803.S</t>
  </si>
  <si>
    <t>Demontáž potrubia z PVC-U rúr odpadového alebo pripojovacieho do D 75 mm,  -0,00156 t</t>
  </si>
  <si>
    <t>721210813.S</t>
  </si>
  <si>
    <t>Demontáž vpustu podlahového z kyselinovzdornej kameniny DN 100,  -0,02961t</t>
  </si>
  <si>
    <t>721220801.S</t>
  </si>
  <si>
    <t>Demontáž zápachovej uzávierky do DN 70,  -0,00310t</t>
  </si>
  <si>
    <t>721290822.S</t>
  </si>
  <si>
    <t>Vnútrostav. premiestnenie vybúraných hmôt vnútor. kanal. vodorovne do 100 m z budov vysokých do 12 m</t>
  </si>
  <si>
    <t>721140915.S</t>
  </si>
  <si>
    <t>Oprava odpadového potrubia liatinového prepojenie doterajšieho potrubia DN 100</t>
  </si>
  <si>
    <t>721140916.S</t>
  </si>
  <si>
    <t>Oprava odpadového potrubia liatinového prepojenie doterajšieho potrubia DN 125</t>
  </si>
  <si>
    <t>721140923</t>
  </si>
  <si>
    <t>Oprava odpadového potrubia liatinového zaslepenie potrubia DN 100</t>
  </si>
  <si>
    <t>721300912.S</t>
  </si>
  <si>
    <t>Prečistenie zvislých odpadov v jednom podlaží do DN 200</t>
  </si>
  <si>
    <t>721300922.S</t>
  </si>
  <si>
    <t>Prečistenie ležatých zvodov do DN 300</t>
  </si>
  <si>
    <t>721171130.S</t>
  </si>
  <si>
    <t>Potrubie z PVC - U odpadové ležaté hrdlové v zemi D 110 mm</t>
  </si>
  <si>
    <t>721172023.S</t>
  </si>
  <si>
    <t>Potrubie odpadové HT z PP, zvislé DN 110</t>
  </si>
  <si>
    <t>721172031.S</t>
  </si>
  <si>
    <t>Potrubie odpadové HT z PP, pripojovacie DN 32</t>
  </si>
  <si>
    <t>721172032.S</t>
  </si>
  <si>
    <t>Potrubie odpadové HT z PP, pripojovacie DN 40</t>
  </si>
  <si>
    <t>721172033.S</t>
  </si>
  <si>
    <t>Potrubie odpadové HT z PP, pripojovacie DN 50</t>
  </si>
  <si>
    <t>721172035.S</t>
  </si>
  <si>
    <t>Potrubie odpadové HT z PP, pripojovacie DN 110</t>
  </si>
  <si>
    <t>721172357.S</t>
  </si>
  <si>
    <t>Montáž čistiaceho kusu HT potrubia DN 100</t>
  </si>
  <si>
    <t>286540019100.S</t>
  </si>
  <si>
    <t>Čistiaci kus HT DN 100, PP systém pre beztlakový rozvod vnútorného odpadu</t>
  </si>
  <si>
    <t>721194104.S</t>
  </si>
  <si>
    <t>Zriadenie prípojky na potrubí vyvedenie a upevnenie odpadových výpustiek D 40 mm</t>
  </si>
  <si>
    <t>721194105.S</t>
  </si>
  <si>
    <t>Zriadenie prípojky na potrubí vyvedenie a upevnenie odpadových výpustiek D 50 mm</t>
  </si>
  <si>
    <t>721194109.S</t>
  </si>
  <si>
    <t>Zriadenie prípojky na potrubí vyvedenie a upevnenie odpadových výpustiek D 110 mm</t>
  </si>
  <si>
    <t>721213012.S</t>
  </si>
  <si>
    <t>Montáž podlahového vpustu s vodorovným odtokom pivničného DN 110</t>
  </si>
  <si>
    <t>286630048100.S</t>
  </si>
  <si>
    <t>G - Pivničný liatinový podlahový vpust, horizontálny odtok  DN 110, mriežka nerez, zápachová uzávierka</t>
  </si>
  <si>
    <t>721213011.S</t>
  </si>
  <si>
    <t>Montáž podlahového vpustu s vodorovným odtokom DN 110</t>
  </si>
  <si>
    <t>286630024600</t>
  </si>
  <si>
    <t>G1 - Podlahový vpust HL304-3020, DN 50(0,5 l/s), 3x prítok DN 40/50, horizontálny odtok, izolačná príruba, nadstavec s možnosťou nalepenia dlažby 132x132 mm, PE</t>
  </si>
  <si>
    <t>721290111.S</t>
  </si>
  <si>
    <t>Ostatné - skúška tesnosti kanalizácie v objektoch vodou do DN 125</t>
  </si>
  <si>
    <t>721300922</t>
  </si>
  <si>
    <t>hod.</t>
  </si>
  <si>
    <t>998721201.S</t>
  </si>
  <si>
    <t>Presun hmôt pre vnútornú kanalizáciu v objektoch výšky do 6 m</t>
  </si>
  <si>
    <t>998721294.S</t>
  </si>
  <si>
    <t>Vnútorná kanalizácia, prípl.za presun nad vymedz. najväč. dopr. vzdial. do 1000m</t>
  </si>
  <si>
    <t>722</t>
  </si>
  <si>
    <t xml:space="preserve">Zdravotechnika - vnútorný vodovod   </t>
  </si>
  <si>
    <t>722130801.S</t>
  </si>
  <si>
    <t>Demontáž potrubia z oceľových rúrok závitových do DN 25,  -0,00213t</t>
  </si>
  <si>
    <t>722130802.S</t>
  </si>
  <si>
    <t>Demontáž potrubia z oceľových rúrok závitových nad DN 25 do DN 40,  -0,00497t</t>
  </si>
  <si>
    <t>722130803.S</t>
  </si>
  <si>
    <t>Demontáž potrubia z oceľových rúrok závitových nad DN 40 do DN 50,  -0,00670t</t>
  </si>
  <si>
    <t>722181812.S</t>
  </si>
  <si>
    <t>Demontáž plstených pásov z rúr do D 50 mm,  -0,00023t</t>
  </si>
  <si>
    <t>722181817.S</t>
  </si>
  <si>
    <t>Demontáž plstených pásov z rúr D 50 mm - D 150 mm,  -0,00060t</t>
  </si>
  <si>
    <t>722220862.S</t>
  </si>
  <si>
    <t>Demontáž armatúry závitovej s dvomi závitmi nad G 3/4 do G 5/4,  -0,00123t</t>
  </si>
  <si>
    <t>722220864.S</t>
  </si>
  <si>
    <t>Demontáž armatúry závitovej s dvomi závitmi G 2,  -0,00244t</t>
  </si>
  <si>
    <t>PC 72221180</t>
  </si>
  <si>
    <t>Demontáž existujúcej  hydrantovej skrine s výzbrojou C52, DN50,  -0,025t</t>
  </si>
  <si>
    <t>722290822.S</t>
  </si>
  <si>
    <t>Vnútrostav. premiestnenie vybúraných hmôt vnútorný vodovod vodorovne do 100 m z budov vys. do 12 m</t>
  </si>
  <si>
    <t>722131938.S</t>
  </si>
  <si>
    <t>Oprava vodovodného potrubia závitového prepojenie doterajšieho potrubia DN 80</t>
  </si>
  <si>
    <t>722161012.S</t>
  </si>
  <si>
    <t>Vodovodné potrubie z nerezových rúrok spájaných lisovaním D 35 mm</t>
  </si>
  <si>
    <t>722161018.S</t>
  </si>
  <si>
    <t>Vodovodné potrubie z nerezových rúrok spájaných lisovaním D 54 mm</t>
  </si>
  <si>
    <t>722130212.S</t>
  </si>
  <si>
    <t>Potrubie z oceľových rúr pozink. bezšvíkových bežných-11 353.0, 10 004.0 zvarov. bežných-11 343.00 DN 20</t>
  </si>
  <si>
    <t>722130213.S</t>
  </si>
  <si>
    <t>Potrubie z oceľových rúr pozink. bezšvíkových bežných-11 353.0, 10 004.0 zvarov. bežných-11 343.00 DN 25</t>
  </si>
  <si>
    <t>722130214.S</t>
  </si>
  <si>
    <t>Potrubie z oceľových rúr pozink. bezšvíkových bežných-11 353.0, 10 004.0 zvarov. bežných-11 343.00 DN 32</t>
  </si>
  <si>
    <t>722130215.S</t>
  </si>
  <si>
    <t>Potrubie z oceľových rúr pozink. bezšvíkových bežných-11 353.0, 10 004.0 zvarov. bežných-11 343.00 DN 40</t>
  </si>
  <si>
    <t>722130216.S</t>
  </si>
  <si>
    <t>Potrubie z oceľových rúr pozink. bezšvíkových bežných-11 353.0, 10 004.0 zvarov. bežných-11 343.00 DN 50</t>
  </si>
  <si>
    <t>722171132.S</t>
  </si>
  <si>
    <t>Plasthliníkové potrubie v tyčiach spájané lisovaním d 20 mm, tlakové, pre rozvody pitnej vody- studenej a teplej (Pex-Al-Pex)</t>
  </si>
  <si>
    <t>722171133.S</t>
  </si>
  <si>
    <t>Plasthliníkové potrubie v tyčiach spájané lisovaním d 26 mm, tlakové, pre rozvody pitnej vody- studenej a teplej (Pex-Al-Pex)</t>
  </si>
  <si>
    <t>722171134.S</t>
  </si>
  <si>
    <t>Plasthliníkové potrubie v tyčiach spájané lisovaním d 32 mm, tlakové, pre rozvody pitnej vody- studenej a teplej (Pex-Al-Pex)</t>
  </si>
  <si>
    <t>722171135.S</t>
  </si>
  <si>
    <t>Plasthliníkové potrubie v tyčiach spájané lisovaním d 40 mm, tlakové, pre rozvody pitnej vody- studenej a teplej (Pex-Al-Pex)</t>
  </si>
  <si>
    <t>722190401.S</t>
  </si>
  <si>
    <t>Vyvedenie a upevnenie výpustky DN 15</t>
  </si>
  <si>
    <t>722190403.S</t>
  </si>
  <si>
    <t>Vyvedenie a upevnenie výpustky DN 25</t>
  </si>
  <si>
    <t>722221010.S</t>
  </si>
  <si>
    <t>Montáž guľového kohúta závitového priameho pre vodu G 1/2</t>
  </si>
  <si>
    <t>551110004905</t>
  </si>
  <si>
    <t>Guľový uzáver pre vodu, závitový 1/2" FF, plnoprietokový, s páčkou  - (GK, DN15)</t>
  </si>
  <si>
    <t>722221015.S</t>
  </si>
  <si>
    <t>Montáž guľového kohúta závitového priameho pre vodu G 3/4</t>
  </si>
  <si>
    <t>551110005005</t>
  </si>
  <si>
    <t>Guľový uzáver pre vodu, závitový 3/4" FF, plnoprietokový, s páčkou  - (GK, DN20)</t>
  </si>
  <si>
    <t>551110005008</t>
  </si>
  <si>
    <t>Guľový uzáver pre vodu, závitový 3/4" FF, plnoprietokový, s páčkou, s odvodnením  - (GKV, DN20)</t>
  </si>
  <si>
    <t>722221025.S</t>
  </si>
  <si>
    <t>Montáž guľového kohúta závitového priameho pre vodu G 5/4</t>
  </si>
  <si>
    <t>551110005200.S</t>
  </si>
  <si>
    <t>Guľový uzáver pre vodu, závitový 5/4" FF, plnoprietokový, s páčkou - (GK, DN32)</t>
  </si>
  <si>
    <t>722221035.S</t>
  </si>
  <si>
    <t>Montáž guľového kohúta závitového priameho pre vodu G 2</t>
  </si>
  <si>
    <t>551110006005</t>
  </si>
  <si>
    <t>Guľový uzáver pre vodu, závitový 2" FF, plnoprietokový, s páčkou  - (GK, DN50)</t>
  </si>
  <si>
    <t>551110006005.1</t>
  </si>
  <si>
    <t>Guľový uzáver pre vodu, závitový 2" FF, plnoprietokový, s páčkou, s odvodnením  - (GKV, DN50)</t>
  </si>
  <si>
    <t>722221235.S</t>
  </si>
  <si>
    <t>Montáž tlakového redukčného závitového ventilu s manometrom G 5/4</t>
  </si>
  <si>
    <t>551110018400.S</t>
  </si>
  <si>
    <t>Tlakový redukčný ventil, 5/4" mm, so šróbením a manometrom, 1 až 6 bar, mosadz, plast</t>
  </si>
  <si>
    <t>722221290.S</t>
  </si>
  <si>
    <t>Montáž spätného ventilu závitového G 2</t>
  </si>
  <si>
    <t>551110016908</t>
  </si>
  <si>
    <t>722221380.S</t>
  </si>
  <si>
    <t>Montáž vodovodného filtra závitového G 6/4</t>
  </si>
  <si>
    <t>422010003305</t>
  </si>
  <si>
    <t>722221170.S</t>
  </si>
  <si>
    <t>Montáž poistného ventilu závitového pre vodu G 1/2</t>
  </si>
  <si>
    <t>551210021105</t>
  </si>
  <si>
    <t>Ventil poistný pre elektrický zásobníkový ohrievač vody - armatúra T 1847, DN15 (pre EO)</t>
  </si>
  <si>
    <t>722250005.S</t>
  </si>
  <si>
    <t>Montáž hydrantového systému s tvarovo stálou hadicou D 25</t>
  </si>
  <si>
    <t>súb.</t>
  </si>
  <si>
    <t>449150003000</t>
  </si>
  <si>
    <t>H - Hydrantový systém s tvarovo stálou hadicou D 25, hadica 30 m, skriňa 650x650x285 mm, plné dvierka, prúdnica ekv.6</t>
  </si>
  <si>
    <t>722250010.S</t>
  </si>
  <si>
    <t>Montáž hydrantového systému s tvarovo stálou hadicou D 33</t>
  </si>
  <si>
    <t>449150004700</t>
  </si>
  <si>
    <t>H1 - Hydrantový systém s tvarovo stálou hadicou D 33, hadica 30 m, skriňa 800x800x340 mm, navijak s konzolou</t>
  </si>
  <si>
    <t>722290226.S</t>
  </si>
  <si>
    <t>Tlaková skúška vodovodného potrubia závitového do DN 50</t>
  </si>
  <si>
    <t>722290234.S</t>
  </si>
  <si>
    <t>Prepláchnutie a dezinfekcia vodovodného potrubia do DN 80</t>
  </si>
  <si>
    <t>721300922.1</t>
  </si>
  <si>
    <t>stavebno montážne  práce spojené s realizáciou vnútorného vodovodu.... HZS 21,63 EUR/hod</t>
  </si>
  <si>
    <t>998722201.S</t>
  </si>
  <si>
    <t>Presun hmôt pre vnútorný vodovod v objektoch výšky do 6 m</t>
  </si>
  <si>
    <t>998722294.S</t>
  </si>
  <si>
    <t>Vodovod, prípl.za presun nad vymedz. najväčšiu dopravnú vzdialenosť do 1000m</t>
  </si>
  <si>
    <t>725</t>
  </si>
  <si>
    <t xml:space="preserve">Zdravotechnika - zariaď. predmety   </t>
  </si>
  <si>
    <t>725110811.S</t>
  </si>
  <si>
    <t>Demontáž záchoda splachovacieho s nádržou alebo s tlakovým splachovačom,  -0,01933t</t>
  </si>
  <si>
    <t>725210821.S</t>
  </si>
  <si>
    <t>Demontáž umývadiel alebo umývadielok bez výtokovej armatúry,  -0,01946t</t>
  </si>
  <si>
    <t>725310823.S</t>
  </si>
  <si>
    <t>Demontáž drezu jednodielneho bez výtokovej armatúry vstavanej v kuchynskej zostave,  -0,00920t</t>
  </si>
  <si>
    <t>725530823.S</t>
  </si>
  <si>
    <t>Demontáž elektrického zásobníkového ohrievača vody tlakového od 50 l do 200 l,  -0,15500t</t>
  </si>
  <si>
    <t>725810811.S</t>
  </si>
  <si>
    <t>Demontáž výtokového ventilu nástenných,  -0,00049t</t>
  </si>
  <si>
    <t>725820810.S</t>
  </si>
  <si>
    <t>Demontáž batérie drezovej, umývadlovej nástennej,  -0,0026t</t>
  </si>
  <si>
    <t>725590812.S</t>
  </si>
  <si>
    <t>Vnútrostaveniskové premiestnenie vybúraných hmôt zariaďovacích predmetov vodorovne do 100 m z budov s výš. do 12 m</t>
  </si>
  <si>
    <t>725119307.S</t>
  </si>
  <si>
    <t>Montáž záchodovej misy keramickej kombinovanej s rovným odpadom</t>
  </si>
  <si>
    <t>642340000600</t>
  </si>
  <si>
    <t>WC - Kombinované WC keramické  s hlbokým splachovaním, rozmer 360x625 mm, 3/6 l, odpad vodorovný, vrátane záchodovej dosky</t>
  </si>
  <si>
    <t>725149765.S</t>
  </si>
  <si>
    <t>Montáž umývadla do predstenového systému, resp. na konzoly do muriva</t>
  </si>
  <si>
    <t>642110000300</t>
  </si>
  <si>
    <t>U - Umývadlo keramické, rozmer 60x450 mm, s prepadom a otvorom pre batériu, biele</t>
  </si>
  <si>
    <t>725819402.S</t>
  </si>
  <si>
    <t>Montáž ventilu bez pripojovacej rúrky G 1/2</t>
  </si>
  <si>
    <t>551110020000.S</t>
  </si>
  <si>
    <t>U - Guľový ventil rohový, 1/2" - 1/2", s filtrom, chrómovaná mosadz</t>
  </si>
  <si>
    <t>725829601.S</t>
  </si>
  <si>
    <t>Montáž batérie umývadlovej a drezovej stojankovej, pákovej alebo klasickej s mechanickým ovládaním</t>
  </si>
  <si>
    <t>551450003850</t>
  </si>
  <si>
    <t>725245272.S</t>
  </si>
  <si>
    <t>Montáž sprchových kútov kompletných štvrťkruhových do 800x800 mm</t>
  </si>
  <si>
    <t>552230000400.S</t>
  </si>
  <si>
    <t>Kút sprchový štvrťkruhový, štvordielny, rozmer 800x800x1950 mm, 6 mm bezpečnostné sklo</t>
  </si>
  <si>
    <t>642610000300.S</t>
  </si>
  <si>
    <t>Sprchová vanička keramická štvrťkruhová rozmer 800x800 mm</t>
  </si>
  <si>
    <t>725849201.S</t>
  </si>
  <si>
    <t>Montáž batérie sprchovej nástennej pákovej, klasickej</t>
  </si>
  <si>
    <t>551450002605</t>
  </si>
  <si>
    <t>S - Batéria sprchová nástenná páková G1/2", vrátane sprchovej súpravy (sprchová tyč 500mm, ručná sprcha a sprchová hadica), chróm</t>
  </si>
  <si>
    <t>725869301.S</t>
  </si>
  <si>
    <t>Montáž zápachovej uzávierky pre zariaďovacie predmety, umývadlovej do D 40 mm</t>
  </si>
  <si>
    <t>551620006400.S</t>
  </si>
  <si>
    <t>U - Zápachová uzávierka - sifón pre umývadlá DN 40</t>
  </si>
  <si>
    <t>725869340.S</t>
  </si>
  <si>
    <t>Montáž zápachovej uzávierky pre zariaďovacie predmety, sprchovej do D 50 mm</t>
  </si>
  <si>
    <t>551620003400.S</t>
  </si>
  <si>
    <t>S - Zápachová uzávierka sprchových vaničiek DN 40/50</t>
  </si>
  <si>
    <t>725539102.S</t>
  </si>
  <si>
    <t>Montáž elektrického ohrievača závesného zvislého do 80 L</t>
  </si>
  <si>
    <t>541320005500.S</t>
  </si>
  <si>
    <t>EO - Ohrievač vody elektrický tlakový závesný zvislý akumulačný, objem 80 l, el. príkon 2 kW, 230V/50Hz</t>
  </si>
  <si>
    <t>725869380.S</t>
  </si>
  <si>
    <t>Montáž zápachovej uzávierky pre zariaďovacie predmety, ostatných typov do D 32 mm</t>
  </si>
  <si>
    <t>551620027100</t>
  </si>
  <si>
    <t>Vtokový lievik HL21, DN 32, (0,17 l/s), s protizápachovým uzáverom, vetranie a klimatizácia, PP</t>
  </si>
  <si>
    <t>725989101</t>
  </si>
  <si>
    <t>Montáž dvierok krycích</t>
  </si>
  <si>
    <t>5516119100</t>
  </si>
  <si>
    <t>Dvierka krycie 200x200mm, podľa výberu architekta</t>
  </si>
  <si>
    <t>998725202.S</t>
  </si>
  <si>
    <t>Presun hmôt pre zariaďovacie predmety v objektoch výšky nad 6 do 12 m</t>
  </si>
  <si>
    <t>998725294.S</t>
  </si>
  <si>
    <t>Zariaďovacie predmety, prípl.za presun nad vymedz. najväčšiu dopravnú vzdialenosť do 1000 m</t>
  </si>
  <si>
    <t>721300922.2</t>
  </si>
  <si>
    <t xml:space="preserve">Konštrukcie doplnkové kovové   </t>
  </si>
  <si>
    <t>767995101.S</t>
  </si>
  <si>
    <t>Montáž ostatných atypických kovových stavebných doplnkových konštrukcií do 5 kg</t>
  </si>
  <si>
    <t>5542300000</t>
  </si>
  <si>
    <t>Oceľové profily pre zhotovenie závesov pre uchytenie potrubia vodovodu a kanalizácie</t>
  </si>
  <si>
    <t>998767204.S</t>
  </si>
  <si>
    <t>Presun hmôt pre kovové stavebné doplnkové konštrukcie v objektoch výšky nad 24 do 36 m</t>
  </si>
  <si>
    <t>998767294.S</t>
  </si>
  <si>
    <t>Kovové stav.dopln.konštr., prípl.za presun nad najväčšiu dopr. vzdial. do 1000 m</t>
  </si>
  <si>
    <t>E1.5 - Plynoinštalácia</t>
  </si>
  <si>
    <t xml:space="preserve">    723 - Zdravotechnika - vnútorný plynovod   </t>
  </si>
  <si>
    <t xml:space="preserve">    783 - Nátery   </t>
  </si>
  <si>
    <t xml:space="preserve">HZS - Hodinové zúčtovacie sadzby   </t>
  </si>
  <si>
    <t>723</t>
  </si>
  <si>
    <t xml:space="preserve">Zdravotechnika - vnútorný plynovod   </t>
  </si>
  <si>
    <t>723120805</t>
  </si>
  <si>
    <t>Demontáž potrubia zvarovaného z oceľových rúrok závitových nad 25 do DN 50,  -0,00342t</t>
  </si>
  <si>
    <t>723120809</t>
  </si>
  <si>
    <t>Demontáž potrubia zvarovaného z oceľových rúrok závitových nad 50 do DN 80,  -0,00828t</t>
  </si>
  <si>
    <t>722220851</t>
  </si>
  <si>
    <t>Demontáž armatúry závitovej  do G 3/4,  -0,00069t</t>
  </si>
  <si>
    <t>722220855</t>
  </si>
  <si>
    <t>Demontáž armatúry závitovej nad 6/4 do G 2 1/2,  -0,00516t</t>
  </si>
  <si>
    <t>723120202</t>
  </si>
  <si>
    <t>Potrubie z oceľových rúrok závitových čiernych spájaných zvarovaním - akosť 11 353.0 DN 15</t>
  </si>
  <si>
    <t>723150312.S</t>
  </si>
  <si>
    <t>Potrubie z oceľových rúrok hladkých čiernych spájaných zvarov. akosť 11 353.0 Dxt 57x2, 9 mm</t>
  </si>
  <si>
    <t>723190207.S</t>
  </si>
  <si>
    <t>Prípojka plynovodná k zariadeniam z oceľových rúrok hľadkých čiernych DN 50</t>
  </si>
  <si>
    <t>723219102.S</t>
  </si>
  <si>
    <t>Montáž prírubového guľového kohúta , plyn.filtra DN 65</t>
  </si>
  <si>
    <t>551340003100</t>
  </si>
  <si>
    <t>Filter pre plyn prírubový porozit filtračnej vložky 10až 50 mikrom DN 65</t>
  </si>
  <si>
    <t>723219103.S</t>
  </si>
  <si>
    <t>551310000900</t>
  </si>
  <si>
    <t>Guľový uzáver prírubový  na plyn, DN 65</t>
  </si>
  <si>
    <t>319430002000.S</t>
  </si>
  <si>
    <t>Príruba krková privarovacia DN 65, PN16</t>
  </si>
  <si>
    <t>723229102</t>
  </si>
  <si>
    <t>Montáž armatúry závit.sjedným závitom, kohútik hadicový a iné plynovodné armatúry G 1/2</t>
  </si>
  <si>
    <t>551340010000</t>
  </si>
  <si>
    <t>Vzorkovací uzáver plynu priamy PB, d 9,8 mm, 1/2" F, páčka, niklovaná mosadz</t>
  </si>
  <si>
    <t>551340010100</t>
  </si>
  <si>
    <t>Zátka pozinkovaná 1/2"</t>
  </si>
  <si>
    <t>723290822</t>
  </si>
  <si>
    <t>Vnútrostav. premiestnenie vybúraných hmôt vnútorný plynovod vodorovne do 100 m z budov vys. do 12 m</t>
  </si>
  <si>
    <t>998723202</t>
  </si>
  <si>
    <t>Presun hmôt pre vnútorný plynovod v objektoch výšky nad 6 do 12 m</t>
  </si>
  <si>
    <t>767995102</t>
  </si>
  <si>
    <t>Montáž ostatných atypických kovových stavebných doplnkových konštrukcií nad 5 do 10 kg</t>
  </si>
  <si>
    <t>767995103</t>
  </si>
  <si>
    <t>Montáž ostatných atypických kovových stavebných doplnkových konštrukcií nad 10 do 20 kg</t>
  </si>
  <si>
    <t>135100000400</t>
  </si>
  <si>
    <t>Oceľové profily pre zhotovenie závesov pre uchytenie potrubia a zariadení vrátane spojovacieho materiálu</t>
  </si>
  <si>
    <t xml:space="preserve">Nátery   </t>
  </si>
  <si>
    <t>783225600</t>
  </si>
  <si>
    <t>Nátery kov.stav.doplnk.konštr. syntetické na vzduchu schnúce 2x emailovaním - 70µm</t>
  </si>
  <si>
    <t>783424340</t>
  </si>
  <si>
    <t>Nátery kov.potr.a armatúr syntet. potrubie do DN 50 mm dvojnás. 1x email a základný náter - 140µm</t>
  </si>
  <si>
    <t>783431311.S</t>
  </si>
  <si>
    <t>Štítky, označenie prúdenia média, zariadení a potrubi</t>
  </si>
  <si>
    <t>HZS</t>
  </si>
  <si>
    <t xml:space="preserve">Hodinové zúčtovacie sadzby   </t>
  </si>
  <si>
    <t>HZS000125</t>
  </si>
  <si>
    <t>Stavebno montážne práce mimoriadne odborné (Revízie TI) v rozsahu viac ako 8 hodín</t>
  </si>
  <si>
    <t>hod</t>
  </si>
  <si>
    <t>262144</t>
  </si>
  <si>
    <t>E1.6-1 - ELI + MaR - DT01</t>
  </si>
  <si>
    <t>Prvky poľa DT01  - D - Prvky poľa DT01  - D</t>
  </si>
  <si>
    <t xml:space="preserve">    D1 - 15.TCA-H,L : Ekvitermická regulácia teploty ÚK - D+M</t>
  </si>
  <si>
    <t xml:space="preserve">    D2 - 16.HA-O : Ovládanie a signalizácia chodu čerpadiel ÚK - D+M</t>
  </si>
  <si>
    <t xml:space="preserve">    D3 - 17.PIA-H,L : Sledovanie tlaku v systéme - D+M</t>
  </si>
  <si>
    <t xml:space="preserve">    D4 - 18.HA-O : Ovládanie uzatváracích klapiek - D+M</t>
  </si>
  <si>
    <t xml:space="preserve">    D5 - 19.HCA-O : Kaskádové ovládanie chodu plynových kotlov - D+M</t>
  </si>
  <si>
    <t xml:space="preserve">    D6 - 20.HCA-O : Ovládanie chodu kotlov na biomasu - D+M</t>
  </si>
  <si>
    <t xml:space="preserve">    D7 - 21.A : Poruchová signalizácia - D+M</t>
  </si>
  <si>
    <t xml:space="preserve">    D8 - 22.CR : Meranie spotreby - D+M</t>
  </si>
  <si>
    <t xml:space="preserve">    D9 - Vetranie kotolne - D+M</t>
  </si>
  <si>
    <t>Riadiaci systém DT01 - Riadiaci systém DT01</t>
  </si>
  <si>
    <t>Rozvádzač - Rozvádzač</t>
  </si>
  <si>
    <t xml:space="preserve">    D10 - ROZVÁDZAČ DT01 - D+M</t>
  </si>
  <si>
    <t xml:space="preserve">    D11 - PRIS4NZ - D+M</t>
  </si>
  <si>
    <t>Montážny materiál DT - Montážny materiál DT</t>
  </si>
  <si>
    <t xml:space="preserve">    D12 - Prepäťová ochrana na rozhraní zón LPZ0/LPZ1 - D+M</t>
  </si>
  <si>
    <t xml:space="preserve">    D13 - SVIETIDLA  D+M</t>
  </si>
  <si>
    <t xml:space="preserve">    D14 - Bleskozvod a uzemnenie  D+M</t>
  </si>
  <si>
    <t xml:space="preserve">    D15 - Zachytávacia tyč 1,5m   D+M</t>
  </si>
  <si>
    <t xml:space="preserve">    D16 - Zachytávacia tyč 2,0m  D+M</t>
  </si>
  <si>
    <t xml:space="preserve">    D17 - Zachytávacia tyč 4,0m  D+M</t>
  </si>
  <si>
    <t xml:space="preserve">    D18 - Zemné práce </t>
  </si>
  <si>
    <t>Prvky poľa DT01  - D</t>
  </si>
  <si>
    <t>D1</t>
  </si>
  <si>
    <t>15.TCA-H,L : Ekvitermická regulácia teploty ÚK - D+M</t>
  </si>
  <si>
    <t>15.01</t>
  </si>
  <si>
    <t>D+M Vonkajší snímač teploty; Ni1000, EGT301F102</t>
  </si>
  <si>
    <t>15.02A</t>
  </si>
  <si>
    <t>D+M Príložný snímač teploty; Ni1000, EGT311F102</t>
  </si>
  <si>
    <t>15.02B</t>
  </si>
  <si>
    <t>15.03A</t>
  </si>
  <si>
    <t>3-cestný zmiešavací ventil ÚK – vetva KOTOLŇA (TVK)                               HRB3 vrátane servopohonu, kvs = 10,  DN25 ovládanie 0-10V, STROJNÁ DODÁVKA</t>
  </si>
  <si>
    <t>15.03B</t>
  </si>
  <si>
    <t>3-cestný zmiešavací ventil ÚK – vetva SO04 GARÁŽE (TVG)                            HRB3 vrátane servopohonu, kvs = 10,  DN25 ovládanie 0-10V, STROJNÁ DODÁVKA</t>
  </si>
  <si>
    <t>15.04</t>
  </si>
  <si>
    <t>Trojpolohový prepínač (vyšpecifikovaný v rozvádzači)</t>
  </si>
  <si>
    <t>D2</t>
  </si>
  <si>
    <t>16.HA-O : Ovládanie a signalizácia chodu čerpadiel ÚK - D+M</t>
  </si>
  <si>
    <t>D3</t>
  </si>
  <si>
    <t>17.PIA-H,L : Sledovanie tlaku v systéme - D+M</t>
  </si>
  <si>
    <t>17.01</t>
  </si>
  <si>
    <t>D+M Snímač tlaku; 24V AC/DC;0-10b; 0-10V,  DSU210F002</t>
  </si>
  <si>
    <t>D4</t>
  </si>
  <si>
    <t>18.HA-O : Ovládanie uzatváracích klapiek - D+M</t>
  </si>
  <si>
    <t>18.01A</t>
  </si>
  <si>
    <t>Uzatváracia klapka na prívode z kondenzačných plynových kotlov (EK2), WFY-WA  DN150 so servopohonom , ovládanie ON-OFF  pohon 24V médium voda, STROJNÁ DODÁVKA</t>
  </si>
  <si>
    <t>18.01B</t>
  </si>
  <si>
    <t>Uzatváracia klapka na vrate do kondenzačných plynových kotlov (EK1), WFY-WA  DN150 so servopohonom , ovládanie ON-OFF  pohon 24V médium voda, STROJNÁ DODÁVKA</t>
  </si>
  <si>
    <t>18.02A</t>
  </si>
  <si>
    <t>Uzatváracia klapka na prívode z  teplovodných kotlov ma biomasu štiepka /pelety (EK4), WFY-WA  DN150 so servopohonom , ovládanie ON-OFF  pohon 24V médium voda, STROJNÁ DODÁVKA</t>
  </si>
  <si>
    <t>18.02B</t>
  </si>
  <si>
    <t>Uzatváracia klapka na vrate do  teplovodných kotlov ma biomasu štiepka /pelety (EK3), WFY-WA  DN150 so servopohonom , ovládanie ON-OFF  pohon 24V médium voda, STROJNÁ DODÁVKA</t>
  </si>
  <si>
    <t>D5</t>
  </si>
  <si>
    <t>19.HCA-O : Kaskádové ovládanie chodu plynových kotlov - D+M</t>
  </si>
  <si>
    <t>19.01</t>
  </si>
  <si>
    <t>D+M Tyčový snímač teploty; Ni 1000, TK5000; -35...160°C; L=100mm,  EGT646F102</t>
  </si>
  <si>
    <t>19.02A</t>
  </si>
  <si>
    <t>19.02B</t>
  </si>
  <si>
    <t>19.02C</t>
  </si>
  <si>
    <t>19.03A</t>
  </si>
  <si>
    <t>D+M Uzatváracia klapka DN 100, PN 6/10/16, motýľ mosadz,  ABO 924B DN 100</t>
  </si>
  <si>
    <t>19.03A.1</t>
  </si>
  <si>
    <t>D+M Elektrický servopohon typu SP2, napájanie 230V~, 50Hz, ovládanie 3-bodové, so signalizáciou koncových polôh</t>
  </si>
  <si>
    <t>19.03B</t>
  </si>
  <si>
    <t>D+M Uzatváracia klapka DN 100, PN 6/10/16, motýľ mosadz</t>
  </si>
  <si>
    <t>19.03B.1</t>
  </si>
  <si>
    <t>19.03C</t>
  </si>
  <si>
    <t>19.03C.1</t>
  </si>
  <si>
    <t>19.04A</t>
  </si>
  <si>
    <t>D+M Tyčový snímač teploty; Ni 1000, TK5000; -35...160°C; L=100mm</t>
  </si>
  <si>
    <t>19.04B</t>
  </si>
  <si>
    <t>19.04C</t>
  </si>
  <si>
    <t>19.05</t>
  </si>
  <si>
    <t>D6</t>
  </si>
  <si>
    <t>20.HCA-O : Ovládanie chodu kotlov na biomasu - D+M</t>
  </si>
  <si>
    <t>20.01A</t>
  </si>
  <si>
    <t>D+M Káblový snímač teploty; Ni1000;-40-180°C;L=3M</t>
  </si>
  <si>
    <t>20.01B</t>
  </si>
  <si>
    <t>20.01C</t>
  </si>
  <si>
    <t>D7</t>
  </si>
  <si>
    <t>21.A : Poruchová signalizácia - D+M</t>
  </si>
  <si>
    <t>21.01A</t>
  </si>
  <si>
    <t>D+M Priestorový snímač teploty; montáž na stenu;Ni1000</t>
  </si>
  <si>
    <t>21.01B</t>
  </si>
  <si>
    <t>21.02A</t>
  </si>
  <si>
    <t>D+M Podlahové čidlo vody, určené k detekcii vody na podlahe, finder</t>
  </si>
  <si>
    <t>21.03A</t>
  </si>
  <si>
    <t>D+M Snímač hladiny vodivých kvapalín, nastaviteľná citlivosť 5÷150kOhm, napájanie 230÷240V~, napätie na elektódach 4V~, umiestnenie na DIN lištu, finder</t>
  </si>
  <si>
    <t>21.02B</t>
  </si>
  <si>
    <t>21.03B</t>
  </si>
  <si>
    <t>21.04A-C</t>
  </si>
  <si>
    <t>D+M Dvojstupňový detektor výbušných plynov, napájanie 12V= i 24V=, nastavenie I.stupeň - 10% dolná hranica výbušnosti, II.stupeň - 20 % dolná hranica výbušnosti, rozmery 60x80x30 mm,  GI30WN</t>
  </si>
  <si>
    <t>21.05A,B</t>
  </si>
  <si>
    <t>D+M Dvojstupňový detektor kysličníku uhoľnatého, napájanie 12V= i 24V=, nastavenie I.stupeň - 90 ppm, II.stupeň - 120ppm, rozmery 60x80x30 mm,  GIC40N</t>
  </si>
  <si>
    <t>21.05C,D</t>
  </si>
  <si>
    <t>21.06A</t>
  </si>
  <si>
    <t>D+M Zdroj pre únik plynu GI30 a GIC40, napájanie 230V~, 50Hz, na DIN lištu, NZ34</t>
  </si>
  <si>
    <t>21.06B</t>
  </si>
  <si>
    <t>21.07</t>
  </si>
  <si>
    <t>Tlačidlo (vyšpecifikované v rozvádzači)</t>
  </si>
  <si>
    <t>21.08</t>
  </si>
  <si>
    <t>21.09</t>
  </si>
  <si>
    <t>D+M Skrinka pre porvchovú montáž, 1 montážne miesto, šedá, M22-I1</t>
  </si>
  <si>
    <t>21.09.1</t>
  </si>
  <si>
    <t>D+M Hlavica pre signálku s LED, červená, ZB5-AV043</t>
  </si>
  <si>
    <t>21.09.2</t>
  </si>
  <si>
    <t>D+M Spojovací diel,  ZB5-AZ009</t>
  </si>
  <si>
    <t>21.09.3</t>
  </si>
  <si>
    <t>D+M Signálka LED 230-240 V~, červená,  ZBV-M4</t>
  </si>
  <si>
    <t>21.10</t>
  </si>
  <si>
    <t>Havárijný uzáver plynu, ELEKTROMAGNETICKÝ VENTIL, BAP-DN80-STO BAP DN100-NT-C-PN16-solo-L-230V, EXISTUJÚCI</t>
  </si>
  <si>
    <t>21.11</t>
  </si>
  <si>
    <t>D8</t>
  </si>
  <si>
    <t>22.CR : Meranie spotreby - D+M</t>
  </si>
  <si>
    <t>D9</t>
  </si>
  <si>
    <t>Vetranie kotolne - D+M</t>
  </si>
  <si>
    <t>KLP1</t>
  </si>
  <si>
    <t>Klapka na prívode_plynová kotolňa, 230V,  STROJNÁ DODÁVKA</t>
  </si>
  <si>
    <t>KLP2</t>
  </si>
  <si>
    <t>KLP3</t>
  </si>
  <si>
    <t>Klapka na prívode_kotolňa na biomasu, 230V,  STROJNÁ DODÁVKA</t>
  </si>
  <si>
    <t>KLP4</t>
  </si>
  <si>
    <t>KLO1</t>
  </si>
  <si>
    <t>Klapka na odvode_regulačná miestnosť, 230V,  STROJNÁ DODÁVKA</t>
  </si>
  <si>
    <t>KLO2</t>
  </si>
  <si>
    <t>KLO3</t>
  </si>
  <si>
    <t>Klapka na odvode_chodba, 230V,  STROJNÁ DODÁVKA</t>
  </si>
  <si>
    <t>KLO4</t>
  </si>
  <si>
    <t>Klapka na odvode, 230V,  STROJNÁ DODÁVKA</t>
  </si>
  <si>
    <t>KLO5</t>
  </si>
  <si>
    <t>KLO6</t>
  </si>
  <si>
    <t>Klapka na odvode_kotolňa na biomasu, 230V,  STROJNÁ DODÁVKA</t>
  </si>
  <si>
    <t>Riadiaci systém DT01</t>
  </si>
  <si>
    <t>RS-001</t>
  </si>
  <si>
    <t>RS-002</t>
  </si>
  <si>
    <t>D+M modu680-AS BACnet BuildingController and Supervisor</t>
  </si>
  <si>
    <t>RS-003</t>
  </si>
  <si>
    <t>D+M Modul pre M-bus</t>
  </si>
  <si>
    <t>RS-004</t>
  </si>
  <si>
    <t>D+M modu631-IO 8 x UI(DI/CI/AI) + 8 x DI/CI IO-Module</t>
  </si>
  <si>
    <t>RS-005</t>
  </si>
  <si>
    <t>D+M modu671-IO 8 x AO + 8 x DI/CI IO-Module</t>
  </si>
  <si>
    <t>RS-006</t>
  </si>
  <si>
    <t>D+M modu670-IO 8 x DI/CI/DO(OC) + 8 x DI/CI IO-Module</t>
  </si>
  <si>
    <t>RS-007</t>
  </si>
  <si>
    <t>D+M Ovládací Touch panel 4"</t>
  </si>
  <si>
    <t>RS-008</t>
  </si>
  <si>
    <t>D+M 5-portový Ethernet switch, IE-SW-BL05T-5TX</t>
  </si>
  <si>
    <t>RS-009</t>
  </si>
  <si>
    <t>D+M FL CAT6 PATCH 2,0 - patch kábel, 2m, PHOENIX CONTACT, s.r.o.</t>
  </si>
  <si>
    <t>Rozvádzač</t>
  </si>
  <si>
    <t>D10</t>
  </si>
  <si>
    <t>ROZVÁDZAČ DT01 - D+M</t>
  </si>
  <si>
    <t>DT01</t>
  </si>
  <si>
    <t>D+M Oceľoplechový rozvádzač, v-2000 mm+100mm podstavec, š-800+800 mm, hĺ-400 mm, Vnútorná výplň rozvádzača podľa výkr.č. E1.1.6_16_Rozvádzač DT01.pdf</t>
  </si>
  <si>
    <t>D11</t>
  </si>
  <si>
    <t>PRIS4NZ - D+M</t>
  </si>
  <si>
    <t>PC-1001</t>
  </si>
  <si>
    <t>D+M Poistky 3P 125A gG</t>
  </si>
  <si>
    <t>Montážny materiál DT</t>
  </si>
  <si>
    <t>MM-001</t>
  </si>
  <si>
    <t>D+M Kábel celoplastový, tienený, JYTY-O 2x1</t>
  </si>
  <si>
    <t>MM-002</t>
  </si>
  <si>
    <t>D+M Kábel celoplastový, JYTY-O 4x1</t>
  </si>
  <si>
    <t>MM-003</t>
  </si>
  <si>
    <t>D+M Silnoprúdový kábel s PVC izoláciou do 1 kV, CYKY-J 3x1,5</t>
  </si>
  <si>
    <t>MM-004</t>
  </si>
  <si>
    <t>D+M Silnoprúdový kábel s PVC izoláciou do 1 kV, CYKY-O 3x1,5</t>
  </si>
  <si>
    <t>MM-005</t>
  </si>
  <si>
    <t>D+M Silnoprúdový kábel s PVC izoláciou do 1 kV,CYKY-J 3x2,5</t>
  </si>
  <si>
    <t>MM-006</t>
  </si>
  <si>
    <t>D+M Silnoprúdový kábel s PVC izoláciou do 1 kV, CYKY-J 5x1,5</t>
  </si>
  <si>
    <t>MM-007</t>
  </si>
  <si>
    <t>D+M Silnoprúdový kábel s PVC izoláciou do 1 kV, CYKY-J 5x2,5</t>
  </si>
  <si>
    <t>MM-008</t>
  </si>
  <si>
    <t>D+M Silnoprúdový kábel s PVC izoláciou do 1 kV, CYKY-J 5x4</t>
  </si>
  <si>
    <t>MM-009</t>
  </si>
  <si>
    <t>D+M Silnoprúdový kábel s PVC izoláciou do 1 kV, CYKY-J 5x6</t>
  </si>
  <si>
    <t>MM-010</t>
  </si>
  <si>
    <t>D+M Silnoprúdový kábel s PVC izoláciou do 1 kV, 1-CYKY-J 4x50</t>
  </si>
  <si>
    <t>MM-011</t>
  </si>
  <si>
    <t>D+M Kábel ohybný gumený, CGSG-J 5x2,5 (H05RR-F)</t>
  </si>
  <si>
    <t>MM-012</t>
  </si>
  <si>
    <t>D+M Kábel celoplastový, tienený, CYKFY-O  3x1</t>
  </si>
  <si>
    <t>MM-013</t>
  </si>
  <si>
    <t>D+M Párovaný kábel so zvýšenou odolnosťou proti šíreniu ohňa, bezhalogénové, s nízkou hustotou dymu pri horení a nízkou korozivitou splodín. Sú určené do vnútorných i vonkajších priestorov, TCEKFE 1x2x0,8</t>
  </si>
  <si>
    <t>MM-014</t>
  </si>
  <si>
    <t>D+M Kábel komunikačný pre M-bus, Belden 9842 2x2xAWG24</t>
  </si>
  <si>
    <t>MM-015</t>
  </si>
  <si>
    <t>D+M Káblový žľab, komplet aj s vekom, kolenami, "T" kusmi, prepážkami, spojkami so skrutkami a maticami + uchytenie žľabu, MKS 610 FS</t>
  </si>
  <si>
    <t>MM-016</t>
  </si>
  <si>
    <t>D+M Káblový žľab, komplet aj s vekom, kolenami, "T" kusmi, prepážkami, spojkami so skrutkami a maticami + uchytenie žľabu, MKS 615 FS</t>
  </si>
  <si>
    <t>MM-017</t>
  </si>
  <si>
    <t>D+M Káblový žľab, komplet aj s vekom, kolenami, "T" kusmi, prepážkami, spojkami so skrutkami a maticami + uchytenie žľabu, MKS 620 FS</t>
  </si>
  <si>
    <t>MM-018</t>
  </si>
  <si>
    <t>D+M Káblový žľab, komplet aj s vekom, kolenami, "T" kusmi, prepážkami, spojkami so skrutkami a maticami + uchytenie žľabu, MKS 630 FS</t>
  </si>
  <si>
    <t>MM-019</t>
  </si>
  <si>
    <t>D+M Úchyt kábla v stropných držiakoch v tvare "J" TPD 245 FS 6363814 OBO BETTERMANN Wall and ceiling strap TP profile, B245mm, Strip-galvanised, DIN EN 10147</t>
  </si>
  <si>
    <t>MM-020</t>
  </si>
  <si>
    <t>D+M Káblový štítok</t>
  </si>
  <si>
    <t>MM-021</t>
  </si>
  <si>
    <t>Ukončenie Cu a Al drôtov a lán včítane zapojenie, jedna žila, vodič s prierezom do 16 mm2</t>
  </si>
  <si>
    <t>MM-022</t>
  </si>
  <si>
    <t>D+M Nastrelovacia príchytka pre kábel</t>
  </si>
  <si>
    <t>MM-023</t>
  </si>
  <si>
    <t>D+M Štandardná zdrhovacia páska HILTI</t>
  </si>
  <si>
    <t>MM-024</t>
  </si>
  <si>
    <t>D+M Pevná rúrka s hrdlom z PVC, samozhášavá pre ľahké mechanické zaťaženie, svetlo sivá, -5°C/+60°C, nie je odolná UV žiareniu, dĺžka 3m, VRM-Turbo 25</t>
  </si>
  <si>
    <t>MM-025</t>
  </si>
  <si>
    <t>D+M Pevná rúrka s hrdlom z PVC, samozhášavá pre ľahké mechanické zaťaženie, svetlo sivá, -5°C/+60°C, nie je odolná UV žiareniu, dĺžka 3m, VRM-Turbo 32</t>
  </si>
  <si>
    <t>MM-026</t>
  </si>
  <si>
    <t>D+M Pevná rúrka s hrdlom z PVC, samozhášavá pre vysoké mechanické zaťaženie, čierna, -25°C/+60°C, odolná UV žiareniu, dĺžka 3m, UPRMS 32</t>
  </si>
  <si>
    <t>MM-027</t>
  </si>
  <si>
    <t>D+M Pevná rúrka s hrdlom z PVC, samozhášavá pre ľahké mechanické zaťaženie, svetlo sivá, -5°C/+60°C, nie je odolná UV žiareniu, dĺžka 3m, VRM-Turbo 40</t>
  </si>
  <si>
    <t>MM-028</t>
  </si>
  <si>
    <t>D+M Ohybná rúrka vlnitá  z PVC, samozhášavá pre ľahké mechanické zaťaženie, svetlo sivá, -5°C/+60°C, nie je odolná UV žiareniu, FX 25</t>
  </si>
  <si>
    <t>MM-029</t>
  </si>
  <si>
    <t>D+M Ohybná rúrka vlnitá  z PVC, samozhášavá pre ľahké mechanické zaťaženie, svetlo sivá, -5°C/+60°C, nie je odolná UV žiareniu, FX 32</t>
  </si>
  <si>
    <t>MM-030</t>
  </si>
  <si>
    <t>D+M Ohybná rúrka vlnitá  z PVC, samozhášavá pre vysoké mechanické zaťaženie, čierna, -15°C/+60°C, odolná UV žiareniu, FXPS 32</t>
  </si>
  <si>
    <t>MM-031</t>
  </si>
  <si>
    <t>D+M Ohybná rúrka vlnitá  z PVC, samozhášavá pre ľahké mechanické zaťaženie, svetlo sivá, -5°C/+60°C, nie je odolná UV žiareniu, FX 40</t>
  </si>
  <si>
    <t>MM-032</t>
  </si>
  <si>
    <t>D+M Príchytka klip z PVC, samozhášavá, nešíriaca plameň  možnosťou vzájomného bočného spojenia, svetlosivá, sivá, čierna alebo biela,         -5°C/+60°C, (sivá -25°C/+60°C), CL 25</t>
  </si>
  <si>
    <t>MM-033</t>
  </si>
  <si>
    <t>D+M Príchytka klip z PVC, samozhášavá, nešíriaca plameň  možnosťou vzájomného bočného spojenia, svetlosivá, sivá, čierna alebo biela,         -5°C/+60°C, (sivá -25°C/+60°C), CL 32</t>
  </si>
  <si>
    <t>MM-034</t>
  </si>
  <si>
    <t>D+M Príchytka klip z PVC, samozhášavá, nešíriaca plameň  možnosťou vzájomného bočného spojenia, svetlosivá, sivá, čierna alebo biela,         -5°C/+60°C, (sivá -25°C/+60°C), CL 40</t>
  </si>
  <si>
    <t>MM-035</t>
  </si>
  <si>
    <t>D+M Bezpečnostné tabuľky</t>
  </si>
  <si>
    <t>MM-036</t>
  </si>
  <si>
    <t>D+M Zásuvka 400V, 16A na povrch, IP 43</t>
  </si>
  <si>
    <t>MM-037</t>
  </si>
  <si>
    <t>D+M Zásuvková skriňa, 400/230/24V~, 16A, s ističmi, s prúdovým chráničom do 20A</t>
  </si>
  <si>
    <t>MM-038</t>
  </si>
  <si>
    <t>D+M Prípojnica potenciálového vyrovnania, typ 1801 VDE (BETTERMANN)</t>
  </si>
  <si>
    <t>MM-039</t>
  </si>
  <si>
    <t>D+M Vodič uzemňovací 10 mm, FeZn</t>
  </si>
  <si>
    <t>MM-040</t>
  </si>
  <si>
    <t>D+M Vodič zelenožltý, CY 6</t>
  </si>
  <si>
    <t>MM-041</t>
  </si>
  <si>
    <t>D+M Svorka pripájacia, SP 1</t>
  </si>
  <si>
    <t>MM-042</t>
  </si>
  <si>
    <t>D+M Svorka spojovacia, SS</t>
  </si>
  <si>
    <t>MM-043</t>
  </si>
  <si>
    <t>D+M Svorka Bernard na potrubie</t>
  </si>
  <si>
    <t>MM-044</t>
  </si>
  <si>
    <t>D+M Pásik k svorke Bernard</t>
  </si>
  <si>
    <t>MM-045</t>
  </si>
  <si>
    <t>D+M Skrinka pre porvchovú montáž, 1 montážne miesto, šedá pre Blokovanie kotlov, M22-I1</t>
  </si>
  <si>
    <t>MM-046</t>
  </si>
  <si>
    <t>D+M Ovládacia hlavica červená s aretáciou, titanový krúžok, M22-DR-R</t>
  </si>
  <si>
    <t>MM-047</t>
  </si>
  <si>
    <t>D+M Spojovací diel, M22-A</t>
  </si>
  <si>
    <t>MM-048</t>
  </si>
  <si>
    <t>D+M Spínacia jednotka, zadné upevnenie, M22-KC10</t>
  </si>
  <si>
    <t>MM-049</t>
  </si>
  <si>
    <t>D+M Skrinka pre porvchovú montáž, 1 montážne miesto, žltá pre Vypnutie hlavného ističa, M22-IY1</t>
  </si>
  <si>
    <t>MM-050</t>
  </si>
  <si>
    <t>D+M Ovládacia hlavica hríbiková červená s aretáciou, titanový krúžok, M22-DRP-R</t>
  </si>
  <si>
    <t>MM-051</t>
  </si>
  <si>
    <t>MM-052</t>
  </si>
  <si>
    <t>MM-053</t>
  </si>
  <si>
    <t>D+M Uholník, na konštrukcie  30x30x4</t>
  </si>
  <si>
    <t>MM-054</t>
  </si>
  <si>
    <t>D+M Kovová konštrukcia všeobecne</t>
  </si>
  <si>
    <t>MM-055</t>
  </si>
  <si>
    <t>D+M Farba základná</t>
  </si>
  <si>
    <t>MM-056</t>
  </si>
  <si>
    <t>D+M Farba vrchná</t>
  </si>
  <si>
    <t>MM-057</t>
  </si>
  <si>
    <t>D+M Riedidlo</t>
  </si>
  <si>
    <t>l</t>
  </si>
  <si>
    <t>MM-058</t>
  </si>
  <si>
    <t>D+M Dielektrický koberec (130 cm x bm)</t>
  </si>
  <si>
    <t>PC-1002</t>
  </si>
  <si>
    <t>D+M Vypínač , radenie 1, Vypínač Ex de IIC T6, IP66, zóna 1, 250V, 16A, 2P, 1× vývodka M20 Ø 5,5-13 mm,  (EXTEC s r.o.)</t>
  </si>
  <si>
    <t>PC-1003</t>
  </si>
  <si>
    <t>D+M Striedavý prepínač na povrch, Vypínač Ex de IIC T6, IP66, zóna 1, 250V, 16A, 2P rad. 6, 1× vývodka M20 pre Ø kábla 5,5-13 mm,  (EXTEC s r.o.)</t>
  </si>
  <si>
    <t>PC-1004</t>
  </si>
  <si>
    <t>D+M Odbočná krabica Odbočná krabica Ex e II T6, IP 66, 690V, 4× vývodka M25 pre ø kábla 10-17 mm, zóna 1, svorky: 4× Ex-e 1× PE (EXTEC s r.o.)</t>
  </si>
  <si>
    <t>PC-1005</t>
  </si>
  <si>
    <t>D+M Jednopólový vypínač na povrch Cedar Plus, IP44, radenie 1 (Schneider Electric)</t>
  </si>
  <si>
    <t>PC-1006</t>
  </si>
  <si>
    <t>D+M Sériový prepínač na povrch Cedar Plus, IP44, radenie 5 (Schneider Electric)</t>
  </si>
  <si>
    <t>PC-1007</t>
  </si>
  <si>
    <t>D+M Striedavý dvojitý prepínač na povrch Cedar Plus, IP44, radenie 6+6 (Schneider Electric)</t>
  </si>
  <si>
    <t>PC-1008</t>
  </si>
  <si>
    <t>D+M Zásuvka 230V, 16A na povrch, IP 43</t>
  </si>
  <si>
    <t>PC-1009</t>
  </si>
  <si>
    <t>D+M Senzor pohybu</t>
  </si>
  <si>
    <t>PC-1010</t>
  </si>
  <si>
    <t>D+M Škatuľa rozbočovacia, na povrch</t>
  </si>
  <si>
    <t>PC-1011</t>
  </si>
  <si>
    <t>PC-1012</t>
  </si>
  <si>
    <t>PC-1013</t>
  </si>
  <si>
    <t>D+M Vodič zelenožltý CY 6</t>
  </si>
  <si>
    <t>PC-1014</t>
  </si>
  <si>
    <t>D+M Vodič zelenožltý CY 25</t>
  </si>
  <si>
    <t>PC-1015</t>
  </si>
  <si>
    <t>D+M Svorka pripájacia SP 1</t>
  </si>
  <si>
    <t>PC-1016</t>
  </si>
  <si>
    <t>D+M Svorka spojovacia SS</t>
  </si>
  <si>
    <t>PC-1017</t>
  </si>
  <si>
    <t>D+M Zemniaca svorka pre spojenie kruhových a páskových vodičov, SR03</t>
  </si>
  <si>
    <t>PC-1018</t>
  </si>
  <si>
    <t>PC-1019</t>
  </si>
  <si>
    <t>D12</t>
  </si>
  <si>
    <t>Prepäťová ochrana na rozhraní zón LPZ0/LPZ1 - D+M</t>
  </si>
  <si>
    <t>PC-1020</t>
  </si>
  <si>
    <t>D+M SPACIAL 3D MONT. PLECH 500X400X200</t>
  </si>
  <si>
    <t>PC-1021</t>
  </si>
  <si>
    <t>D+M SADA 4 KOV. ZÁVESOV NA STENU</t>
  </si>
  <si>
    <t>PC-1022</t>
  </si>
  <si>
    <t>D+M KÁBLOVÁ VÝVODKA M50</t>
  </si>
  <si>
    <t>PC-1023</t>
  </si>
  <si>
    <t>D+M KÁBLOVÁ VÝVODKA M12</t>
  </si>
  <si>
    <t>PC-1024</t>
  </si>
  <si>
    <t>D+M DISTRIBUČNÝ BLOK 1P 125A 10 BODOV</t>
  </si>
  <si>
    <t>PC-1025</t>
  </si>
  <si>
    <t>D+M DIN lišta</t>
  </si>
  <si>
    <t>PC-1026</t>
  </si>
  <si>
    <t>D+M Prepäťová ochrana T1+T2 (25kA)</t>
  </si>
  <si>
    <t>D13</t>
  </si>
  <si>
    <t>SVIETIDLA  D+M</t>
  </si>
  <si>
    <t>PC-1027</t>
  </si>
  <si>
    <t>PC-1028</t>
  </si>
  <si>
    <t>PC-1029</t>
  </si>
  <si>
    <t>PC-1030</t>
  </si>
  <si>
    <t>PC-1031</t>
  </si>
  <si>
    <t>PC-1032</t>
  </si>
  <si>
    <t>D+M príslušenstvo k uchyteniu svietidla, závitové tyče, lanká, ..</t>
  </si>
  <si>
    <t>PC-1033</t>
  </si>
  <si>
    <t>PC-1034</t>
  </si>
  <si>
    <t>PC-1035</t>
  </si>
  <si>
    <t>D+M príslušenstvo k uchyteni núdzového svietidla</t>
  </si>
  <si>
    <t>D14</t>
  </si>
  <si>
    <t>Bleskozvod a uzemnenie  D+M</t>
  </si>
  <si>
    <t>PC-1036</t>
  </si>
  <si>
    <t>D+M Uzemňovací nerezový pásik, V4A 30/3,5</t>
  </si>
  <si>
    <t>PC-1037</t>
  </si>
  <si>
    <t>D+M Uzemňovací nerezový vodič V4A 10</t>
  </si>
  <si>
    <t>PC-1038</t>
  </si>
  <si>
    <t>D+M gulatina 10 / 1m=0,616kg,  Bleskozvodový drôt guľatina ø8mm FeZn 1kg=cca 1,61m t195010 ZIN</t>
  </si>
  <si>
    <t>PC-1039</t>
  </si>
  <si>
    <t>D+M Svorka nerez V4A pre kruhový a páskový vodič (SR-nerez)</t>
  </si>
  <si>
    <t>PC-1040</t>
  </si>
  <si>
    <t>D+M Svorka 390209, MV clamp StSt  200kA f. Rd 8-10mm</t>
  </si>
  <si>
    <t>PC-1041</t>
  </si>
  <si>
    <t>D+M Svorka 347205, Clamping shoe Al with bore D 10.5mm for Rd 10mm</t>
  </si>
  <si>
    <t>PC-1042</t>
  </si>
  <si>
    <t>D+M Svorka Uzemňovacia svorka pre tyčovú zem 20117 AS Schwabe, uzemnenie kontajnerov</t>
  </si>
  <si>
    <t>PC-1043</t>
  </si>
  <si>
    <t>D+M Protikorózna ochrana spojenia FeZn v zemi</t>
  </si>
  <si>
    <t>PC-1044</t>
  </si>
  <si>
    <t>D+M Svorka SZ, Bleskozvod svorka SZ FeZn skúšobná liatinová, Skúšobná svorka SZ, 8-10 mm</t>
  </si>
  <si>
    <t>PC-1045</t>
  </si>
  <si>
    <t>D+M Štítok pre označenie poradia zemniča</t>
  </si>
  <si>
    <t>PC-1046</t>
  </si>
  <si>
    <t>D+M tabuľka PVC č.755 105x150mm „ POČAS BÚRKY JE ZAKÁZANÉ ZDRŽIAVA´T SA PRI ZVODOCH DO VZDIALENOSTI DO 3m“</t>
  </si>
  <si>
    <t>PC-1047</t>
  </si>
  <si>
    <t>D+M Bleskozvodový drôt guľatina ø8mm AlMgSi</t>
  </si>
  <si>
    <t>PC-1048</t>
  </si>
  <si>
    <t>D+M podpera PV 21 OBO 5218691 165/MBG (beton+plast)</t>
  </si>
  <si>
    <t>PC-1049</t>
  </si>
  <si>
    <t>D+M podpera PV 32, Bleskozvod podpera PV 32 FeZn, Podpera vedenia na atiku a oceľové konštrukcie, 45 mm, (ZIN)</t>
  </si>
  <si>
    <t>PC-1050</t>
  </si>
  <si>
    <t>D+M podpera PV 17.4,Bleskozvod podpera PV 17-4 FeZn s klincom 140+200 (340mm), Podpera vedenia na zateplené fasády, 340 mm</t>
  </si>
  <si>
    <t>D15</t>
  </si>
  <si>
    <t>Zachytávacia tyč 1,5m   D+M</t>
  </si>
  <si>
    <t>PC-1051</t>
  </si>
  <si>
    <t>D+M Bleskozvod tyč zvodová L=1,5m, Zachytávacia tyč bez osadenia; DEHN 104150 FS 16 1500 AL hliníková zvodná tyč</t>
  </si>
  <si>
    <t>PC-1052</t>
  </si>
  <si>
    <t>D+M Bleskozvod svorka k  tyči 8 - 10/16 mm</t>
  </si>
  <si>
    <t>PC-1053</t>
  </si>
  <si>
    <t>D+M Betónový podstavec 17kg</t>
  </si>
  <si>
    <t>PC-1054</t>
  </si>
  <si>
    <t>D+M Podložka pod betónový podstavec 17kg</t>
  </si>
  <si>
    <t>D16</t>
  </si>
  <si>
    <t>Zachytávacia tyč 2,0m  D+M</t>
  </si>
  <si>
    <t>PC-1055</t>
  </si>
  <si>
    <t>D+M Bleskozvod tyč zvodová L=2,0m, Zachytávacia tyč bez osadenia; DEHN 104200 FS 16 2000 AL hliníková zvodná tyč</t>
  </si>
  <si>
    <t>PC-1056</t>
  </si>
  <si>
    <t>PC-1057</t>
  </si>
  <si>
    <t>PC-1058</t>
  </si>
  <si>
    <t>D17</t>
  </si>
  <si>
    <t>Zachytávacia tyč 4,0m  D+M</t>
  </si>
  <si>
    <t>PC-1059</t>
  </si>
  <si>
    <t>D+M DEHN Zachytávacia tyč  4000 s trojramenným stojanom (187km/h)</t>
  </si>
  <si>
    <t>PC-1060</t>
  </si>
  <si>
    <t>PC-1061</t>
  </si>
  <si>
    <t>PM</t>
  </si>
  <si>
    <t>Podružný nešpecifikovaný materiál</t>
  </si>
  <si>
    <t>Prodiel pridružených výkonov</t>
  </si>
  <si>
    <t>D18</t>
  </si>
  <si>
    <t xml:space="preserve">Zemné práce </t>
  </si>
  <si>
    <t>PC-2001</t>
  </si>
  <si>
    <t>Vytýčenie trasy</t>
  </si>
  <si>
    <t>PC-2002</t>
  </si>
  <si>
    <t>rezanie špáry betón</t>
  </si>
  <si>
    <t>PC-2003</t>
  </si>
  <si>
    <t>odsránenie betónu hr. 20 cm</t>
  </si>
  <si>
    <t>PC-2004</t>
  </si>
  <si>
    <t>vývoz betónovej sute na skládku</t>
  </si>
  <si>
    <t>kmp</t>
  </si>
  <si>
    <t>PC-2005</t>
  </si>
  <si>
    <t>Podkladový beton hr. 10 cm</t>
  </si>
  <si>
    <t>PC-2006</t>
  </si>
  <si>
    <t>Výkop ryhy š. 350mm, hl. 1000mm, zemina tr. 4</t>
  </si>
  <si>
    <t>PC-2007</t>
  </si>
  <si>
    <t>Kladenie kábla v zemine v triede 4. pre kábel WL DT03 vedený v spoločnom výkope s uzemnením</t>
  </si>
  <si>
    <t>PC-2008</t>
  </si>
  <si>
    <t>Uloženie výstražnej fólie š. 33 cm pre WL DT03</t>
  </si>
  <si>
    <t>PC-2009</t>
  </si>
  <si>
    <t>Zahádzanie ryhy š. 350mm, hl. 1000mm, zemina tr. 4</t>
  </si>
  <si>
    <t>394</t>
  </si>
  <si>
    <t>PC-2010</t>
  </si>
  <si>
    <t>Oživenie</t>
  </si>
  <si>
    <t>kpl</t>
  </si>
  <si>
    <t>396</t>
  </si>
  <si>
    <t>PC-2011</t>
  </si>
  <si>
    <t>Softvér podstanice</t>
  </si>
  <si>
    <t>398</t>
  </si>
  <si>
    <t>PC-2012</t>
  </si>
  <si>
    <t>Zaškolenie obsluhy a skúšky</t>
  </si>
  <si>
    <t>400</t>
  </si>
  <si>
    <t>PC-2013</t>
  </si>
  <si>
    <t>Revízie</t>
  </si>
  <si>
    <t>402</t>
  </si>
  <si>
    <t>E1.6-3 - ELI + MaR - DT03</t>
  </si>
  <si>
    <t>Prvky poľa DT03 - D - Prvky poľa DT03 - D</t>
  </si>
  <si>
    <t xml:space="preserve">    D1 - 01.TCA-H,L : Ekvitermická regulácia teploty ÚK - D+M</t>
  </si>
  <si>
    <t xml:space="preserve">    D2 - 02.TCA-H,L : Regulácia teploty TÚV - D+M</t>
  </si>
  <si>
    <t xml:space="preserve">    D3 - 03.HA-O : Ovládanie a signalizácia chodu čerpadiel ÚK</t>
  </si>
  <si>
    <t xml:space="preserve">    D4 - 04.PI : Sledovanie tlaku v systéme - D+M</t>
  </si>
  <si>
    <t xml:space="preserve">    D5 - 05.A : Poruchová signalizácia - D+M</t>
  </si>
  <si>
    <t>Riadiaci systém DT03 - Riadiaci systém DT03</t>
  </si>
  <si>
    <t>Rozvádzač DT03 - DM - Rozvádzač DT03 - DM</t>
  </si>
  <si>
    <t xml:space="preserve">    D6 - ROZVÁDZAČ DT03 - D+M</t>
  </si>
  <si>
    <t xml:space="preserve">    D7 - PRIS4.1 - D+M</t>
  </si>
  <si>
    <t xml:space="preserve">    D8 - Prepäťová ochrana na rozhraní zón LPZ0/LPZ1 - D+M</t>
  </si>
  <si>
    <t xml:space="preserve">    D9 - Zásuvky, vypínače - D+M</t>
  </si>
  <si>
    <t xml:space="preserve">    D10 - SVIETIDLÁ DNA Slovakia, spol. s r.o. , Nové Zámky - D+M</t>
  </si>
  <si>
    <t>Prvky poľa DT03 - D</t>
  </si>
  <si>
    <t>01.TCA-H,L : Ekvitermická regulácia teploty ÚK - D+M</t>
  </si>
  <si>
    <t>1.01</t>
  </si>
  <si>
    <t>Vonkajší snímač teploty; Ni1000</t>
  </si>
  <si>
    <t>1.02A</t>
  </si>
  <si>
    <t>Príložný snímač teploty; Ni1000</t>
  </si>
  <si>
    <t>1.02B</t>
  </si>
  <si>
    <t>1.03A</t>
  </si>
  <si>
    <t>2-cestný regulačný ventil ÚK – vetva SEVER (DVS1)                                             TA Modulator vrátane servopohonu TA Slider 160, DN32  ovládanie 0-10V, STROJNÁ DODÁVKA</t>
  </si>
  <si>
    <t>1.03B</t>
  </si>
  <si>
    <t>2-cestný regulačný ventil ÚK – vetva JUH (DVJ1)                                               TA Modulator vrátane servopohonu TA Slider 160, DN32  ovládanie 0-10V, STROJNÁ DODÁVKA</t>
  </si>
  <si>
    <t>1.04</t>
  </si>
  <si>
    <t>02.TCA-H,L : Regulácia teploty TÚV - D+M</t>
  </si>
  <si>
    <t>2.01</t>
  </si>
  <si>
    <t>2.02</t>
  </si>
  <si>
    <t>2-cestný uzatvárací ventil TÚV (DVOV1)                                                          EV220B vrátane servopohnu 24V, DN40  ovládanie On-Off, STROJNÁ DODÁVKA</t>
  </si>
  <si>
    <t>03.HA-O : Ovládanie a signalizácia chodu čerpadiel ÚK</t>
  </si>
  <si>
    <t>04.PI : Sledovanie tlaku v systéme - D+M</t>
  </si>
  <si>
    <t>4.01</t>
  </si>
  <si>
    <t>Snímač tlaku; 24V AC/DC;0-10b; 0-10V</t>
  </si>
  <si>
    <t>05.A : Poruchová signalizácia - D+M</t>
  </si>
  <si>
    <t>5.01</t>
  </si>
  <si>
    <t>Priestorový snímač teploty; montáž na stenu;Ni1000</t>
  </si>
  <si>
    <t>5.02</t>
  </si>
  <si>
    <t>Podlahové čidlo vody, určené k detekcii vody na podlahe, finder</t>
  </si>
  <si>
    <t>5.03</t>
  </si>
  <si>
    <t>Snímač hladiny vodivých kvapalín, nastaviteľná citlivosť 5÷150kOhm, napájanie 230÷240V~, napätie na elektódach 4V~, umiestnenie na DIN lištu, finder</t>
  </si>
  <si>
    <t>5.04</t>
  </si>
  <si>
    <t>5.05</t>
  </si>
  <si>
    <t>Signálka (vyšpecifikované v rozvádzači)</t>
  </si>
  <si>
    <t>Riadiaci systém DT03</t>
  </si>
  <si>
    <t>RS-301</t>
  </si>
  <si>
    <t>RS-302</t>
  </si>
  <si>
    <t>modu612-LC IP-spojka pre IO-moduly, s web serverom</t>
  </si>
  <si>
    <t>RS-303</t>
  </si>
  <si>
    <t>modu631-IO 8 x UI(DI/CI/AI) + 8 x DI/CI IO-Module</t>
  </si>
  <si>
    <t>RS-304</t>
  </si>
  <si>
    <t>modu671-IO 8 x AO + 8 x DI/CI IO-Module</t>
  </si>
  <si>
    <t>RS-305</t>
  </si>
  <si>
    <t>modu670-IO 8 x DI/CI/DO(OC) + 8 x DI/CI IO-Module</t>
  </si>
  <si>
    <t>RS-306</t>
  </si>
  <si>
    <t>Ovládací Touch panel 4"</t>
  </si>
  <si>
    <t>RS-307</t>
  </si>
  <si>
    <t>5-portový Ethernet switch, IE-SW-BL05T-5TX</t>
  </si>
  <si>
    <t>RS-308</t>
  </si>
  <si>
    <t>FL CAT6 PATCH 2,0 - patch kábel, 2m, PHOENIX CONTACT, s.r.o.</t>
  </si>
  <si>
    <t>Rozvádzač DT03 - DM</t>
  </si>
  <si>
    <t>ROZVÁDZAČ DT03 - D+M</t>
  </si>
  <si>
    <t>DT03</t>
  </si>
  <si>
    <t>Oceľoplechový rozvádza čv-2000 mm+100mm podstavec, š-800 mm, hĺ-400 mm, Vnútorná výplň rozvádzača podľa výkr.č. E1.1.6_17_Rozvádzač DT03.pdf</t>
  </si>
  <si>
    <t>PRIS4.1 - D+M</t>
  </si>
  <si>
    <t>PC-3001</t>
  </si>
  <si>
    <t>Poistky 3P 25A gG</t>
  </si>
  <si>
    <t>Kábel celoplastový, tienený, JYTY-O 2x1</t>
  </si>
  <si>
    <t>Kábel celoplastový, JYTY-O 4x1</t>
  </si>
  <si>
    <t>Silnoprúdový kábel s PVC izoláciou do 1 kV, CYKY-J 3x1,5</t>
  </si>
  <si>
    <t>Silnoprúdový kábel s PVC izoláciou do 1 kV, CYKY-O 3x1,5</t>
  </si>
  <si>
    <t>Silnoprúdový kábel s PVC izoláciou do 1 kV, CYKY-J 3x2,5</t>
  </si>
  <si>
    <t>Párovaný kábel so zvýšenou odolnosťou proti šíreniu ohňa, bezhalogénové, s nízkou hustotou dymu pri horení a nízkou korozivitou splodín. Sú určené do vnútorných i vonkajších priestorov, TCEKFE 1x2x0,8</t>
  </si>
  <si>
    <t>Káblový žľab, komplet aj s vekom, kolenami, "T" kusmi, prepážkami, spojkami so skrutkami a maticami + uchytenie žľabu, MKS 610 FS</t>
  </si>
  <si>
    <t>Káblový štítok</t>
  </si>
  <si>
    <t>Nastrelovacia príchytka pre kábel</t>
  </si>
  <si>
    <t>Štandardná zdrhovacia páska HILTI</t>
  </si>
  <si>
    <t>Pevná rúrka s hrdlom z PVC, samozhášavá pre ľahké mechanické zaťaženie, svetlo sivá, -5°C/+60°C, nie je odolná UV žiareniu, dĺžka 3m, VRM-Turbo 25</t>
  </si>
  <si>
    <t>Pevná rúrka s hrdlom z PVC, samozhášavá pre ľahké mechanické zaťaženie, svetlo sivá, -5°C/+60°C, nie je odolná UV žiareniu, dĺžka 3m, VRM-Turbo 32</t>
  </si>
  <si>
    <t>Pevná rúrka s hrdlom z PVC, samozhášavá pre vysoké mechanické zaťaženie, čierna, -25°C/+60°C, odolná UV žiareniu, dĺžka 3m, UPRMS 32</t>
  </si>
  <si>
    <t>Ohybná rúrka vlnitá  z PVC, samozhášavá pre ľahké mechanické zaťaženie, svetlo sivá, -5°C/+60°C, nie je odolná UV žiareniu, FX 25</t>
  </si>
  <si>
    <t>Ohybná rúrka vlnitá  z PVC, samozhášavá pre ľahké mechanické zaťaženie, svetlo sivá, -5°C/+60°C, nie je odolná UV žiareniu, FX 32</t>
  </si>
  <si>
    <t>Ohybná rúrka vlnitá  z PVC, samozhášavá pre vysoké mechanické zaťaženie, čierna, -15°C/+60°C, odolná UV žiareniu, FXPS 32</t>
  </si>
  <si>
    <t>Príchytka klip z PVC, samozhášavá, nešíriaca plameň  možnosťou vzájomného bočného spojenia, svetlosivá, sivá, čierna alebo biela,         -5°C/+60°C, (sivá -25°C/+60°C), CL 25</t>
  </si>
  <si>
    <t>Príchytka klip z PVC, samozhášavá, nešíriaca plameň  možnosťou vzájomného bočného spojenia, svetlosivá, sivá, čierna alebo biela,         -5°C/+60°C, (sivá -25°C/+60°C), CL 32</t>
  </si>
  <si>
    <t>Bezpečnostné tabuľky</t>
  </si>
  <si>
    <t>Zásuvka 230V, 16A na povrch, IP 43</t>
  </si>
  <si>
    <t>Prípojnica potenciálového vyrovnania, typ 1801 VDE (BETTERMANN)</t>
  </si>
  <si>
    <t>Vodič uzemňovací 10 mm, FeZn F10</t>
  </si>
  <si>
    <t>Vodič zelenožltý, CY 6</t>
  </si>
  <si>
    <t>Vodič zelenožltý CY 25</t>
  </si>
  <si>
    <t>gulatina 10 / 1m=0,616kg,  FeZn F10</t>
  </si>
  <si>
    <t>pasovina FeZn 30x4 (1kg=1,05m)</t>
  </si>
  <si>
    <t>Svorka pripájacia  SP 1</t>
  </si>
  <si>
    <t>Svorka spojovacia SS</t>
  </si>
  <si>
    <t>Zemniaca svorka pre spojenie kruhových a páskových vodičov  SR 03</t>
  </si>
  <si>
    <t>Svorka Bernard na potrubie</t>
  </si>
  <si>
    <t>Pásik k svorke Bernard</t>
  </si>
  <si>
    <t>Skrinka pre porvchovú montáž, 1 montážne miesto, žltá pre Vypnutie hlavného ističa, M22-IY1</t>
  </si>
  <si>
    <t>Ovládacia hlavica hríbiková červená s aretáciou, titanový krúžok, M22-DRP-R</t>
  </si>
  <si>
    <t>Spojovací diel, M22-A</t>
  </si>
  <si>
    <t>Spínacia jednotka, zadné upevnenie, M22-KC10</t>
  </si>
  <si>
    <t>Uholník, na konštrukcie, 30x30x4</t>
  </si>
  <si>
    <t>Kovová konštrukcia všeobecne</t>
  </si>
  <si>
    <t>Farba základná</t>
  </si>
  <si>
    <t>Farba vrchná</t>
  </si>
  <si>
    <t>Riedidlo</t>
  </si>
  <si>
    <t>Dielektrický koberec (130 cm x bm)</t>
  </si>
  <si>
    <t>PC-301</t>
  </si>
  <si>
    <t>SPACIAL 3D MONT. PLECH 300X300X200</t>
  </si>
  <si>
    <t>PC-302</t>
  </si>
  <si>
    <t>SADA 4 KOV. ZÁVESOV NA STENU</t>
  </si>
  <si>
    <t>PC-303</t>
  </si>
  <si>
    <t>KÁBLOVÁ VÝVODKA M40</t>
  </si>
  <si>
    <t>PC-304</t>
  </si>
  <si>
    <t>KÁBLOVÁ VÝVODKA M12</t>
  </si>
  <si>
    <t>PC-305</t>
  </si>
  <si>
    <t>DISTRIBUČNÝ BLOK 1P 125A 10 BODOV</t>
  </si>
  <si>
    <t>PC-306</t>
  </si>
  <si>
    <t>DIN lišta</t>
  </si>
  <si>
    <t>PC-307</t>
  </si>
  <si>
    <t>Prepäťová ochrana T1+T2 (25kA), FLP-B+C MAXI V/3</t>
  </si>
  <si>
    <t>Zásuvky, vypínače - D+M</t>
  </si>
  <si>
    <t>PC-308</t>
  </si>
  <si>
    <t>Jednopólový vypínač na povrch, IP43, radenie 1</t>
  </si>
  <si>
    <t>PC-309</t>
  </si>
  <si>
    <t>Škatuľa rozbočovacia, na povrch</t>
  </si>
  <si>
    <t>SVIETIDLÁ DNA Slovakia, spol. s r.o. , Nové Zámky - D+M</t>
  </si>
  <si>
    <t>PC-310</t>
  </si>
  <si>
    <t>PC-311</t>
  </si>
  <si>
    <t>príslušenstvo k uchyteniu svietidla, závitové tyče, lanká, ..</t>
  </si>
  <si>
    <t>PC-312</t>
  </si>
  <si>
    <t>PC-313</t>
  </si>
  <si>
    <t>príslušenstvo k uchyteni núdzového svietidla</t>
  </si>
  <si>
    <t>PC-314</t>
  </si>
  <si>
    <t>PC-315</t>
  </si>
  <si>
    <t>PC-316</t>
  </si>
  <si>
    <t>PC-317</t>
  </si>
  <si>
    <t>PC-318</t>
  </si>
  <si>
    <t>E1.6-2A - ELI  MaR - DT02A</t>
  </si>
  <si>
    <t>Prvky poľa DT02A - D - Prvky poľa DT02A - D</t>
  </si>
  <si>
    <t xml:space="preserve">    D1 - 06.TCA-H,L : Ekvitermická regulácia teploty ÚK - D+M</t>
  </si>
  <si>
    <t xml:space="preserve">    D2 - 07.TCA-H,L : Regulácia teploty TÚV - D+M</t>
  </si>
  <si>
    <t xml:space="preserve">    D3 - 08.HA-O : Ovládanie a signalizácia chodu čerpadiel ÚK a TÚV</t>
  </si>
  <si>
    <t xml:space="preserve">    D4 - 09.PI : Sledovanie tlaku v systéme - D+M</t>
  </si>
  <si>
    <t xml:space="preserve">    D5 - 10.A : Poruchová signalizácia - D+M</t>
  </si>
  <si>
    <t>Riadiaci systém DT02 - Riadiaci systém DT02</t>
  </si>
  <si>
    <t>Rozvádzač DT02A - D - Rozvádzač DT02A - D</t>
  </si>
  <si>
    <t xml:space="preserve">    D6 - ROZVÁDZAČ DT02A - D+M</t>
  </si>
  <si>
    <t xml:space="preserve">    PC-2A01 - Rozvádzač DT02B - D+M</t>
  </si>
  <si>
    <t xml:space="preserve">    D7 - Prepäťová ochrana na rozhraní zón LPZ0/LPZ1 - D+M</t>
  </si>
  <si>
    <t xml:space="preserve">    D8 - Zásuvky, vypínače - D+M</t>
  </si>
  <si>
    <t xml:space="preserve">    D9 - SVIETIDLÁ DNA Slovakia, spol. s r.o. , Nové Zámky - D+M</t>
  </si>
  <si>
    <t>Prvky poľa DT02A - D</t>
  </si>
  <si>
    <t>06.TCA-H,L : Ekvitermická regulácia teploty ÚK - D+M</t>
  </si>
  <si>
    <t>6.01</t>
  </si>
  <si>
    <t>6.02A</t>
  </si>
  <si>
    <t>6.02B</t>
  </si>
  <si>
    <t>6.02C</t>
  </si>
  <si>
    <t>6.03A</t>
  </si>
  <si>
    <t>2-cestný regulačný ventil ÚK – vetva SEVER (DVS3)                                          TA Modulator vrátane servopohonu TA Slider 160, DN32  ovládanie 0-10V, STROJNÁ DODÁVKA</t>
  </si>
  <si>
    <t>6.03B</t>
  </si>
  <si>
    <t>2-cestný regulačný ventil ÚK – vetva JUH (DVJ3)                                                TA Modulator vrátane servopohonu TA Slider 160, DN32  ovládanie 0-10V, STROJNÁ DODÁVKA</t>
  </si>
  <si>
    <t>6.03C</t>
  </si>
  <si>
    <t>2-cestný uzatvárací ventil ÚK – vetva VZT (DVVZ3)                                     EV220B vrátane servopohnu 24V, DN50  ovládanie On-Off, STROJNÁ DODÁVKA</t>
  </si>
  <si>
    <t>6.04</t>
  </si>
  <si>
    <t>07.TCA-H,L : Regulácia teploty TÚV - D+M</t>
  </si>
  <si>
    <t>7.01</t>
  </si>
  <si>
    <t>7.02</t>
  </si>
  <si>
    <t>2-cestný uzatvárací ventil TÚV (DVOV2)                                                               EV220B vrátane servopohnu 24V, DN32  ovládanie On-Off, STROJNÁ DODÁVKA</t>
  </si>
  <si>
    <t>08.HA-O : Ovládanie a signalizácia chodu čerpadiel ÚK a TÚV</t>
  </si>
  <si>
    <t>09.PI : Sledovanie tlaku v systéme - D+M</t>
  </si>
  <si>
    <t>9.01</t>
  </si>
  <si>
    <t>10.A : Poruchová signalizácia - D+M</t>
  </si>
  <si>
    <t>10.01A</t>
  </si>
  <si>
    <t>10.01B</t>
  </si>
  <si>
    <t>10.02A</t>
  </si>
  <si>
    <t>10.03A</t>
  </si>
  <si>
    <t>10.02B</t>
  </si>
  <si>
    <t>10.03B</t>
  </si>
  <si>
    <t>10.04</t>
  </si>
  <si>
    <t>10.05</t>
  </si>
  <si>
    <t>Riadiaci systém DT02</t>
  </si>
  <si>
    <t>RS-2A01</t>
  </si>
  <si>
    <t>RS-2A02</t>
  </si>
  <si>
    <t>RS-2A03</t>
  </si>
  <si>
    <t>RS-2A04</t>
  </si>
  <si>
    <t>RS-2A05</t>
  </si>
  <si>
    <t>RS-2A06</t>
  </si>
  <si>
    <t>Ovládací Touch panel 4", P34-EY-OP850F904</t>
  </si>
  <si>
    <t>RS-2A07</t>
  </si>
  <si>
    <t>RS-2A08</t>
  </si>
  <si>
    <t>Rozvádzač DT02A - D</t>
  </si>
  <si>
    <t>ROZVÁDZAČ DT02A - D+M</t>
  </si>
  <si>
    <t>DT02A</t>
  </si>
  <si>
    <t>Oceľoplechový rozvádzač, v-2000 mm+100mm podstavec, š-800 mm, hĺ-400 mm, Vnútorná výplň rozvádzača podľa výkr.č. E1.1.6_18_Rozvádzač DT02A.pdf</t>
  </si>
  <si>
    <t>PC-2A01</t>
  </si>
  <si>
    <t>Rozvádzač DT02B - D+M</t>
  </si>
  <si>
    <t>Pol1</t>
  </si>
  <si>
    <t>Istič 3-pólový C, 3P, 25A</t>
  </si>
  <si>
    <t>Silnoprúdový kábel s PVC izoláciou do 1 kV, CYKY-J 5x6</t>
  </si>
  <si>
    <t>Kábel celoplastový, tienený, CYKFY-O  3x1</t>
  </si>
  <si>
    <t>Pevná rúrka s hrdlom z PVC, samozhášavá pre ľahké mechanické zaťaženie, svetlo sivá, -5°C/+60°C, nie je odolná UV žiareniu, dĺžka 3m, VRM-Turbo 40</t>
  </si>
  <si>
    <t>Ohybná rúrka vlnitá  z PVC, samozhášavá pre ľahké mechanické zaťaženie, svetlo sivá, -5°C/+60°C, nie je odolná UV žiareniu, FX 40</t>
  </si>
  <si>
    <t>Príchytka klip z PVC, samozhášavá, nešíriaca plameň  možnosťou vzájomného bočného spojenia, svetlosivá, sivá, čierna alebo biela,         -5°C/+60°C, (sivá -25°C/+60°C), CL 40</t>
  </si>
  <si>
    <t>Vodič zelenožltý CY 6</t>
  </si>
  <si>
    <t>gulatina 10 / 1m=0,616kg, FeZn F10</t>
  </si>
  <si>
    <t>Svorka pripájacia SP 1</t>
  </si>
  <si>
    <t>Zemniaca svorka pre spojenie kruhových a páskových vodičov SR03</t>
  </si>
  <si>
    <t>PC-2A02</t>
  </si>
  <si>
    <t>PC-2A03</t>
  </si>
  <si>
    <t>PC-2A04</t>
  </si>
  <si>
    <t>PC-2A05</t>
  </si>
  <si>
    <t>PC-2A06</t>
  </si>
  <si>
    <t>PC-2A07</t>
  </si>
  <si>
    <t>PC-2A08</t>
  </si>
  <si>
    <t>PC-2A09</t>
  </si>
  <si>
    <t>PC-2A10</t>
  </si>
  <si>
    <t>PC-2A11</t>
  </si>
  <si>
    <t>PC-2A12</t>
  </si>
  <si>
    <t>PC-2A13</t>
  </si>
  <si>
    <t>PC-2A14</t>
  </si>
  <si>
    <t>PC-2A15</t>
  </si>
  <si>
    <t>PC-2A16</t>
  </si>
  <si>
    <t>PC-2A17</t>
  </si>
  <si>
    <t>PC-2A18</t>
  </si>
  <si>
    <t>PC-2A19</t>
  </si>
  <si>
    <t>E1.6-2B - ELI + MaR - DT02B</t>
  </si>
  <si>
    <t>Prvky poľa DT02B - D - Prvky poľa DT02B - D</t>
  </si>
  <si>
    <t xml:space="preserve">    D1 - 11.TCA-H,L : Ekvitermická regulácia teploty ÚK - D+M</t>
  </si>
  <si>
    <t xml:space="preserve">    D2 - 12.HA-O : Ovládanie a signalizácia chodu čerpadiel ÚK</t>
  </si>
  <si>
    <t xml:space="preserve">    D3 - 13.PI : Sledovanie tlaku v systéme - D+M</t>
  </si>
  <si>
    <t xml:space="preserve">    D4 - 14.A : Poruchová signalizácia - D+M</t>
  </si>
  <si>
    <t>Rozvádzač DT02B - D - Rozvádzač DT02B - D</t>
  </si>
  <si>
    <t xml:space="preserve">    D5 - ROZVÁDZAČ DT02B - D+M</t>
  </si>
  <si>
    <t xml:space="preserve">    PC-2B01 - PRIS4.1 - D+M</t>
  </si>
  <si>
    <t xml:space="preserve">    D6 - Prepäťová ochrana na rozhraní zón LPZ0/LPZ1 - D+M</t>
  </si>
  <si>
    <t xml:space="preserve">    D7 - Zásuvky, vypínače</t>
  </si>
  <si>
    <t xml:space="preserve">    D8 - SVIETIDLÁ DNA Slovakia, spol. s r.o. , Nové Zámky - D+M</t>
  </si>
  <si>
    <t>Prvky poľa DT02B - D</t>
  </si>
  <si>
    <t>11.TCA-H,L : Ekvitermická regulácia teploty ÚK - D+M</t>
  </si>
  <si>
    <t>11.01</t>
  </si>
  <si>
    <t>11.02A</t>
  </si>
  <si>
    <t>11.02B</t>
  </si>
  <si>
    <t>11.02C</t>
  </si>
  <si>
    <t>11.02D</t>
  </si>
  <si>
    <t>11.03A</t>
  </si>
  <si>
    <t>2-cestný uzatvárací ventil ÚK – vetva VZT (DVVZ2)                                          EV220B vrátane servopohnu 24V, DN50  ovládanie On-Off,, STROJNÁ DODÁVKA</t>
  </si>
  <si>
    <t>11.03B</t>
  </si>
  <si>
    <t>2-cestný regulačný ventil ÚK – vetva JUH (DVJ2)                                               TA Modulator vrátane servopohonu TA Slider 160, DN32  ovládanie 0-10V, STROJNÁ DODÁVKA</t>
  </si>
  <si>
    <t>11.03C</t>
  </si>
  <si>
    <t>2-cestný uzatvárací ventil ÚK – vetva SKLAD (DVSK)                                       EV220B vrátane servopohnu 24V, DN50  ovládanie On-Off,  STROJNÁ DODÁVKA</t>
  </si>
  <si>
    <t>11.03D</t>
  </si>
  <si>
    <t>2-cestný regulačný ventil ÚK – vetva SEVER (DVS2)                                       TA Modulator vrátane servopohonu TA Slider 500, DN40  ovládanie 0-10V,  STROJNÁ DODÁVKA</t>
  </si>
  <si>
    <t>11.04</t>
  </si>
  <si>
    <t>12.HA-O : Ovládanie a signalizácia chodu čerpadiel ÚK</t>
  </si>
  <si>
    <t>13.PI : Sledovanie tlaku v systéme - D+M</t>
  </si>
  <si>
    <t>13.01</t>
  </si>
  <si>
    <t>14.A : Poruchová signalizácia - D+M</t>
  </si>
  <si>
    <t>14.01</t>
  </si>
  <si>
    <t>14.02</t>
  </si>
  <si>
    <t>14.03</t>
  </si>
  <si>
    <t>14.04</t>
  </si>
  <si>
    <t>14.05</t>
  </si>
  <si>
    <t>RS-2BA01</t>
  </si>
  <si>
    <t>RS-2BA02</t>
  </si>
  <si>
    <t>RS-2BA03</t>
  </si>
  <si>
    <t>RS-2BA04</t>
  </si>
  <si>
    <t>RS-2BA05</t>
  </si>
  <si>
    <t>RS-2BA06</t>
  </si>
  <si>
    <t>RS-2BA07</t>
  </si>
  <si>
    <t>RS-2BA08</t>
  </si>
  <si>
    <t>Rozvádzač DT02B - D</t>
  </si>
  <si>
    <t>ROZVÁDZAČ DT02B - D+M</t>
  </si>
  <si>
    <t>DT02B</t>
  </si>
  <si>
    <t>Oceľoplechový rozvádzač, v-2000 mm+100mm podstavec, š-800 mm, hĺ-400 mm, Vnútorná výplň rozvádzača podľa výkr.č. E1.1.6_19_Rozvádzač DT02B.pdf</t>
  </si>
  <si>
    <t>PC-2B01</t>
  </si>
  <si>
    <t>Pol2</t>
  </si>
  <si>
    <t>Poistky 3P 40A gG</t>
  </si>
  <si>
    <t>Vodič uzemňovací FeZn 10 mm</t>
  </si>
  <si>
    <t>Vodič zelenožltý, CY 25</t>
  </si>
  <si>
    <t>Svorka pripájacia, SP 1</t>
  </si>
  <si>
    <t>Zemniaca svorka pre spojenie kruhových a páskových vodičov  SR03</t>
  </si>
  <si>
    <t>PC-2B02</t>
  </si>
  <si>
    <t>PC-2B03</t>
  </si>
  <si>
    <t>PC-2B04</t>
  </si>
  <si>
    <t>PC-2B05</t>
  </si>
  <si>
    <t>PC-2B06</t>
  </si>
  <si>
    <t>PC-2B07</t>
  </si>
  <si>
    <t>PC-2B08</t>
  </si>
  <si>
    <t>Zásuvky, vypínače</t>
  </si>
  <si>
    <t>PC-2B09</t>
  </si>
  <si>
    <t>Striedavý vypínač na povrch, IP43, radenie 6+6</t>
  </si>
  <si>
    <t>PC-2B10</t>
  </si>
  <si>
    <t>PC-2B11</t>
  </si>
  <si>
    <t>PC-2B12</t>
  </si>
  <si>
    <t>PC-2B13</t>
  </si>
  <si>
    <t>PC-2B14</t>
  </si>
  <si>
    <t>PC-2B15</t>
  </si>
  <si>
    <t>PC-2B16</t>
  </si>
  <si>
    <t>PC-2B17</t>
  </si>
  <si>
    <t>PC-2B18</t>
  </si>
  <si>
    <t>PC-2B19</t>
  </si>
  <si>
    <t>E1.6-4 - ELI + MaR - PRIS4.1</t>
  </si>
  <si>
    <t>Poistková skriňa PRI - Poistková skriňa PRI</t>
  </si>
  <si>
    <t xml:space="preserve">    D1 - POISTKOVÁ SKRIŇA SR 3 DIN00 VV 0/4 P2 IP44/2X - D+M</t>
  </si>
  <si>
    <t xml:space="preserve">    D2 - doplnenie poistiek do poistkových skríň - D+M</t>
  </si>
  <si>
    <t>Montážny materiál PR - Montážny materiál PR</t>
  </si>
  <si>
    <t>Poistková skriňa PRI</t>
  </si>
  <si>
    <t>POISTKOVÁ SKRIŇA SR 3 DIN00 VV 0/4 P2 IP44/2X - D+M</t>
  </si>
  <si>
    <t>PC-5001</t>
  </si>
  <si>
    <t>Pilierová poistková skriňa, SR 3 DIN00 VV 0/4 P2 IP44/2X, ochrana samočinným odpojením napájania, krytie IP44/IP20</t>
  </si>
  <si>
    <t>doplnenie poistiek do poistkových skríň - D+M</t>
  </si>
  <si>
    <t>PC-5002</t>
  </si>
  <si>
    <t>Nožová poistka 25A, gG</t>
  </si>
  <si>
    <t>PC-5003</t>
  </si>
  <si>
    <t>Nožová poistka 40A, gG</t>
  </si>
  <si>
    <t>PC-5004</t>
  </si>
  <si>
    <t>Nožová poistka 80A, gG</t>
  </si>
  <si>
    <t>PC-5005</t>
  </si>
  <si>
    <t>skratovacia prepojka ZP2</t>
  </si>
  <si>
    <t>Montážny materiál PR</t>
  </si>
  <si>
    <t>MM-501</t>
  </si>
  <si>
    <t>Silnoprúdový kábel s PVC izoláciou do 1 kV, 1-CYKY-J 4x25</t>
  </si>
  <si>
    <t>MM-502</t>
  </si>
  <si>
    <t>Silnoprúdový kábel s PVC izoláciou do 1 kV, AYKY-J 4x16</t>
  </si>
  <si>
    <t>MM-503</t>
  </si>
  <si>
    <t>Káblový žľab (60 x 50 x 3050 v x š x d), komplet aj s vekom, kolenami, "T" kusmi, prepážkami, spojkami so skrutkami a maticami + uchytenie žľabu, prívodný kábel WL DT01, MKS 605 FS</t>
  </si>
  <si>
    <t>MM-504</t>
  </si>
  <si>
    <t>MM-505</t>
  </si>
  <si>
    <t>MM-506</t>
  </si>
  <si>
    <t>Ukončenie Cu a Al drôtov a lán včítane zapojenie, jedna žila, vodič s prierezom do 50 mm2</t>
  </si>
  <si>
    <t>MM-507</t>
  </si>
  <si>
    <t>MM-508</t>
  </si>
  <si>
    <t>MM-509</t>
  </si>
  <si>
    <t>Ohybná ochranná káblová rúra, 500N/5cm, -25až60°C, PE-LD, KSX 90</t>
  </si>
  <si>
    <t>MM-510</t>
  </si>
  <si>
    <t>Výstražná fólia do výkopu PVC š. 33 cm</t>
  </si>
  <si>
    <t>MM-511</t>
  </si>
  <si>
    <t>MM-512</t>
  </si>
  <si>
    <t>MM-513</t>
  </si>
  <si>
    <t>MM-514</t>
  </si>
  <si>
    <t>PC-5006</t>
  </si>
  <si>
    <t>PC-5007</t>
  </si>
  <si>
    <t>PC-5008</t>
  </si>
  <si>
    <t>E1.4 - Technologia kotolní a vykurovanie</t>
  </si>
  <si>
    <t xml:space="preserve">    731 - Ústredné kúrenie, kotolne   </t>
  </si>
  <si>
    <t xml:space="preserve">    732 - Ústredné kúrenie, strojovne   </t>
  </si>
  <si>
    <t xml:space="preserve">    733 - Ústredné kúrenie - rozvodné potrubie   </t>
  </si>
  <si>
    <t xml:space="preserve">    734 - Ústredné kúrenie - armatúry   </t>
  </si>
  <si>
    <t xml:space="preserve">    735 - Ústredné kúrenie - vykurovacie telesá   </t>
  </si>
  <si>
    <t xml:space="preserve">    769 - Montáže vzduchotechnických zariadení   </t>
  </si>
  <si>
    <t>411238221.S</t>
  </si>
  <si>
    <t>Zamurovanie otvoru s plochou do 4,00 m2 v klenbách tehlami hr. 150-800 mm  vrátane dodávky materiálu (komín)</t>
  </si>
  <si>
    <t>971033371.S</t>
  </si>
  <si>
    <t>Vybúranie otvoru v murive tehl. plochy do 0,09 m2 hr. do 750 mm,  -0,13200t</t>
  </si>
  <si>
    <t>979081111.S</t>
  </si>
  <si>
    <t>979081121.S</t>
  </si>
  <si>
    <t>Odvoz sutiny a vybúraných hmôt na skládku za každý ďalší 1 km</t>
  </si>
  <si>
    <t>979089721.S</t>
  </si>
  <si>
    <t>Poplatok za uloženie stavebného odpadu na recykláciu - betón bez armovania, veľkosť do 50 x 50 cm (17 01 01)</t>
  </si>
  <si>
    <t>713400842.S</t>
  </si>
  <si>
    <t>Odstránenie tepelnej izolácie potrubia s konštrukciou vrátane povrchovej úpravy,  -0,04810t</t>
  </si>
  <si>
    <t>Montáž trubíc z PE, vnút.priemer do 38 mm</t>
  </si>
  <si>
    <t>28331000272</t>
  </si>
  <si>
    <t>28331000272.1</t>
  </si>
  <si>
    <t>Montáž trubíc z PE, vnút.priemer 39-114 mm</t>
  </si>
  <si>
    <t>28331000272.2</t>
  </si>
  <si>
    <t>28331000277</t>
  </si>
  <si>
    <t>28331000272.3</t>
  </si>
  <si>
    <t>28331000272.4</t>
  </si>
  <si>
    <t>28331000272.5</t>
  </si>
  <si>
    <t>28331000280</t>
  </si>
  <si>
    <t>28331000280.1</t>
  </si>
  <si>
    <t>713482191.S</t>
  </si>
  <si>
    <t>Montáž plošnej izolácie z polyetylénu do 20 mm</t>
  </si>
  <si>
    <t>283320009100</t>
  </si>
  <si>
    <t>Izolačný samolepiaci pás , izolácia hr. 10 mm, pre izoláciu potrubia (doizolovanie potrubí  do priemeru 42 mm)</t>
  </si>
  <si>
    <t>283320009411</t>
  </si>
  <si>
    <t>Izolačný samolepiaci pás , izolácia hr. 20 mm, pre izoláciu potrubia (doizolovanie potrubí  do priemeru 60 mm)</t>
  </si>
  <si>
    <t>713482192.S</t>
  </si>
  <si>
    <t>Montáž plošnej izolácie z polyetylénu 20 -  30  mm potrubie</t>
  </si>
  <si>
    <t>283320009100.1</t>
  </si>
  <si>
    <t>Izolačný samolepiaci pás , izolácia hr. 30 mm, pre izoláciu potrubia (doizolovanie a izolovanie potrubí  do priemeru 159 mm DN 80,100 2x30mm, DN 125, 150, 3x30mm)</t>
  </si>
  <si>
    <t>713482198.S</t>
  </si>
  <si>
    <t>Montáž plošnej izolácie tvarových plôch čerpadiel rozdeľovača a zberača a armatúr</t>
  </si>
  <si>
    <t>283320009100.2</t>
  </si>
  <si>
    <t>Izolačný samolepiaci pás , izolácia hr. 30 mm</t>
  </si>
  <si>
    <t>713510203.S</t>
  </si>
  <si>
    <t>Montáž  a dodávka tesnenia prestupu káblových, potrubných trás a tesnenie škár prierezu 0,2-0,3 m2 protipožiarnym tesnením</t>
  </si>
  <si>
    <t>731</t>
  </si>
  <si>
    <t xml:space="preserve">Ústredné kúrenie, kotolne   </t>
  </si>
  <si>
    <t>731201823.S</t>
  </si>
  <si>
    <t>Demontáž plynového kotla  automatického s výkonom nad 465 do 730 kW,  do 1,8500t</t>
  </si>
  <si>
    <t>731201823.S.1</t>
  </si>
  <si>
    <t>Demontáž kotla na tuhé palivo  automatického s výkonom nad 465 do 700 kW,  do 4,700t</t>
  </si>
  <si>
    <t>731201825.S</t>
  </si>
  <si>
    <t>Demontáž plynového kotla  automatického s výkonom nad výkonom nad 1160 do 1860 kW,  -4,5000t</t>
  </si>
  <si>
    <t>731201825.S.1</t>
  </si>
  <si>
    <t>Demontáž  kotla na tuhé palivo automatického s výkonom nad výkonom nad 1160 do 1860 kW,  -14,5000t</t>
  </si>
  <si>
    <t>731202830</t>
  </si>
  <si>
    <t>Rozrezanie demontovaného kotla oceľového s hmotnosťou nad 1000 do 2500 kg</t>
  </si>
  <si>
    <t>731202840.S</t>
  </si>
  <si>
    <t>Rozrezanie demontovaného kotla oceľového s hmotnosťou nad 2500 do 4000 kg</t>
  </si>
  <si>
    <t>731202850.S</t>
  </si>
  <si>
    <t>Rozrezanie demontovaného kotla oceľového s hmotnosťou nad 4000 do 6000 kg</t>
  </si>
  <si>
    <t>731202870.S</t>
  </si>
  <si>
    <t>Rozrezanie demontovaného kotla oceľového s hmotnosťou nad 10000 do 15000 kg</t>
  </si>
  <si>
    <t>731292812</t>
  </si>
  <si>
    <t>Demontáž horáka na kvapalné a plynné palivá s výkonom nad 200 kW  do 450 kW,  -0,1500t</t>
  </si>
  <si>
    <t>731292812.1</t>
  </si>
  <si>
    <t>Demontáž horáka na kvapalné a plynné palivá s výkonom nad 670 do 1300 kW,  -0,200t</t>
  </si>
  <si>
    <t>731310815.S</t>
  </si>
  <si>
    <t>Demontáž ventilátora pre umelý ťah kotla s výkonom nad 4536 do 5446 kW,  -1,82000t</t>
  </si>
  <si>
    <t>731360812.S</t>
  </si>
  <si>
    <t>Demontáž nerezového komína dvojplášťového od DN 400 do DN 500,  -0,026 t</t>
  </si>
  <si>
    <t>731391813</t>
  </si>
  <si>
    <t>Vypúšťanie vody z kotla do kanalizácie samospádom o v. pl.kotla nad 10 do 20 m2</t>
  </si>
  <si>
    <t>731391815.S</t>
  </si>
  <si>
    <t>Vypúšťanie vody z kotla do kanalizácie samospádom o v. pl.kotla nad 50 do 100 m2</t>
  </si>
  <si>
    <t>731261130.S</t>
  </si>
  <si>
    <t>Montáž plynového kotla stacionárneho oceľového nízkoteplotného 451-600 kW</t>
  </si>
  <si>
    <t>731289112.S</t>
  </si>
  <si>
    <t>Montáž horáka na kvapalné a plynné palivá s výkonom od 250 do 600 kW</t>
  </si>
  <si>
    <t>484120000805</t>
  </si>
  <si>
    <t>484120000805.1</t>
  </si>
  <si>
    <t>484120000805.2</t>
  </si>
  <si>
    <t>Spínac tlaku plynu kontrola tesnosti</t>
  </si>
  <si>
    <t>484120000805.3</t>
  </si>
  <si>
    <t>Konektor pre horák s Vitotronic</t>
  </si>
  <si>
    <t>484120000805.4</t>
  </si>
  <si>
    <t>Obmedzovač min a max. tlaku</t>
  </si>
  <si>
    <t>484120000805.5</t>
  </si>
  <si>
    <t>Sada náhradných opatreni za expanzný hrniec z obmedzovača max teploty a tlaku</t>
  </si>
  <si>
    <t>484120000805.6</t>
  </si>
  <si>
    <t>Držiak armatúr</t>
  </si>
  <si>
    <t>484120000805.7</t>
  </si>
  <si>
    <t>Škriaca  klapka DN 100 vrátane motora dodávka s kotlom</t>
  </si>
  <si>
    <t>484120000805.8</t>
  </si>
  <si>
    <t>Regulácia základňa pre reguláciu E, rozširenie EA1, dodávka s kotlom</t>
  </si>
  <si>
    <t>484120000805.9</t>
  </si>
  <si>
    <t>Uvedenie do prevádzky s obhliadkou  dodávka s kotlom</t>
  </si>
  <si>
    <t>731111045.S</t>
  </si>
  <si>
    <t>Montáž kotla liatinového automatického na pelety výkon 600 kW</t>
  </si>
  <si>
    <t>484110003456.S</t>
  </si>
  <si>
    <t>484110003456.S.1</t>
  </si>
  <si>
    <t>Sada pre zvýšenie teploty vratnej vody do 600kW s energeticky úsporným čerpadlom, vrátane trojcestného ventilu , uzatváracích armatúr, spätného ventilu</t>
  </si>
  <si>
    <t>484110003456.S.2</t>
  </si>
  <si>
    <t>Regulátor ťahu DN 250 s explóznou klapkou</t>
  </si>
  <si>
    <t>484110003456.S.3</t>
  </si>
  <si>
    <t>"Regulácia vykurovacej sústavy -- 1x Akumulačná nádoba - 1x Externá požiadavka (požiadavka na zopnutie kotlov nadradenou MaR) - Kaskáda kotlov - Vzdialený prístup, ovládanie na diaľku" Vizualizácia T Control</t>
  </si>
  <si>
    <t>731111045.S.1</t>
  </si>
  <si>
    <t>Montáž Plniaceho systému pre pelety</t>
  </si>
  <si>
    <t>484110003456.S.4</t>
  </si>
  <si>
    <t>Plniací systém pre fúkanie peliet, vrátane rúr oblúkov spojok, vrátane upevnenia a narazových rohoží</t>
  </si>
  <si>
    <t>731111045.S.2</t>
  </si>
  <si>
    <t>Montáž zvislého plniaceho systému s odpojitelným žlabom</t>
  </si>
  <si>
    <t>484110003456.S.5</t>
  </si>
  <si>
    <t>Základný balík zvislý plniaci systém, vyhotovenie otvorený žľab pravý, rozširujúci balík žľab pravý 1,2m</t>
  </si>
  <si>
    <t>484110003456.S.6</t>
  </si>
  <si>
    <t>Rozširujúci balík žľab pravý 0,6m</t>
  </si>
  <si>
    <t>484110003456.S.7</t>
  </si>
  <si>
    <t>Príplatok - žľab s kolieskami (pojazdný a odpojiteľný)</t>
  </si>
  <si>
    <t>484110003456.S.8</t>
  </si>
  <si>
    <t>Predĺženie - zvislá rúra 1,5m pre zvislý plniaci dopravník</t>
  </si>
  <si>
    <t>484110003456.S.9</t>
  </si>
  <si>
    <t>Predĺženie - rúra v sklade paliva 0,5mpre zvislý plniaci dopravník</t>
  </si>
  <si>
    <t>484110003456.S.10</t>
  </si>
  <si>
    <t>Predĺženie - rúra 0,5m pre pravý žľab pre zvislý plniaci systém</t>
  </si>
  <si>
    <t>484110003456.S.11</t>
  </si>
  <si>
    <t>Rozvádzač pre plniace dopravníky 3 motory: 2x4k W a 1x5,5 kW vrátane kľúčového spínača</t>
  </si>
  <si>
    <t>484110003456.S.12</t>
  </si>
  <si>
    <t>Plniaci dopravník v sklade DN 300mm</t>
  </si>
  <si>
    <t>484110003456.S.13</t>
  </si>
  <si>
    <t>Uloženie plniaceho dopravníka</t>
  </si>
  <si>
    <t>731111045.S.3</t>
  </si>
  <si>
    <t>Montáž vyprázdňovania skladu - systém dopravy paliva pre štiepku a peletu</t>
  </si>
  <si>
    <t>484110003456.S.14</t>
  </si>
  <si>
    <t>Základný balík miešadlo - pohon,  modulárny systém 399-501 kW, 400 V</t>
  </si>
  <si>
    <t>484110003456.S.15</t>
  </si>
  <si>
    <t>Balík tanier miešadla DM1240mm a 2 pružiny, priemer miešadla D=5m</t>
  </si>
  <si>
    <t>484110003456.S.16</t>
  </si>
  <si>
    <t>Otvorený kanál dopravníka s prechodovým dielom cez stenu  pre miešadlo D=5,0m do 500kW, pre 230 V a 400 V</t>
  </si>
  <si>
    <t>484110003456.S.17</t>
  </si>
  <si>
    <t>Predĺženie závitového dopravníka  L=2,5 m do 500kW, uzatvorený kanál, pre miešadlo 230 V a 400 V</t>
  </si>
  <si>
    <t>484110003456.S.18</t>
  </si>
  <si>
    <t>Podpera pri šikmom dopravníku pre otvorený kanál dopravníka (potrebné od 5,5 m)</t>
  </si>
  <si>
    <t>484110003456.S.19</t>
  </si>
  <si>
    <t>Podpera pri šikmom dopravníku pre uzatvorený kanál dopravníka (potrebné každé 2m)</t>
  </si>
  <si>
    <t>484110003456.S.20</t>
  </si>
  <si>
    <t>Prechodový kus doprava paliva na RSE pre fm a BF 0-20 °</t>
  </si>
  <si>
    <t>484110003456.S.21</t>
  </si>
  <si>
    <t>Doprava tovaru na miesto stavby</t>
  </si>
  <si>
    <t>731111045.S.4</t>
  </si>
  <si>
    <t>Služby odbornej pomoci pri inštalácií zariadenia a uvedenie zariadenia do prevádzky ( uvedenie do prevádzky kotlov, plniacich systémov, dopravníkov a regulačných systémov</t>
  </si>
  <si>
    <t>731360141</t>
  </si>
  <si>
    <t>598220013305</t>
  </si>
  <si>
    <t>Spalinová rúra  DN 350, dĺžka 250 mm, dĺžkový diel pre dvojplášťový komínový systém z nehrdzavejúcej ocele</t>
  </si>
  <si>
    <t>598220013305.1</t>
  </si>
  <si>
    <t>Spalinová rúra  DN 350, dĺžka 500 mm, dĺžkový diel pre dvojplášťový komínový systém z nehrdzavejúcej ocele</t>
  </si>
  <si>
    <t>598220013305.2</t>
  </si>
  <si>
    <t>Spalinová rúra  DN 350, dĺžka 1000 mm, dĺžkový diel pre dvojplášťový komínový systém z nehrdzavejúcej ocele</t>
  </si>
  <si>
    <t>598220013305.3</t>
  </si>
  <si>
    <t>Príplatok pre merací otvor pre emisie pre  dvojplášťový komínový systém z nehrdzavejúcej ocele</t>
  </si>
  <si>
    <t>598220064005</t>
  </si>
  <si>
    <t>Prvok čistiaci DN 350, pre dvojplášťový komínový systém z nehrdzavejúcej ocele</t>
  </si>
  <si>
    <t>598220056705</t>
  </si>
  <si>
    <t>Pätkové Koleno 87°  DN 350, pre dvojplášťový komínový systém z nehrdzavejúcej ocele</t>
  </si>
  <si>
    <t>598220043605</t>
  </si>
  <si>
    <t>Uzáver vedenia s golierom DN 350, pre dvojplášťový komínový systém z nehrdzavejúcej ocele</t>
  </si>
  <si>
    <t>598220065605</t>
  </si>
  <si>
    <t>Podpera stenova s nosníkom a základová doska pre medzivzpery pre komínový systém z nehrdzavejúcej ocele  vrátane prechodu</t>
  </si>
  <si>
    <t>598220065605.1</t>
  </si>
  <si>
    <t>Rozširenie   DN 300/350, pre komínový systém z nehrdzavejúcej ocele  vrátane prechodu</t>
  </si>
  <si>
    <t>598220013507</t>
  </si>
  <si>
    <t>Upevňovacie spojky a spojovací materiál</t>
  </si>
  <si>
    <t>731360141.1</t>
  </si>
  <si>
    <t>598220013305.4</t>
  </si>
  <si>
    <t>Spalinová rúra  DN 400, dĺžka 250 mm, dĺžkový diel pre dvojplášťový komínový systém z nehrdzavejúcej ocele</t>
  </si>
  <si>
    <t>598220016705</t>
  </si>
  <si>
    <t>Spalinová rúra  DN 400, dĺžka 500 mm, dĺžkový diel pre dvojplášťový komínový systém z nehrdzavejúcej ocele</t>
  </si>
  <si>
    <t>598220016905</t>
  </si>
  <si>
    <t>Spalinová rúra  DN 400, dĺžka 1000 mm, dĺžkový diel pre dvojplášťový komínový systém z nehrdzavejúcej ocele</t>
  </si>
  <si>
    <t>598220043605.1</t>
  </si>
  <si>
    <t>Uzáver vedenia DN 400, pre dvojplášťový komínový systém z nehrdzavejúcej ocele</t>
  </si>
  <si>
    <t>598220046105</t>
  </si>
  <si>
    <t>Cistiaci prvok  DN 400, pre dvojplášťový komínový systém z nehrdzavejúcej ocele</t>
  </si>
  <si>
    <t>598220056705.1</t>
  </si>
  <si>
    <t>Koleno 45°  DN 400, pre dvojplášťový komínový systém z nehrdzavejúcej ocele</t>
  </si>
  <si>
    <t>598220064008</t>
  </si>
  <si>
    <t>T kus 45°  DN 400, pre dvojplášťový komínový systém z nehrdzavejúcej ocele</t>
  </si>
  <si>
    <t>598220064005.1</t>
  </si>
  <si>
    <t>T kus 87°  DN 400, pre dvojplášťový komínový systém z nehrdzavejúcej ocele</t>
  </si>
  <si>
    <t>598220064005.2</t>
  </si>
  <si>
    <t>Predĺženie s revíznym otvorom DN 400, pre dvojplášťový komínový systém z nehrdzavejúcej ocele</t>
  </si>
  <si>
    <t>598220064005.3</t>
  </si>
  <si>
    <t>Meraci prvok DN 400, pre dvojplášťový komínový systém z nehrdzavejúcej ocele</t>
  </si>
  <si>
    <t>598220064005.4</t>
  </si>
  <si>
    <t>Základová doska pre montáž na podstavec DN 400, pre dvojplášťový komínový systém z nehrdzavejúcej ocele</t>
  </si>
  <si>
    <t>598220065605.2</t>
  </si>
  <si>
    <t>Rozširenie   DN 250/400, pre komínový systém z nehrdzavejúcej ocele  vrátane prechodu</t>
  </si>
  <si>
    <t>598220013505</t>
  </si>
  <si>
    <t>Prechodka plochá strešná z nerezu vrátane goliera   DN 400</t>
  </si>
  <si>
    <t>731890802</t>
  </si>
  <si>
    <t>Vnútrostaveniskové premiestnenie vybúraných hmôt kotolní vodorovne do 12 m</t>
  </si>
  <si>
    <t>998731202</t>
  </si>
  <si>
    <t>Presun hmôt pre kotolne umiestnené vo výške (hĺbke) nad 6 do 12 m</t>
  </si>
  <si>
    <t>732</t>
  </si>
  <si>
    <t xml:space="preserve">Ústredné kúrenie, strojovne   </t>
  </si>
  <si>
    <t>732110812.S</t>
  </si>
  <si>
    <t>Demontáž telesa rozdeľovača a zberača nad DN 100 do 200,  -0,09358t</t>
  </si>
  <si>
    <t>732110813.S</t>
  </si>
  <si>
    <t>Demontáž telesa rozdeľovača a zberača nad DN 200 do 300,  -0,20748t</t>
  </si>
  <si>
    <t>732212815.S</t>
  </si>
  <si>
    <t>Demontáž ohrievača zásobníkového stojatého objemu do 1600 l,  -0,51196t</t>
  </si>
  <si>
    <t>732213823.S</t>
  </si>
  <si>
    <t>Demontáž ohrievača zásobníkového, rozrezanie demontovaného ohrievača objemu nad 2500 do 6300 l</t>
  </si>
  <si>
    <t>732320816.S</t>
  </si>
  <si>
    <t>Demontáž úpravne vody, odpojenie od rozvodov potrubia nádrže objemu do 2000 l</t>
  </si>
  <si>
    <t>732320817.S</t>
  </si>
  <si>
    <t>Demontáž nádrže expanznej, odpojenie od rozvodov potrubia nádrže objemu do 3000 l</t>
  </si>
  <si>
    <t>732393818.S</t>
  </si>
  <si>
    <t>Rozrezanie demontovanej nádrže objemu nad 2000 do 5000 l</t>
  </si>
  <si>
    <t>732420812.S</t>
  </si>
  <si>
    <t>Demontáž čerpadla obehového špirálového (do potrubia) DN 40,  -0,02100t</t>
  </si>
  <si>
    <t>732420815.S</t>
  </si>
  <si>
    <t>Demontáž čerpadla obehového špirálového (do potrubia) DN 80,  -0,02800t</t>
  </si>
  <si>
    <t>732420816.S</t>
  </si>
  <si>
    <t>Demontáž čerpadla obehového špirálového (do potrubia) DN 100,  -0,04400t</t>
  </si>
  <si>
    <t>732111404.S</t>
  </si>
  <si>
    <t>Montáž rozdeľovača a zberača DN 150 dlžka do 1,5m</t>
  </si>
  <si>
    <t>732111408.S</t>
  </si>
  <si>
    <t>Montáž rozdeľovača a zberača DN 250 dlžka do 2,5</t>
  </si>
  <si>
    <t>484650000400</t>
  </si>
  <si>
    <t>Rozdeľovač a zberač DN150 mm,prevádzková teplota 110°C, vrátane hrdiel a návarkou pre teplomer a tlakomer pretlak 0,6 MPa,  dlžka 1,5m</t>
  </si>
  <si>
    <t>484650000400.1</t>
  </si>
  <si>
    <t>Rozdeľovač a zberač DN250 mm,prevádzková teplota 110°C, vrátane hrdiel a návarkou pre teplomer a tlakomer pretlak 0,6 MPa,  dlžka 1,5m</t>
  </si>
  <si>
    <t>484650000400.2</t>
  </si>
  <si>
    <t>Rozdeľovač a zberač DN250 mm,prevádzková teplota 110°C, vrátane hrdiel a návarkou pre teplomer a tlakomer pretlak 0,6 MPa,  dlžka 2,6m</t>
  </si>
  <si>
    <t>484650038900</t>
  </si>
  <si>
    <t>Stojan výška 200-800 mm pre rozdeľovače a zberače</t>
  </si>
  <si>
    <t>732312127.S</t>
  </si>
  <si>
    <t>Montáž akumulačnej nádoby valcovej  objemu 5000 l</t>
  </si>
  <si>
    <t>484630006500</t>
  </si>
  <si>
    <t>Zásobník PSP 5000 akumulačný  dodávka s kotlami na pelety a štiepku, vrátane izolácie  povrchovej úpravy a čidiel</t>
  </si>
  <si>
    <t>732331042</t>
  </si>
  <si>
    <t>Montáž expanznej nádoby tlak 6 barov s membránou 80 l</t>
  </si>
  <si>
    <t>484630006500.1</t>
  </si>
  <si>
    <t>Nádoba expanzná s membránou typ N 80 l pripojenie R 1", 6 bar, šedá, vrátane guľového kohúta zo zaistením 1"</t>
  </si>
  <si>
    <t>732332162.S</t>
  </si>
  <si>
    <t>Montáž riadiacej jednotky Expanzného automatu a základnej nádoby min. prevádzkový tlak do 4,8 bar , vrátane uvedenia do prevádzky</t>
  </si>
  <si>
    <t>484630006500.2</t>
  </si>
  <si>
    <t>732429111.S</t>
  </si>
  <si>
    <t>Montáž čerpadla (do potrubia) obehového  DN 25</t>
  </si>
  <si>
    <t>732429112.S</t>
  </si>
  <si>
    <t>Montáž čerpadla (do potrubia) obehového špirálového DN 40</t>
  </si>
  <si>
    <t>732429114.S</t>
  </si>
  <si>
    <t>Montáž čerpadla (do potrubia) obehového špirálového DN 65</t>
  </si>
  <si>
    <t>426110003505</t>
  </si>
  <si>
    <t>426110003501</t>
  </si>
  <si>
    <t>426110003501.1</t>
  </si>
  <si>
    <t>426110003501.2</t>
  </si>
  <si>
    <t>426110003501.3</t>
  </si>
  <si>
    <t>426110003505.1</t>
  </si>
  <si>
    <t>426110003505.2</t>
  </si>
  <si>
    <t>426110003505.3</t>
  </si>
  <si>
    <t>426110003505.4</t>
  </si>
  <si>
    <t>426110003505.5</t>
  </si>
  <si>
    <t>426110003501.4</t>
  </si>
  <si>
    <t>426110003505.6</t>
  </si>
  <si>
    <t>426110003502</t>
  </si>
  <si>
    <t>426110003503</t>
  </si>
  <si>
    <t>426110003504</t>
  </si>
  <si>
    <t>426110003507</t>
  </si>
  <si>
    <t>426110003507.1</t>
  </si>
  <si>
    <t>426110003507.2</t>
  </si>
  <si>
    <t>426110003507.3</t>
  </si>
  <si>
    <t>Neutralizačné zariadenie GENO - Neutra  V N - 70 dodávka s kotlom + montáž</t>
  </si>
  <si>
    <t>732199100.S</t>
  </si>
  <si>
    <t>Montáž orientačného štítka</t>
  </si>
  <si>
    <t>548230000900.S</t>
  </si>
  <si>
    <t>Štítok pre označenie zariadení</t>
  </si>
  <si>
    <t>732890802.S</t>
  </si>
  <si>
    <t>Vnútrostaveniskové premiestnenie vybúraných hmôt strojovní vodorovne 100 m z objektov výšky nad 6 do 12 m</t>
  </si>
  <si>
    <t>998732202.S</t>
  </si>
  <si>
    <t>Presun hmôt pre strojovne v objektoch výšky nad 6 m do 12 m</t>
  </si>
  <si>
    <t>733</t>
  </si>
  <si>
    <t xml:space="preserve">Ústredné kúrenie - rozvodné potrubie   </t>
  </si>
  <si>
    <t>733110806.S</t>
  </si>
  <si>
    <t>Demontáž potrubia z oceľových rúrok závitových nad 15 do DN 32,  -0,00320t</t>
  </si>
  <si>
    <t>733110808.S</t>
  </si>
  <si>
    <t>Demontáž potrubia z oceľových rúrok závitových nad 32 do DN 50,  -0,00532t</t>
  </si>
  <si>
    <t>733110810.S</t>
  </si>
  <si>
    <t>Demontáž potrubia z oceľových rúrok závitových nad 50 do DN 80,  -0,00858t</t>
  </si>
  <si>
    <t>733120832.S</t>
  </si>
  <si>
    <t>Demontáž potrubia z oceľových rúrok hladkých nad 89 do D 133,  -0,01384t</t>
  </si>
  <si>
    <t>733111218.S</t>
  </si>
  <si>
    <t>Potrubie z rúrok závitových zosilnených strednotlakových DN 50</t>
  </si>
  <si>
    <t>733121125.S</t>
  </si>
  <si>
    <t>Potrubie z rúrok hladkých bezšvových nízkotlakových priemer 89/3,6</t>
  </si>
  <si>
    <t>733121128.S</t>
  </si>
  <si>
    <t>Potrubie z rúrok hladkých bezšvových nízkotlakových priemer 108/4,0</t>
  </si>
  <si>
    <t>733121132.S</t>
  </si>
  <si>
    <t>Potrubie z rúrok hladkých bezšvových nízkotlakových priemer 133/4,5</t>
  </si>
  <si>
    <t>733121135.S</t>
  </si>
  <si>
    <t>Potrubie z rúrok hladkých bezšvových nízkotlakových priemer 159/4,5</t>
  </si>
  <si>
    <t>733124118.S</t>
  </si>
  <si>
    <t>Zhotovenie rúrkového prechodu z rúrok hladkých kovaním</t>
  </si>
  <si>
    <t>733125003</t>
  </si>
  <si>
    <t>Potrubie z uhlíkovej ocele  spájané lisovaním vrátane tvaroviek 15x1,2 mm</t>
  </si>
  <si>
    <t>733125006</t>
  </si>
  <si>
    <t>Potrubie z uhlíkovej ocelle spájané lisovaním vrátane tvaroviek 18x1,2 mm</t>
  </si>
  <si>
    <t>733125009</t>
  </si>
  <si>
    <t>Potrubie z uhlíkovej ocele spájané lisovaním vrátane tvaroviek 22x1,5 mm</t>
  </si>
  <si>
    <t>733125012</t>
  </si>
  <si>
    <t>Potrubie z uhlíkovej ocele spájané lisovaním vrátane tvaroviek 28x1,5 mm</t>
  </si>
  <si>
    <t>733125015</t>
  </si>
  <si>
    <t>Potrubie z uhlíkovej ocele spájané lisovaním  vrátane tvaroviek 35x1,5 mm</t>
  </si>
  <si>
    <t>733125018</t>
  </si>
  <si>
    <t>Potrubie z uhlíkovej ocele spájané lisovaním vrátane tvaroviek 42x1,5 mm</t>
  </si>
  <si>
    <t>733125021</t>
  </si>
  <si>
    <t>Potrubie z uhlíkovej ocele  spájané lisovaním vrátane tvaroviek 54x1,5 mm</t>
  </si>
  <si>
    <t>7331262401.S</t>
  </si>
  <si>
    <t>Montáž  návarkov (teplomery tlakomery, čidlá MaR)</t>
  </si>
  <si>
    <t>733166104</t>
  </si>
  <si>
    <t>Plasthliníkové potrubie  v tyčiach pre  spájané lisovaním dxt 26x3 mm</t>
  </si>
  <si>
    <t>733166162</t>
  </si>
  <si>
    <t>Plasthliníkové potrubie spájané lisovaním dxt 50x4 mm</t>
  </si>
  <si>
    <t>733190217.S</t>
  </si>
  <si>
    <t>Tlaková skúška potrubia z oceľových rúrok do priemeru 89/5</t>
  </si>
  <si>
    <t>733190232.S</t>
  </si>
  <si>
    <t>Tlaková skúška potrubia z oceľových rúrok nad 89/5 do priemeru 159/5,0</t>
  </si>
  <si>
    <t>733191301.S</t>
  </si>
  <si>
    <t>Tlaková skúška plastového potrubia do 50 mm</t>
  </si>
  <si>
    <t>733890803.S</t>
  </si>
  <si>
    <t>Vnútrostav. premiestnenie vybúraných hmôt rozvodov potrubia vodorovne do 100 m z obj. výš. do 24m</t>
  </si>
  <si>
    <t>998733203.S</t>
  </si>
  <si>
    <t>Presun hmôt pre rozvody potrubia v objektoch výšky nad 6 do 24 m</t>
  </si>
  <si>
    <t>734</t>
  </si>
  <si>
    <t xml:space="preserve">Ústredné kúrenie - armatúry   </t>
  </si>
  <si>
    <t>734190818.S</t>
  </si>
  <si>
    <t>Demontáž príruby rozpojenie prírubového spoja nad 50 do DN 150</t>
  </si>
  <si>
    <t>734200811.S</t>
  </si>
  <si>
    <t>Demontáž armatúry závitovej s jedným závitom do G 1/2 -0,00045t</t>
  </si>
  <si>
    <t>734200813.S</t>
  </si>
  <si>
    <t>Demontáž armatúry závitovej s jedným závitom nad 1 do G 6/4,  -0,00190t</t>
  </si>
  <si>
    <t>734200821.S</t>
  </si>
  <si>
    <t>Demontáž armatúry závitovej s dvomi závitmi do G 1/2 -0,00045t</t>
  </si>
  <si>
    <t>734200823.S</t>
  </si>
  <si>
    <t>Demontáž armatúry závitovej s dvomi závitmi nad 1 do G 6/4,  -0,00200t</t>
  </si>
  <si>
    <t>734173218.S</t>
  </si>
  <si>
    <t>Prírubový spoj PN 0,6/I, 200 °C DN 100</t>
  </si>
  <si>
    <t>734173422.S</t>
  </si>
  <si>
    <t>Prírubový spoj PN 1,6/I, 200 °C DN 150</t>
  </si>
  <si>
    <t>734109115.S</t>
  </si>
  <si>
    <t>Montáž armatúry prírubovej s dvomi prírubami PN 1,0 DN 65</t>
  </si>
  <si>
    <t>734109116.S</t>
  </si>
  <si>
    <t>Montáž armatúry prírubovej s dvomi prírubami PN 1,0 DN 80</t>
  </si>
  <si>
    <t>734109117.S</t>
  </si>
  <si>
    <t>Montáž armatúry prírubovej s dvomi prírubami PN 1,0 DN 100</t>
  </si>
  <si>
    <t>734109118.S</t>
  </si>
  <si>
    <t>Montáž armatúry prírubovej s dvomi prírubami PN 1,0 DN 125</t>
  </si>
  <si>
    <t>734109119.S</t>
  </si>
  <si>
    <t>Montáž armatúry prírubovej s dvomi prírubami PN 1,0 DN 150</t>
  </si>
  <si>
    <t>734109216.S</t>
  </si>
  <si>
    <t>Montáž armatúry prírubovej s dvomi prírubami PN 1,6 DN 80</t>
  </si>
  <si>
    <t>734109217.S</t>
  </si>
  <si>
    <t>Montáž armatúry prírubovej s dvomi prírubami PN 1,6 DN 100</t>
  </si>
  <si>
    <t>734109218.S</t>
  </si>
  <si>
    <t>Montáž armatúry prírubovej s dvomi prírubami PN 1,6 DN 125</t>
  </si>
  <si>
    <t>734109219.S</t>
  </si>
  <si>
    <t>Montáž armatúry prírubovej s dvomi prírubami PN 1,6 DN 150</t>
  </si>
  <si>
    <t>422810002400</t>
  </si>
  <si>
    <t>Medziprírubová klapka uzatváracia disk nerez, DN 65, dĺ. 46 mm, liatina ,</t>
  </si>
  <si>
    <t>422810002400.1</t>
  </si>
  <si>
    <t>Medziprírubová klapka uzatváracia disk nerez, DN 80, dĺ. 46 mm, liatina ,</t>
  </si>
  <si>
    <t>404</t>
  </si>
  <si>
    <t>422810002400.2</t>
  </si>
  <si>
    <t>Medziprírubová klapka uzatváracia disk nerez, DN 100, dĺ. 52 mm, liatina ,</t>
  </si>
  <si>
    <t>406</t>
  </si>
  <si>
    <t>422810002400.3</t>
  </si>
  <si>
    <t>Medziprírubová klapka uzatváracia disk nerez, DN 125, dĺ. 56 mm, liatina ,</t>
  </si>
  <si>
    <t>408</t>
  </si>
  <si>
    <t>422810002400.4</t>
  </si>
  <si>
    <t>Medziprírubová klapka uzatváracia disk nerez, DN 150, dĺ. 56 mm, liatina ,</t>
  </si>
  <si>
    <t>410</t>
  </si>
  <si>
    <t>422810002400.5</t>
  </si>
  <si>
    <t>Prírubový filter  DN 80, PN16</t>
  </si>
  <si>
    <t>412</t>
  </si>
  <si>
    <t>422810002400.6</t>
  </si>
  <si>
    <t>Prírubový filter  DN 125, PN16</t>
  </si>
  <si>
    <t>414</t>
  </si>
  <si>
    <t>422810002400.7</t>
  </si>
  <si>
    <t>Prírubová spätná klapka  DN 80, PN16</t>
  </si>
  <si>
    <t>416</t>
  </si>
  <si>
    <t>422810002400.8</t>
  </si>
  <si>
    <t>Prírubová spätná klapka  DN 125, PN16</t>
  </si>
  <si>
    <t>418</t>
  </si>
  <si>
    <t>422810002400.9</t>
  </si>
  <si>
    <t>420</t>
  </si>
  <si>
    <t>422810002400.10</t>
  </si>
  <si>
    <t>422</t>
  </si>
  <si>
    <t>734209101.S</t>
  </si>
  <si>
    <t>Montáž závitovej armatúry s 1 závitom do G 1/2</t>
  </si>
  <si>
    <t>424</t>
  </si>
  <si>
    <t>734209104.S</t>
  </si>
  <si>
    <t>Montáž závitovej armatúry s 1 závitom G 3/4</t>
  </si>
  <si>
    <t>426</t>
  </si>
  <si>
    <t>551240001400.S</t>
  </si>
  <si>
    <t>Kohút plniaci a vypúšťací K 310, DN 15, PN 10</t>
  </si>
  <si>
    <t>428</t>
  </si>
  <si>
    <t>551240001500.S</t>
  </si>
  <si>
    <t>Kohút plniaci a vypúšťací K 310, DN 20, PN 10</t>
  </si>
  <si>
    <t>430</t>
  </si>
  <si>
    <t>551240001400.S.1</t>
  </si>
  <si>
    <t>Automatický odvzdušňovací ventil DN 15, PN 10</t>
  </si>
  <si>
    <t>432</t>
  </si>
  <si>
    <t>734209112.S</t>
  </si>
  <si>
    <t>Montáž závitovej armatúry s 2 závitmi do G 1/2</t>
  </si>
  <si>
    <t>434</t>
  </si>
  <si>
    <t>734209114.S</t>
  </si>
  <si>
    <t>Montáž závitovej armatúry s 2 závitmi G 3/4</t>
  </si>
  <si>
    <t>436</t>
  </si>
  <si>
    <t>219</t>
  </si>
  <si>
    <t>734209115.S</t>
  </si>
  <si>
    <t>Montáž závitovej armatúry s 2 závitmi G 1</t>
  </si>
  <si>
    <t>438</t>
  </si>
  <si>
    <t>734209116.S</t>
  </si>
  <si>
    <t>Montáž závitovej armatúry s 2 závitmi G 5/4</t>
  </si>
  <si>
    <t>440</t>
  </si>
  <si>
    <t>221</t>
  </si>
  <si>
    <t>734209117.S</t>
  </si>
  <si>
    <t>Montáž závitovej armatúry s 2 závitmi G 6/4</t>
  </si>
  <si>
    <t>442</t>
  </si>
  <si>
    <t>734209118.S</t>
  </si>
  <si>
    <t>Montáž závitovej armatúry s 2 závitmi G 2</t>
  </si>
  <si>
    <t>444</t>
  </si>
  <si>
    <t>223</t>
  </si>
  <si>
    <t>551240011201</t>
  </si>
  <si>
    <t>Guľový kohút, DN25, ručná páka, mosadz,</t>
  </si>
  <si>
    <t>446</t>
  </si>
  <si>
    <t>551240011202</t>
  </si>
  <si>
    <t>Guľový kohút, DN32, ručná páka, mosadz,</t>
  </si>
  <si>
    <t>448</t>
  </si>
  <si>
    <t>225</t>
  </si>
  <si>
    <t>551240011203</t>
  </si>
  <si>
    <t>Guľový kohút s vypúštaním  DN25, ručná páka, mosadz,</t>
  </si>
  <si>
    <t>450</t>
  </si>
  <si>
    <t>551240011202.1</t>
  </si>
  <si>
    <t>Guľový kohút s vypúštaním  DN32, ručná páka, mosadz,</t>
  </si>
  <si>
    <t>452</t>
  </si>
  <si>
    <t>227</t>
  </si>
  <si>
    <t>551240011202.2</t>
  </si>
  <si>
    <t>Guľový kohút s vypúštaním  DN40, ručná páka, mosadz,</t>
  </si>
  <si>
    <t>454</t>
  </si>
  <si>
    <t>551240011202.3</t>
  </si>
  <si>
    <t>Guľový kohút s vypúštaním  DN50, ručná páka, mosadz,</t>
  </si>
  <si>
    <t>456</t>
  </si>
  <si>
    <t>229</t>
  </si>
  <si>
    <t>422010002500</t>
  </si>
  <si>
    <t>Filter závitový mosadzný, 1"</t>
  </si>
  <si>
    <t>458</t>
  </si>
  <si>
    <t>422010002503</t>
  </si>
  <si>
    <t>Filter závitový mosadzný, 5/4"</t>
  </si>
  <si>
    <t>460</t>
  </si>
  <si>
    <t>231</t>
  </si>
  <si>
    <t>422010002503.1</t>
  </si>
  <si>
    <t>Filter závitový mosadzný, 6/4"</t>
  </si>
  <si>
    <t>462</t>
  </si>
  <si>
    <t>422010002500.1</t>
  </si>
  <si>
    <t>Filter závitový mosadzný, 2"</t>
  </si>
  <si>
    <t>464</t>
  </si>
  <si>
    <t>233</t>
  </si>
  <si>
    <t>551190001015</t>
  </si>
  <si>
    <t>Spätná klapka vodorovná závitová 1", PN 10, pre vodu, mosadz</t>
  </si>
  <si>
    <t>466</t>
  </si>
  <si>
    <t>551190001116</t>
  </si>
  <si>
    <t>Spätná klapka vodorovná závitová 5/4", PN 10, pre vodu, mosadz</t>
  </si>
  <si>
    <t>468</t>
  </si>
  <si>
    <t>235</t>
  </si>
  <si>
    <t>551190001116.1</t>
  </si>
  <si>
    <t>Spätná klapka vodorovná závitová 6/4", PN 10, pre vodu, mosadz</t>
  </si>
  <si>
    <t>470</t>
  </si>
  <si>
    <t>551190001312</t>
  </si>
  <si>
    <t>Spätná klapka vodorovná závitová 2", PN 10, pre vodu, mosadz</t>
  </si>
  <si>
    <t>472</t>
  </si>
  <si>
    <t>237</t>
  </si>
  <si>
    <t>551190001312.1</t>
  </si>
  <si>
    <t>474</t>
  </si>
  <si>
    <t>551190001312.2</t>
  </si>
  <si>
    <t>476</t>
  </si>
  <si>
    <t>239</t>
  </si>
  <si>
    <t>551190001312.3</t>
  </si>
  <si>
    <t>478</t>
  </si>
  <si>
    <t>551190001312.4</t>
  </si>
  <si>
    <t>480</t>
  </si>
  <si>
    <t>241</t>
  </si>
  <si>
    <t>551190001312.5</t>
  </si>
  <si>
    <t>482</t>
  </si>
  <si>
    <t>551190001312.6</t>
  </si>
  <si>
    <t>484</t>
  </si>
  <si>
    <t>243</t>
  </si>
  <si>
    <t>551190001312.7</t>
  </si>
  <si>
    <t>486</t>
  </si>
  <si>
    <t>551280002000</t>
  </si>
  <si>
    <t>488</t>
  </si>
  <si>
    <t>245</t>
  </si>
  <si>
    <t>734223208.S</t>
  </si>
  <si>
    <t>Montáž termostatickej hlavice s kvapalinovým snímačom</t>
  </si>
  <si>
    <t>490</t>
  </si>
  <si>
    <t>734222104.S</t>
  </si>
  <si>
    <t>Montáž regulačného kohúta guľového 3-cestného DN 25</t>
  </si>
  <si>
    <t>492</t>
  </si>
  <si>
    <t>247</t>
  </si>
  <si>
    <t>551190001312.8</t>
  </si>
  <si>
    <t>494</t>
  </si>
  <si>
    <t>734222108.S</t>
  </si>
  <si>
    <t>Montáž regulačného ventilu DN 32</t>
  </si>
  <si>
    <t>496</t>
  </si>
  <si>
    <t>249</t>
  </si>
  <si>
    <t>734222108.S.1</t>
  </si>
  <si>
    <t>Montáž regulačného ventilu DN 40</t>
  </si>
  <si>
    <t>498</t>
  </si>
  <si>
    <t>551190001312.9</t>
  </si>
  <si>
    <t>500</t>
  </si>
  <si>
    <t>251</t>
  </si>
  <si>
    <t>551190001312.10</t>
  </si>
  <si>
    <t>502</t>
  </si>
  <si>
    <t>734222612.S</t>
  </si>
  <si>
    <t>Montáž elektromagnetického ventilu DN 32</t>
  </si>
  <si>
    <t>504</t>
  </si>
  <si>
    <t>253</t>
  </si>
  <si>
    <t>734222612.S.1</t>
  </si>
  <si>
    <t>Montáž elektromagnetického ventilu DN 40</t>
  </si>
  <si>
    <t>506</t>
  </si>
  <si>
    <t>734222612.S.2</t>
  </si>
  <si>
    <t>Montáž elektromagnetického ventilu DN 50</t>
  </si>
  <si>
    <t>508</t>
  </si>
  <si>
    <t>255</t>
  </si>
  <si>
    <t>551190001312.11</t>
  </si>
  <si>
    <t>510</t>
  </si>
  <si>
    <t>551190001312.12</t>
  </si>
  <si>
    <t>512</t>
  </si>
  <si>
    <t>257</t>
  </si>
  <si>
    <t>551190001312.13</t>
  </si>
  <si>
    <t>514</t>
  </si>
  <si>
    <t>734411111.S</t>
  </si>
  <si>
    <t>Teplomer technický s ochranným púzdrom - priamy typ 160 prev."A"</t>
  </si>
  <si>
    <t>516</t>
  </si>
  <si>
    <t>259</t>
  </si>
  <si>
    <t>388410000305</t>
  </si>
  <si>
    <t>Tlakomer deformačný kruhový d 160 mm vrátane  ventilu k tlakomeru a tlakomerovej prípojky a slučky, montáž + dodávka</t>
  </si>
  <si>
    <t>518</t>
  </si>
  <si>
    <t>734412442.S</t>
  </si>
  <si>
    <t>Montáž merača tepla ultrazvukového prietok 2,5 m3/h, G 3/4"</t>
  </si>
  <si>
    <t>520</t>
  </si>
  <si>
    <t>261</t>
  </si>
  <si>
    <t>389510008772.S</t>
  </si>
  <si>
    <t>522</t>
  </si>
  <si>
    <t>734412448.S</t>
  </si>
  <si>
    <t>Montáž merača tepla ultrazvukového prietok 10 m3/h, G 6/4"</t>
  </si>
  <si>
    <t>524</t>
  </si>
  <si>
    <t>263</t>
  </si>
  <si>
    <t>389510008784.S</t>
  </si>
  <si>
    <t>526</t>
  </si>
  <si>
    <t>734412448.S.1</t>
  </si>
  <si>
    <t>Montáž merača tepla ultrazvukového prietok 15 m3/h, DN50</t>
  </si>
  <si>
    <t>528</t>
  </si>
  <si>
    <t>265</t>
  </si>
  <si>
    <t>389510008784.S.1</t>
  </si>
  <si>
    <t>530</t>
  </si>
  <si>
    <t>734412448.S.2</t>
  </si>
  <si>
    <t>Montáž merača tepla ultrazvukového prietok 40 m3/h, DN0</t>
  </si>
  <si>
    <t>532</t>
  </si>
  <si>
    <t>267</t>
  </si>
  <si>
    <t>389510008784.S.2</t>
  </si>
  <si>
    <t>534</t>
  </si>
  <si>
    <t>734890803.S</t>
  </si>
  <si>
    <t>Vnútrostaveniskové premiestnenie vybúraných hmôt armatúr do 24m</t>
  </si>
  <si>
    <t>536</t>
  </si>
  <si>
    <t>269</t>
  </si>
  <si>
    <t>998734203.S</t>
  </si>
  <si>
    <t>Presun hmôt pre armatúry v objektoch výšky nad 6 do 24 m</t>
  </si>
  <si>
    <t>538</t>
  </si>
  <si>
    <t>735</t>
  </si>
  <si>
    <t xml:space="preserve">Ústredné kúrenie - vykurovacie telesá   </t>
  </si>
  <si>
    <t>735224121.S</t>
  </si>
  <si>
    <t>Montáž teplovzdušných vykurovacích jednotiek vrátane upevnenia</t>
  </si>
  <si>
    <t>540</t>
  </si>
  <si>
    <t>271</t>
  </si>
  <si>
    <t>484530013167</t>
  </si>
  <si>
    <t>Vykurovacia teplovzdušná jednotka typ Monzun TE 2.4.250P/Z/BT1 podstropná , výusť indukčná nástenná,  konzola nástenná   výkon súpravy 21 kW, vrátane manuálneho termostatu</t>
  </si>
  <si>
    <t>542</t>
  </si>
  <si>
    <t>998735202.S</t>
  </si>
  <si>
    <t>Presun hmôt pre vykurovacie telesá v objektoch výšky nad 6 do 12 m</t>
  </si>
  <si>
    <t>544</t>
  </si>
  <si>
    <t>273</t>
  </si>
  <si>
    <t>546</t>
  </si>
  <si>
    <t>548</t>
  </si>
  <si>
    <t>275</t>
  </si>
  <si>
    <t>550</t>
  </si>
  <si>
    <t>552</t>
  </si>
  <si>
    <t xml:space="preserve">Montáže vzduchotechnických zariadení   </t>
  </si>
  <si>
    <t>277</t>
  </si>
  <si>
    <t>769021577.S</t>
  </si>
  <si>
    <t>Dodávka  a montáž potrubia  od obvodu 1800mm do obvodu 2800 mm vrátane požiarnej izolácie</t>
  </si>
  <si>
    <t>554</t>
  </si>
  <si>
    <t>769082020.S</t>
  </si>
  <si>
    <t>Demontáž VZT jednotky: 710,  -0,12050 t vrátane rozrezania</t>
  </si>
  <si>
    <t>556</t>
  </si>
  <si>
    <t>279</t>
  </si>
  <si>
    <t>769082020.S.1</t>
  </si>
  <si>
    <t>Demontáž VZT potrubia</t>
  </si>
  <si>
    <t>558</t>
  </si>
  <si>
    <t>769011010.S</t>
  </si>
  <si>
    <t>Montáž ventilátora malého axiálneho nástenného na stenu veľkosť: 150</t>
  </si>
  <si>
    <t>560</t>
  </si>
  <si>
    <t>281</t>
  </si>
  <si>
    <t>769011010.S.1</t>
  </si>
  <si>
    <t>562</t>
  </si>
  <si>
    <t>135100000400.1</t>
  </si>
  <si>
    <t>Protidažďová žalúzia 900x500mm dodávka + montáž</t>
  </si>
  <si>
    <t>564</t>
  </si>
  <si>
    <t>283</t>
  </si>
  <si>
    <t>135100000400.2</t>
  </si>
  <si>
    <t>Protidažďová žalúzia 630x355mm dodávka + montáž</t>
  </si>
  <si>
    <t>566</t>
  </si>
  <si>
    <t>135100000400.3</t>
  </si>
  <si>
    <t>Protidažďová žalúzia 560x355mm dodávka + montáž</t>
  </si>
  <si>
    <t>568</t>
  </si>
  <si>
    <t>285</t>
  </si>
  <si>
    <t>135100000400.4</t>
  </si>
  <si>
    <t>Protidažďová žalúzia 800x400mm dodávka + montáž</t>
  </si>
  <si>
    <t>570</t>
  </si>
  <si>
    <t>135100000400.5</t>
  </si>
  <si>
    <t>Uzatváracia klapka zo servopohonom  230V  900x500mm dodávka + montáž</t>
  </si>
  <si>
    <t>572</t>
  </si>
  <si>
    <t>287</t>
  </si>
  <si>
    <t>135100000400.6</t>
  </si>
  <si>
    <t>Uzatváracia klapka zo servopohonom  230V  630x355mm dodávka + montáž</t>
  </si>
  <si>
    <t>574</t>
  </si>
  <si>
    <t>135100000400.7</t>
  </si>
  <si>
    <t>Uzatváracia klapka zo servopohonom  230V  560x355mm dodávka + montáž</t>
  </si>
  <si>
    <t>576</t>
  </si>
  <si>
    <t>289</t>
  </si>
  <si>
    <t>135100000400.8</t>
  </si>
  <si>
    <t>Uzatváracia klapka zo servopohonom  230V 800x400mm dodávka + montáž</t>
  </si>
  <si>
    <t>578</t>
  </si>
  <si>
    <t>135100000400.9</t>
  </si>
  <si>
    <t>Sieťka proti hmyzu 900x500mm dodávka + montáž</t>
  </si>
  <si>
    <t>580</t>
  </si>
  <si>
    <t>291</t>
  </si>
  <si>
    <t>135100000400.10</t>
  </si>
  <si>
    <t>Sieťka proti hmyzu 630x355mm dodávka + montáž</t>
  </si>
  <si>
    <t>582</t>
  </si>
  <si>
    <t>135100000400.11</t>
  </si>
  <si>
    <t>Sieťka proti hmyzu 560x355mm dodávka + montáž</t>
  </si>
  <si>
    <t>584</t>
  </si>
  <si>
    <t>293</t>
  </si>
  <si>
    <t>135100000400.12</t>
  </si>
  <si>
    <t>Sieťka proti hmyzu 800x400mm dodávka + montáž</t>
  </si>
  <si>
    <t>586</t>
  </si>
  <si>
    <t>732890802.S.1</t>
  </si>
  <si>
    <t>Vnútrostaveniskové premiestnenie vybúraných hmôt strojovní  a rozvodov vodorovne 100 m z objektov výšky nad 6 do 12 m</t>
  </si>
  <si>
    <t>588</t>
  </si>
  <si>
    <t>295</t>
  </si>
  <si>
    <t>590</t>
  </si>
  <si>
    <t>592</t>
  </si>
  <si>
    <t>297</t>
  </si>
  <si>
    <t>594</t>
  </si>
  <si>
    <t>783425350.S</t>
  </si>
  <si>
    <t>Nátery kov.potr.a armatúr syntetické potrubie do DN 100 mm dvojnás. 1x email a základný náter - 140µm</t>
  </si>
  <si>
    <t>596</t>
  </si>
  <si>
    <t>299</t>
  </si>
  <si>
    <t>783426360.S</t>
  </si>
  <si>
    <t>Nátery kov.potr.a armatúr syntetické do DN 150 mm  dvojnás. 1x email a základným náterom</t>
  </si>
  <si>
    <t>598</t>
  </si>
  <si>
    <t>Stavebno montážne práce mimoriadne odborné (napr. Revízie TI) v rozsahu viac ako 8 hodín</t>
  </si>
  <si>
    <t>600</t>
  </si>
  <si>
    <t>SO 02 - Teplovod</t>
  </si>
  <si>
    <t>E2.1 - SO 02.1  Búracie práce</t>
  </si>
  <si>
    <t xml:space="preserve">    9 - Ostatné konštrukcie a práce-búranie</t>
  </si>
  <si>
    <t>174101002.S</t>
  </si>
  <si>
    <t>Zásyp sypaninou so zhutnením jám, šachiet, rýh, zárezov alebo okolo objektov nad 100 do 1000 m3</t>
  </si>
  <si>
    <t>1937305988</t>
  </si>
  <si>
    <t>175-PC101</t>
  </si>
  <si>
    <t>Dovoz zeminy zo zemníka vr. poplatku za nákup</t>
  </si>
  <si>
    <t>-62967476</t>
  </si>
  <si>
    <t>181201102.S</t>
  </si>
  <si>
    <t>Úprava pláne v násypoch v hornine 1-4 so zhutnením</t>
  </si>
  <si>
    <t>-1314999898</t>
  </si>
  <si>
    <t>Ostatné konštrukcie a práce-búranie</t>
  </si>
  <si>
    <t>Búranie základov alebo vybúranie otvorov plochy nad 4 m2 v základoch železobetónových,  -2,40000t</t>
  </si>
  <si>
    <t>1577295349</t>
  </si>
  <si>
    <t>962052211.S</t>
  </si>
  <si>
    <t>Búranie muriva alebo vybúranie otvorov plochy nad 4 m2 železobetonového nadzákladného,  -2,40000t</t>
  </si>
  <si>
    <t>355194835</t>
  </si>
  <si>
    <t>246087698</t>
  </si>
  <si>
    <t>-2071970531</t>
  </si>
  <si>
    <t>Poplatok za skládku - betón, tehly, dlaždice, obkladačky a keramika  (17 01), ostatné</t>
  </si>
  <si>
    <t>1616654017</t>
  </si>
  <si>
    <t>E2.1-A - Teplovod pre obj.03 Prevádz. budova</t>
  </si>
  <si>
    <t xml:space="preserve">    5 - Komunikácie   </t>
  </si>
  <si>
    <t xml:space="preserve">    8 - Rúrové vedenie   </t>
  </si>
  <si>
    <t xml:space="preserve">    99 - Presun hmôt HSV   </t>
  </si>
  <si>
    <t>113107112.S</t>
  </si>
  <si>
    <t>Odstránenie krytu v ploche do 200 m2 z kameniva ťaženého, hr.100 do 200 mm,  -0,24000t</t>
  </si>
  <si>
    <t>113107122.S</t>
  </si>
  <si>
    <t>Odstránenie krytu v ploche do 200 m2 z kameniva hrubého drveného, hr.100 do 200 mm,  -0,23500t</t>
  </si>
  <si>
    <t>113107132.S</t>
  </si>
  <si>
    <t>Odstránenie krytu v ploche do 200 m2 z betónu prostého, hr. vrstvy 150 do 300 mm,  -0,50000t</t>
  </si>
  <si>
    <t>132301201.S</t>
  </si>
  <si>
    <t>Výkop ryhy šírky 600-2000mm hor 4 do 100 m3</t>
  </si>
  <si>
    <t>132301209.S</t>
  </si>
  <si>
    <t>Príplatok za lepivosť pri hĺbení rýh š. nad 600 do 2 000 mm zapažených i nezapažených, s urovnaním dna v hornine 4</t>
  </si>
  <si>
    <t>167101101.S</t>
  </si>
  <si>
    <t>Nakladanie neuľahnutého výkopku z hornín tr.1-4 do 100 m3</t>
  </si>
  <si>
    <t>Poplatok za skládku - zemina a kamenivo (17 05), ostatné</t>
  </si>
  <si>
    <t>174101001.S</t>
  </si>
  <si>
    <t>Zásyp sypaninou so zhutnením jám, šachiet, rýh, zárezov alebo okolo objektov do 100 m3</t>
  </si>
  <si>
    <t>175101202.S</t>
  </si>
  <si>
    <t>583310002700.S</t>
  </si>
  <si>
    <t>Štrkopiesok frakcia 0-8 mm</t>
  </si>
  <si>
    <t>451573121.S</t>
  </si>
  <si>
    <t>Lôžko pod potrubie, stoky a drobné objekty, v otvorenom výkope z piesku a štrkopiesku 4-8 mm</t>
  </si>
  <si>
    <t xml:space="preserve">Komunikácie   </t>
  </si>
  <si>
    <t>564261114.S</t>
  </si>
  <si>
    <t>Podklad alebo podsyp zo štrkopiesku s rozprestretím, vlhčením a zhutnením, po zhutnení hr. 230 mm</t>
  </si>
  <si>
    <t>564861111.S</t>
  </si>
  <si>
    <t>Podklad zo štrkodrviny s rozprestretím a zhutnením, po zhutnení hr. 200 mm</t>
  </si>
  <si>
    <t>572943112.S</t>
  </si>
  <si>
    <t>Vyspravenie krytu vozovky po prekopoch inžinierskych sietí do 15 m2 liatym asfaltom MA hr. nad 40 do 60 mm</t>
  </si>
  <si>
    <t>581140312.S</t>
  </si>
  <si>
    <t>Kryt cementobetónový cestných komunikácií skupiny CB III pre TDZ IV, V a VI, hr. 220 mm</t>
  </si>
  <si>
    <t xml:space="preserve">Rúrové vedenie   </t>
  </si>
  <si>
    <t>862241102.S</t>
  </si>
  <si>
    <t>Montáž predizolovaného potrubia do 145 °C pre ÚK, kondenzát, horúcovod, ulož.podzemné, DN 80, hr.st.3,2 mm, izol. zosilnená D 180 mm</t>
  </si>
  <si>
    <t>141150002300</t>
  </si>
  <si>
    <t>862211112.S</t>
  </si>
  <si>
    <t>Spojka predizolovaného potrubia do 145 °C pre ÚK, kondenzát, horúcovod, ulož.podzemné, DN 80, izol. zosilnená D 180 mm dodávka a montáž</t>
  </si>
  <si>
    <t>862241122.S</t>
  </si>
  <si>
    <t>Montáž oblúka 45°, 90°, redukcie, zmršť. koncovky, pevného bodu, prechod stenou, armatúry, kompenzátora na predizolované potrubie do 145 °C, DN 80, izol. zosilnená D 180 mm</t>
  </si>
  <si>
    <t>316170098901</t>
  </si>
  <si>
    <t>Oceľový oblúk  ohyb 33° DN 80 1,5 + 1,5 m d 88,9 mm, priemer s izoláciou 180 mm</t>
  </si>
  <si>
    <t>316170098901.1</t>
  </si>
  <si>
    <t>Oceľový oblúk  ohyb 90° DN 80 1,05 + 1,05 m d 88,9 mm, priemer s izoláciou 180 mm</t>
  </si>
  <si>
    <t>316170098900.S6</t>
  </si>
  <si>
    <t>Oceľový oblúk  vertikálny 90° DN 80 1,05 + 1,45 m d 88,9 mm, priemer s izoláciou 180 mm</t>
  </si>
  <si>
    <t>316170098900.S8</t>
  </si>
  <si>
    <t>Prechod stenou DN DN 80 d 88,9 mm, priemer s izoláciou 180 mm</t>
  </si>
  <si>
    <t>316170098900.S7</t>
  </si>
  <si>
    <t>Manžeta koncová DN 80 d 88,9 mm, priemer s izoláciou 180 mm</t>
  </si>
  <si>
    <t>316170098900.S9</t>
  </si>
  <si>
    <t>Vankúš kompenzačný (PEP) 40x166x1000 dodávka a montáž</t>
  </si>
  <si>
    <t>316170098900.S11</t>
  </si>
  <si>
    <t>Monitorovací systém</t>
  </si>
  <si>
    <t>316170098900.S11.1</t>
  </si>
  <si>
    <t>Fólia výstražná zelená 300x0,3 dodávka a montáž</t>
  </si>
  <si>
    <t>919735111.S</t>
  </si>
  <si>
    <t>Rezanie existujúceho asfaltového krytu alebo podkladu hĺbky do 50 mm</t>
  </si>
  <si>
    <t>Vybúranie otvoru v murive tehl. plochy do 0,09 m2 hr. do 750 mm,  -0,13200t ( vstupy do kanála)</t>
  </si>
  <si>
    <t xml:space="preserve">Presun hmôt HSV   </t>
  </si>
  <si>
    <t>998272201.S</t>
  </si>
  <si>
    <t>Presun hmôt pre rúrové vedenie z oceľových rúr zváraných v otvorenom výkope</t>
  </si>
  <si>
    <t>998272218.S</t>
  </si>
  <si>
    <t>Príplatok k cenám za zväčšený presun pre rúrové vedenie z oceľových rúr zváraných nad vymedzenú najväčšiu dopravnú vzdialenosť nad 3000 do 5000 m</t>
  </si>
  <si>
    <t>713491121.S</t>
  </si>
  <si>
    <t>Izolácia tepelná - montáž oplechovania snímateľného - potrubia (doplechovanie vonkajšieho rozvodu)</t>
  </si>
  <si>
    <t>138210000400.S</t>
  </si>
  <si>
    <t>Plech hladký pozinkovaný, hr. 0,80 mm</t>
  </si>
  <si>
    <t>Demontáž potrubia z oceľových rúrok hladkých nad 60 do D 133,  -0,01384t</t>
  </si>
  <si>
    <t>733191823.S</t>
  </si>
  <si>
    <t>Odrezanie strmeňového držiaka do priemeru 76 -0,00031t</t>
  </si>
  <si>
    <t>733191828.S</t>
  </si>
  <si>
    <t>Odrezanie strmeňového držiaka do priemeru 108 -0,00068t</t>
  </si>
  <si>
    <t>733193820.S</t>
  </si>
  <si>
    <t>Rozrezanie konzoly, podpery a výložníka pre potrubie z uholníkov L nad 50x50x5 do 80x80x8 mm,  -0,0083t</t>
  </si>
  <si>
    <t>E2.1-B - Teplovod pre obj. 01 Sklad</t>
  </si>
  <si>
    <t>Výkop ryhy šírky 600-2000mm hor 4 do 1000 m3</t>
  </si>
  <si>
    <t>862211102.S</t>
  </si>
  <si>
    <t>Montáž predizolovaného potrubia do 145 °C pre ÚK, kondenzát, horúcovod, ulož.podzemné, DN 50, hr.st.2,9 mm, izol. zosilnená D 140 mm</t>
  </si>
  <si>
    <t>141150002600</t>
  </si>
  <si>
    <t>862211122.S</t>
  </si>
  <si>
    <t>Montáž oblúka 45°, 90°, redukcie, zmršť. koncovky, pevného bodu, prechod stenou, armatúry, kompenzátora na predizolované potrubie do 145 °C, DN 50, izol. zosilnená D 140 mm</t>
  </si>
  <si>
    <t>Oceľový oblúk  ohyb 30° DN 50 1,5 + 1,5 m d 60,3 mm, priemer s izoláciou 140 mm</t>
  </si>
  <si>
    <t>Oceľový oblúk  ohyb 58° DN 50 1,5 + 1,5 m d 60,3 mm, priemer s izoláciou 140 mm</t>
  </si>
  <si>
    <t>316170098901.2</t>
  </si>
  <si>
    <t>Oceľový oblúk  ohyb 33° DN 50 1,05 + 1,05 m d 60,3 mm, priemer s izoláciou 140 mm</t>
  </si>
  <si>
    <t>316170098901.3</t>
  </si>
  <si>
    <t>Oceľový oblúk  ohyb 58° DN 50 1,05 + 1,05 m d 60,3 mm, priemer s izoláciou 140 mm</t>
  </si>
  <si>
    <t>316170098901.4</t>
  </si>
  <si>
    <t>Oceľový oblúk  ohyb 28° DN 50 0,65 + 0,65 m d 60,3 mm, priemer s izoláciou 140 mm</t>
  </si>
  <si>
    <t>Oceľový oblúk  vertikálny 90° DN 50 1,05 + 1,45 m d 60,3 mm, priemer s izoláciou 140 mm</t>
  </si>
  <si>
    <t>Prechod stenou DN DN 50 d 60,3 mm, priemer s izoláciou 140 mm</t>
  </si>
  <si>
    <t>Manžeta koncová DN 50 d 60,3 mm, priemer s izoláciou 140 mm</t>
  </si>
  <si>
    <t>963015171.S</t>
  </si>
  <si>
    <t>Demontáž prefabrikovanej krycej dosky kanála, šachty, žumpy do 4 t,  -0,9000t</t>
  </si>
  <si>
    <t>Montáž trubíc z PE, vnút.priemer 39-89 mm</t>
  </si>
  <si>
    <t>283310007100</t>
  </si>
  <si>
    <t>Montáž plošnej izolácie z polyetylénu 30  mm</t>
  </si>
  <si>
    <t>Izolačný samolepiaci pás , izolácia hr. 20 mm, pre izoláciu potrubia (doizolovanie potrubí  do priemeru 89 mm)</t>
  </si>
  <si>
    <t>733120826.S</t>
  </si>
  <si>
    <t>Demontáž potrubia z oceľových rúrok hladkých nad 60,3 do D 89,  -0,00841t</t>
  </si>
  <si>
    <t>733121136</t>
  </si>
  <si>
    <t>Prepojenie navrhovaného potrubia s existujúcim potrubím DN50</t>
  </si>
  <si>
    <t>Guľový kohút, DN50, ručná páka, mosadz,</t>
  </si>
  <si>
    <t>998734201.S</t>
  </si>
  <si>
    <t>Presun hmôt pre armatúry v objektoch výšky do 6 m</t>
  </si>
  <si>
    <t>E2.1.-C - Teplovod pre obj. 02A-02B Sklady</t>
  </si>
  <si>
    <t>862271102.S</t>
  </si>
  <si>
    <t>Montáž predizolovaného potrubia do 145 °C pre ÚK, kondenzát, horúcovod, ulož.podzemné, DN 125, hr.st.3,6 mm, izol. zosilnená D 250 mm</t>
  </si>
  <si>
    <t>141150002500</t>
  </si>
  <si>
    <t>Spojka predizolovaného potrubia do 145 °C pre ÚK, kondenzát, horúcovod, ulož.podzemné, DN 125, izol. zosilnená D 250 mm dodávka a montáž</t>
  </si>
  <si>
    <t>862271122.S</t>
  </si>
  <si>
    <t>Montáž oblúka 45°, 90°, redukcie, zmršť. koncovky, pevného bodu, prechod stenou, armatúry, kompenzátora na predizolované potrubie do 145 °C, DN 125, izol. zosilnená D 250 mm</t>
  </si>
  <si>
    <t>Oceľový oblúk  ohyb 35° DN 125 1,5 + 1,5 m d 139,7 mm, priemer s izoláciou 250 mm</t>
  </si>
  <si>
    <t>Oceľový oblúk  ohyb 30° DN 125 1,5 + 1,5 m d 139,7 mm, priemer s izoláciou 250 mm</t>
  </si>
  <si>
    <t>Oceľový oblúk  ohyb 90° DN 125 0,65 + 0,65 m d 139,7 mm, priemer s izoláciou 250 mm</t>
  </si>
  <si>
    <t>Oceľový oblúk  ohyb 90° DN 125 1,05 + 1,05 m d 139,7 mm, priemer s izoláciou 250 mm</t>
  </si>
  <si>
    <t>Pevný bod DN DN 125 d d 139,7 mm, priemer s izoláciou 250 mm</t>
  </si>
  <si>
    <t>316170098900.S8.1</t>
  </si>
  <si>
    <t>Prechod stenou DN DN 125 d d 139,7 mm, priemer s izoláciou 250 mm</t>
  </si>
  <si>
    <t>Manžeta koncová DN 125 d d 139,7 mm, priemer s izoláciou 250 mm</t>
  </si>
  <si>
    <t>Vankúš kompenzačný (PEP) 40x250x1000 dodávka a montáž</t>
  </si>
  <si>
    <t>733191836.S</t>
  </si>
  <si>
    <t>Odrezanie strmeňového držiaka do priemeru 159 -0,00090t</t>
  </si>
  <si>
    <t>E2.1-Cz - Teplovod pre obj.02A-02B Sklady časť obj. 01 Sklad záloha</t>
  </si>
  <si>
    <t>411387531.S</t>
  </si>
  <si>
    <t>Zabetónovanie otvoru s plochou do 0,9 m2, v stropoch zo železobetónu v stenách a prepojenie s existujúcou izoláciou proti vode a vlhkosti</t>
  </si>
  <si>
    <t>Spojka predizolovaného potrubia do 145 °C pre ÚK, kondenzát, horúcovod, ulož.podzemné, DN 50, izol. zosilnená D 140 mm dodávka a montáž</t>
  </si>
  <si>
    <t>733193810.S</t>
  </si>
  <si>
    <t>Rozrezanie konzoly, podpery a výložníka pre potrubie z uholníkov L do 50x50x5 mm,  -0,00215t</t>
  </si>
  <si>
    <t>734109214.S</t>
  </si>
  <si>
    <t>Montáž  prírub PN 1,6 DN 50</t>
  </si>
  <si>
    <t>319440028400.S</t>
  </si>
  <si>
    <t>Príruba zaslepovacia DN 50, PN16, D 60,3 mm, oceľová</t>
  </si>
  <si>
    <t>319430001900.S</t>
  </si>
  <si>
    <t>Príruba krková privarovacia DN 50, PN16, D 60,3 mm, EN 1092-1</t>
  </si>
  <si>
    <t>E2.1-D - Teplovod pre obj. 04 Garáže</t>
  </si>
  <si>
    <t>Zamurovanie otvoru s plochou do 4,00 m2 v klenbách tehlami hr. 150-800 mm  vrátane dodávky materiálu (garáž)</t>
  </si>
  <si>
    <t>862171102.S</t>
  </si>
  <si>
    <t>Montáž predizolovaného potrubia do 145 °C pre ÚK, kondenzát, horúcovod, ulož.podzemné, DN 32, hr.st.2,6 mm, izol. zosilnená D 125 mm plásť SPIRO</t>
  </si>
  <si>
    <t>141150001900</t>
  </si>
  <si>
    <t>Montáž oblúka 45°, 90°, redukcie, zmršť. koncovky, pevného bodu, prechod stenou, armatúry, kompenzátora na predizolované potrubie do 145 °C, DN 32, izol. zosilnená D 125 mm</t>
  </si>
  <si>
    <t>Oceľový oblúk  ohyb 90° DN 32 1,05 + 1,05 m d 42,4 mm, priemer s izoláciou 125 mm plášť SPIRO</t>
  </si>
  <si>
    <t>Oceľový oblúk  ohyb 34° DN 32 1,05 + 1,05 m d 42,4 mm, priemer s izoláciou 125 mm plášť SPIRO</t>
  </si>
  <si>
    <t>Oceľový oblúk  ohyb 90° DN 32 0,50 + 0,50 m d 42,4 mm, priemer s izoláciou 125 mm plášť SPIRO</t>
  </si>
  <si>
    <t>Oceľový oblúk  ohyb 26° DN 32 0,50 + 0,50 m d 42,4 mm, priemer s izoláciou 125 mm</t>
  </si>
  <si>
    <t>Oceľový oblúk  ohyb 64° DN 32 0,50 + 0,50 m d 42,4 mm, priemer s izoláciou 125 mm plášť SPIRO</t>
  </si>
  <si>
    <t>Oceľový oblúk  ohyb 30° DN 32 0,50 + 0,50 m d 42,4 mm, priemer s izoláciou 125 mm plášť SPIRO</t>
  </si>
  <si>
    <t>Prechod stenou DN DN 32 d 42,4 mm, priemer s izoláciou 125 mm</t>
  </si>
  <si>
    <t>Manžeta koncová DN 32 d 42,4 mm, priemer s izoláciou 125 mm</t>
  </si>
  <si>
    <t>Vybúranie otvoru v murive tehl. plochy do 0,09 m2 hr. do 750 mm,  -0,13200t ( vstupy do garáží)</t>
  </si>
  <si>
    <t>283310006500</t>
  </si>
  <si>
    <t>Izolačný samolepiaci pás , izolácia hr. 30 mm, pre izoláciu potrubia (doizolovanie potrubí  do priemeru 89 mm)</t>
  </si>
  <si>
    <t>Oprava a kontrola  konzol, podper a výložníkov pre potrubie z uholníkov L nad 50x50x5 do 80x80x8 mm</t>
  </si>
  <si>
    <t>733111216.S</t>
  </si>
  <si>
    <t>Potrubie z rúrok závitových zosilnených strednotlakových DN 32</t>
  </si>
  <si>
    <t>Prepojenie navrhovaného potrubia s existujúcim potrubím DN32</t>
  </si>
  <si>
    <t>B17: odstránenie podkladnej vrstvy z betónu okapového chodníka hr.150 mm - (5,30+14,30)*0,60</t>
  </si>
  <si>
    <t xml:space="preserve">B39: odstránenie vozovkového betónu hr.143 mm - 3,80*0,60+10,245*0,725+1,30*1,10 </t>
  </si>
  <si>
    <t>Súčet:</t>
  </si>
  <si>
    <t>B17: odstránenie štrkového podsypu okapového chodníka hr.250 mm - (5,30+14,30)*0,60</t>
  </si>
  <si>
    <t>B17: 11,76*0,50t/m2</t>
  </si>
  <si>
    <t>podkladný betón hr.150 mm: (3,50*0,30+10,56*0,40+1,0*0,80)*0,15</t>
  </si>
  <si>
    <t>skladba SP1: (5,30+4,84+7,64)*0,70</t>
  </si>
  <si>
    <t>12,50*1,05</t>
  </si>
  <si>
    <t>1.NP, hr.300 mm</t>
  </si>
  <si>
    <t>0,60*0,60+2*1,02*0,75+2*1,0*0,50)*0,30</t>
  </si>
  <si>
    <t>domurovanie parapetu: 3*1,20*0,25*0,30</t>
  </si>
  <si>
    <t>1.NP, hr.510 mm (komín)</t>
  </si>
  <si>
    <t>0,66*0,66*0,510</t>
  </si>
  <si>
    <t>5*1,20*1,20*0,30</t>
  </si>
  <si>
    <t>PR2: dĺ.1000 mm - 1 ks</t>
  </si>
  <si>
    <t>PR3: dĺ.1250 mm - 1 ks</t>
  </si>
  <si>
    <t>PR1: dĺ.1500 mm - 10 ks</t>
  </si>
  <si>
    <t>PR4: dĺ.2500 mm - 1 ks</t>
  </si>
  <si>
    <t>PR7: dĺ.1250 mm - 3 ks</t>
  </si>
  <si>
    <t>PR5: dĺ.1500 mm - 4 ks</t>
  </si>
  <si>
    <t>PR6: dĺ.2250 mm - 4 ks</t>
  </si>
  <si>
    <t>1.NP, hr.100 mm</t>
  </si>
  <si>
    <t>(0,90+1,40)*3,40-0,70*2,02</t>
  </si>
  <si>
    <t>1.NP, hr.150 mm</t>
  </si>
  <si>
    <t>(12,30+1,95+6,12+1,155+3,16+6,05+2,70+1,31)*3,95-(4*1,10*2,02+0,90*2,02+0,80*2,02)</t>
  </si>
  <si>
    <t>2,50*2,30-1,70*2,05</t>
  </si>
  <si>
    <t>2,30*5,65-1,10*2,05</t>
  </si>
  <si>
    <t>betón C25/30: 2,327*0,70*0,15+8*1/2*0,18125*0,26*0,70+1,82*0,40*0,0,80</t>
  </si>
  <si>
    <t>(2,327*0,15+8*0,18125)*0,70+</t>
  </si>
  <si>
    <t>KARI sieť oká 100/100 mm, priemer 8/8 mm - 1,70 m2 x 7,90 kg/m2*1,02</t>
  </si>
  <si>
    <t>prvok Z08: betónové dlaždice 500x500x50 mm - 8 ks</t>
  </si>
  <si>
    <t>2,0*1,05</t>
  </si>
  <si>
    <t>skladba R2: viď legenda miestností - 186,60 m2</t>
  </si>
  <si>
    <t>skladba R1: viď legenda miestností - 527,20 m2</t>
  </si>
  <si>
    <t>skladba S1: viď legenda miestností - 1.488,70 m2</t>
  </si>
  <si>
    <t>m.č. 1.08: dĺžky 2,0 m - 2 ks</t>
  </si>
  <si>
    <t>m.č. 1.10: dĺžky 2,0 m - 4 ks</t>
  </si>
  <si>
    <t>dtto omietka vnútorných stien</t>
  </si>
  <si>
    <t>skladba S3: viď legenda miestností - 27,80 m2</t>
  </si>
  <si>
    <t>skladba S1+S2: viď legenda miestností - 1.777,40 m2</t>
  </si>
  <si>
    <t>skladba F1: 21,75*6,095-(6*0,40*0,60+2*0,35*0,55+1,595*0,92)+21,75*4,64-(4*2,40*1,20+1,20*1,20)+(29,73+2*6,0)*6,095+13,02*4,64-(9*2,40*1,20+4*2,40*2,345)+10,625*4,84+25,23*6,22+1/2*(6,22+4,84)*2,24-(3*0,60*0,60+3*1,20*0,95+5*1,20*1,20)-8,20</t>
  </si>
  <si>
    <t>skladba F1:ostenie hr.30 mm - 2*4*2,40+2*4*2,345+2*4*1,20+5*2*1,20+5*2,40+4*2*1,20+4*1,20+3*1,20+3*3*0,60+8*1,20+3*2*0,95+5*2*1,20</t>
  </si>
  <si>
    <t>skladba F1a: 6,56*1,25</t>
  </si>
  <si>
    <t>skladba F2a: 4,18*2,01+1/2*(2,01+0,57)*2,10+0,57*0,36+21,70*0,565+21,70*0,505+38,20*0,505-0,92*0,40</t>
  </si>
  <si>
    <t>skladba F2b: 26,50 m2</t>
  </si>
  <si>
    <t>skladba F3: (2*6,0+4,50+0,35)*13,97+4,50*7,40-(2,50*3,90+3,95*3,90+5*1,20*0,60+4*0,60*0,60)</t>
  </si>
  <si>
    <t>skladba F2a: 6,34*0,57+(13,70+2*6,0)*0,585+15,94*0,585+21,70*0,565+21,70*0,505+38,20*0,505-0,92*0,40</t>
  </si>
  <si>
    <t>skladba F2b: 33,70 m2</t>
  </si>
  <si>
    <t>POZN.12: 2*2*2,05+1,35*1,20</t>
  </si>
  <si>
    <t>skladba P4: m.č. 1.09 hr.100 mm - 11,61 m2</t>
  </si>
  <si>
    <t>skladba P1+P2: - 244 m2, hr.200 mm</t>
  </si>
  <si>
    <t>skladba P4: m.č. 1.08 hr.150 mm - 20,02 m2</t>
  </si>
  <si>
    <t>skladba P3: viď legenda miestností - 10,90 m2, hr.190 mm</t>
  </si>
  <si>
    <t>skladba P4 m.č. 1.08 + 1.09 - 31,70 m2</t>
  </si>
  <si>
    <t>skladba P3: viď legenda miestností - 10,90 m2</t>
  </si>
  <si>
    <t>skladba P2: viď legenda miestností - 637,20 m2</t>
  </si>
  <si>
    <t>Z01: 700/1970 mm - 1 ks</t>
  </si>
  <si>
    <t>Z02: 600/1970 mm - 1 ks</t>
  </si>
  <si>
    <t>Z03: 1000/1970 mm - 4 ks</t>
  </si>
  <si>
    <t>Z04: 800/1970 mm - 1 ks</t>
  </si>
  <si>
    <t>(2*6,0+4,50)*14,0+4,50*7,40+2*10,12*5,22+2*1/2*(5,22+6,60)*2,30+2*25,62*6,60+21,60*(5,22+6,60)+2*6,0*6,60</t>
  </si>
  <si>
    <t>odhad:  10 týždňov</t>
  </si>
  <si>
    <t>dtto lešenie priestorové</t>
  </si>
  <si>
    <t>čistenie plôch 1.NP - 739,20 m2</t>
  </si>
  <si>
    <t>lešenie 1.NP - 739,20 m2</t>
  </si>
  <si>
    <t>B14: vybúranie vrstvy betónového základu plochy 3,4 m2 hr.40 mm - 1 ks</t>
  </si>
  <si>
    <t>B22: vybúranie betónového základu pod strojnú časť, rozmer 1150x300x1200mm - 2 ks</t>
  </si>
  <si>
    <t>B23: vybúranie betónového základu pod strojnú časť, rozmer 2650x1000x120mm - 1 ks</t>
  </si>
  <si>
    <t>B28: vybúranie betónového základu pod strojnú časť, rozmer 440x440x100mm - 2 ks</t>
  </si>
  <si>
    <t>B30: vybúranie betónového základu pod strojnú časť, rozmer 1000x900x100mm - 1 ks</t>
  </si>
  <si>
    <t>B39: odstránneie podkladného betónu so sieťovinou hr.150 mm - (3,50*0,30+10,56*0,415+1,0*0,80)*0,15</t>
  </si>
  <si>
    <t>B41: vybúranie betónového základu pod OK, rozmer 1350x600x100mm - 3 ks</t>
  </si>
  <si>
    <t>B42: vybúranie betónového základu pod OK, rozmer 2700x600x100mm - 2 ks</t>
  </si>
  <si>
    <t>B43: vybúranie betónového základu pod strojnú časť, rozmer 3550x2020x530mm - 2 ks</t>
  </si>
  <si>
    <t>B44: vybúranie betónového základu pod strojnú časť, rozmer 2870x1450x530mm - 1 ks</t>
  </si>
  <si>
    <t>B18: odstránenie prímurovky hr.75 mmz plnej pálenej tehly - 1/2*(0,60+2,10)*6,0</t>
  </si>
  <si>
    <t>B45: vybúranie nadpražia v murovanej priečke hr.150 mm o výšku 480 mm, vybúranie ostenia z jednej strany a otvoru pre preklad 190x250 mm - 1,10*0,48+0,18*2,0+0,19*0,25</t>
  </si>
  <si>
    <t>BMP: vybúranie murovaných priečok hr.150 mm - (0,355+1,04+5,95+1,15+0,85+1,55+18,15+4,35+3,13+1,84+0,10+6,79+6,20+7,20)*4,21-(0,60*1,97+2*0,80*1,97+5*0,90*1,97+3*1,10*1,97+2,40*1,20)</t>
  </si>
  <si>
    <t>BMP: vybúranie murovaných priečok hr.250 mm - (2,12+1,55)*4,21*0,250</t>
  </si>
  <si>
    <t>B05: betónový rám hr.80 mm pre sklobetónovú výplň 725x2190 mm - 2 ks</t>
  </si>
  <si>
    <t>B07: betónový rám hr.80 mm pre sklobetónovú výplň 915x2190 mm - 1 ks</t>
  </si>
  <si>
    <t>B09: betónový rám hr.80 mm pre sklobetónovú výplň 2090x950 mm - 1 ks</t>
  </si>
  <si>
    <t>B12: betónový rám hr.80 mm pre sklobetónovú výplň 2400x1200 mm - 1 ks</t>
  </si>
  <si>
    <t>B05: sklobetónová výplň 725x2190 mm - 2 ks</t>
  </si>
  <si>
    <t>B07: sklobetónová výplň 915x2190 mm - 1 ks</t>
  </si>
  <si>
    <t>B09: sklobetónová výplň 2090x950 mm - 1 ks</t>
  </si>
  <si>
    <t>B12: sklobetónová výplň 2400x1200 mm - 1 ks</t>
  </si>
  <si>
    <t>B33: 800/1970 mm alebo 600/1970 mm - 3 ks</t>
  </si>
  <si>
    <t>B01: 900/1970 mm - 2 ks</t>
  </si>
  <si>
    <t>B03: 900/1970 mm - 4 ks</t>
  </si>
  <si>
    <t>B25: 900/1970 mm - 5 ks</t>
  </si>
  <si>
    <t>B24: 1100/1970 mm - 8 ks</t>
  </si>
  <si>
    <t>B40: 1800/1970 mm - 1 ks</t>
  </si>
  <si>
    <t>B10: 1200x1200 mm - 10 ks</t>
  </si>
  <si>
    <t>B16: 1200x1200 mm - 2 ks</t>
  </si>
  <si>
    <t>B32: 600x600 mm - 8 ks</t>
  </si>
  <si>
    <t>B35: 1200x1200 mm - 11 ks</t>
  </si>
  <si>
    <t>B54: 600x600 mm - 5 ks</t>
  </si>
  <si>
    <t>B06: 2400x1200 mm - 3 ks</t>
  </si>
  <si>
    <t>B08: 1200x1200 mm - 1 ks</t>
  </si>
  <si>
    <t>B38: oceľová trojdielna brána 3600x3600 mm - 2 ks</t>
  </si>
  <si>
    <t>B04: 900/1970 mm - 1 ks</t>
  </si>
  <si>
    <t>UK03 panel CALSILOX hr.300 mm 130x130 mm - 2 ks</t>
  </si>
  <si>
    <t>UK05 panel CALSILOX hr.300 mm 140x140 mm - 2 ks</t>
  </si>
  <si>
    <t>UK01 panel CALSILOX hr.300 mm 210x210 mm - 2 ks</t>
  </si>
  <si>
    <t>UK02 panel CALSILOX hr.300 mm 300x300 mm - 2 ks</t>
  </si>
  <si>
    <t>UK04 panel CALSILOX hr.300 mm 190x190 mm - 2 ks</t>
  </si>
  <si>
    <t>UK06 panel CALSILOX hr.300 mm 210x210 mm - 2 ks</t>
  </si>
  <si>
    <t>UK07 panel CALSILOX hr.300 mm 230x230 mm - 2 ks</t>
  </si>
  <si>
    <t>B55 zväčšenie vetracieho otvoru v stene hr.300 mm 350x100 mm - 2 ks</t>
  </si>
  <si>
    <t>UK14 panel CALSILOX hr.300 mm 610x405 mm - 4 ks</t>
  </si>
  <si>
    <t>UK15 murovaná stena hr.375 mm 610x405 mm - 1 ks</t>
  </si>
  <si>
    <t>UK10 panel CALSILOX hr.300 mm 800x580 mm - 2 ks</t>
  </si>
  <si>
    <t>UK12 panel CALSILOX hr.300 mm 680x405 mm - 2 ks</t>
  </si>
  <si>
    <t>B01: obvodová stena hr.300 mm - murovaný prah v.90 mm - 0,96*0,09*0,30*2</t>
  </si>
  <si>
    <t>B02: rozšírenie dverného otvoru o 40 mm - 2,01*0,30*0,04*2</t>
  </si>
  <si>
    <t>B13: vybúranie parapetného muriva hr.250 mm - 2,40*1,20*0,25</t>
  </si>
  <si>
    <t>B26: rozšírenie otvoru v pórobetónovom paneli hr.300 mm z rozmeru 1000x2020 mm na 1850x2400 mm a vybúranie nadväzujúceho otvoru 2250x250 mm pre preklad - ((1,85*2,40-1,0*2,020)+2,25*0,25)*0,30</t>
  </si>
  <si>
    <t>B27: vybúranie nadpražia v murovanej stene hr.250 mm o výšku 400 mm a vybúranie otvoru 1250x250 mm pre preklad - (0,96*0,40+1,25*0,25)*0,25</t>
  </si>
  <si>
    <t>B34: vybúranie nadpražia v stene hr.300 mm o výšku 200 mm a vybúranie otvoru 1500x70 mm pre preklad - (1,15*0,20+1,50*0,07)*0,30</t>
  </si>
  <si>
    <t>UK09: cez panel CALSILOX hr. 300 mm D 140 mm - 6 ks</t>
  </si>
  <si>
    <t>UK18: cez panel CALSILOX hr. 300 mm D 150 mm - 1 ks</t>
  </si>
  <si>
    <t>UK16: cez trapézový plech D 140 mm - 6 ks</t>
  </si>
  <si>
    <t>UK11 trapézový plech hr.60 mm 800x580 mm - 2 ks</t>
  </si>
  <si>
    <t>UK13 trapézový plech hr.60 mm 600x460 mm - 2 ks</t>
  </si>
  <si>
    <t>UK17 strešný plášť hr.50+510mm 520x520 mm - 2 ks</t>
  </si>
  <si>
    <t>UTS1: utesnenie kruhového otvoru - 6 ks</t>
  </si>
  <si>
    <t>UTS2: utesnenie obdĺžnikového otvoru 800x580 mm - 2 ks</t>
  </si>
  <si>
    <t>UTS3: utesnenie obdĺžnikového otvoru 800x580 mm - 2 ks</t>
  </si>
  <si>
    <t>UTS4: utesnenie obdĺžnikového otvoru 600x460 mm - 2 ks</t>
  </si>
  <si>
    <t>UTS5: utesnenie kruhového otvoru - 6 ks</t>
  </si>
  <si>
    <t>bodové zosilnenie pod stĺp HEB rozmer 1,0x1,0 m hr.200 mm - 10 ks</t>
  </si>
  <si>
    <t xml:space="preserve">B39: odstránenie asfaltovej lepenky A 400H - 3,80*0,60+10,245*0,725+1,30*1,10 </t>
  </si>
  <si>
    <t xml:space="preserve">B39: odstránenie tepelnej izolácie podlahy z mineralnej dosky hr.50 mm - 3,80*0,60+10,245*0,725+1,30*1,10 </t>
  </si>
  <si>
    <t>skladba P1+P2: hydroizolačná stierka napr. MUREXIN DS 28 hr.3 mm</t>
  </si>
  <si>
    <t>skladba P3: hydroizolačná lepenka 2x - 2*10,90</t>
  </si>
  <si>
    <t>prvok Z08: hydroizolačná fólia 600x600 - 4 ks</t>
  </si>
  <si>
    <t>(23,30+33,70)*1,15</t>
  </si>
  <si>
    <t>skladba P1: len v kúpeľni a WC - 10,20 m2</t>
  </si>
  <si>
    <t>10,20*1,35</t>
  </si>
  <si>
    <t>hydroizolácia atiky: 136,8*(0,25+0,35)</t>
  </si>
  <si>
    <t>82,10*1,15</t>
  </si>
  <si>
    <t>skladba P4: m.č. 1.08+1.09 - 1/2*31,70 m2</t>
  </si>
  <si>
    <t>15,85*1,05</t>
  </si>
  <si>
    <t>OSB 3 hr.15 mm, šírka 60 mm</t>
  </si>
  <si>
    <t>Z11: prvok 7a - 60x600 mm - 4 ks</t>
  </si>
  <si>
    <t>Z11: prvok 7b - 60x650 mm - 2 ks</t>
  </si>
  <si>
    <t>Z11: prvok 7c - 60x80 mm - 6 ks</t>
  </si>
  <si>
    <t>OSB hr.30 mm, šírka 360 mm</t>
  </si>
  <si>
    <t>oplechovanie atiky dĺ.136,80 m</t>
  </si>
  <si>
    <t xml:space="preserve">drevená fošňa šírky 200 mm </t>
  </si>
  <si>
    <t>Z12: prvok 4 - 60x200-1000 mm - 11 ks</t>
  </si>
  <si>
    <t>drevená podlaha v sklade peliet a štiepky</t>
  </si>
  <si>
    <t>prvky 60x60 mm - 76,0 m</t>
  </si>
  <si>
    <t>prvky 150x60 mm - 195,33 m</t>
  </si>
  <si>
    <t>OSB  hr.20 mm - 28,60 m2</t>
  </si>
  <si>
    <t>OSB  hr.30 mm - 62,30 m2</t>
  </si>
  <si>
    <t>SDK1, 1.NP - 2,10*(1,20+0,12)+1,0*2,40+1,20*0,12</t>
  </si>
  <si>
    <t>SDK2, 1.NP - 2,50*0,45</t>
  </si>
  <si>
    <t>K10a: oplechovanie atiky rš 130 mm - 4,50 m</t>
  </si>
  <si>
    <t>K14a: oplechovanie elektroskrinky rš 130 mm - 1,32 m</t>
  </si>
  <si>
    <t>K09: oplechovanie atiky - 136,8 m</t>
  </si>
  <si>
    <t>K10a: ukončenie izolácie atiky v mieste styku strtechy kotolne a sila rš 70 mm - 4,50 m</t>
  </si>
  <si>
    <t>K10b: ukončenie izolácie atiky vnútorný uholník rš 70 mm - 4,50 m</t>
  </si>
  <si>
    <t>K10b: oplechovanie atiky rš 520 mm - 4,50 m</t>
  </si>
  <si>
    <t>K14b: oplechovanie elektroskrinky rš 520 mm - 1,18 m</t>
  </si>
  <si>
    <t>K11: 1040x800 mm - 2 ks</t>
  </si>
  <si>
    <t>K12: 780x680 mm - 2 ks</t>
  </si>
  <si>
    <t>K13: 520x370 mm - 6 ks</t>
  </si>
  <si>
    <t>K07: š.600 mm - 4 ks</t>
  </si>
  <si>
    <t>K08: š.1200 mm - 5 ks</t>
  </si>
  <si>
    <t>K01: š.600 mm - 4 ks</t>
  </si>
  <si>
    <t>K02: š.1200 mm - 3 ks</t>
  </si>
  <si>
    <t>K03: š.2400 mm - 6 ks</t>
  </si>
  <si>
    <t>K05: š.2200 mm - 1 ks</t>
  </si>
  <si>
    <t>K04: š.2400 mm - 3 ks</t>
  </si>
  <si>
    <t>K06: š.1200 mm - 3 ks</t>
  </si>
  <si>
    <t>B31: oplechovanie elektroskrinky - 2x1,42 m</t>
  </si>
  <si>
    <t>B53: oplechovanie atiky - 141 m</t>
  </si>
  <si>
    <t>Dr1: 700/1970 mm - 1 ks</t>
  </si>
  <si>
    <t>Dr2: 600/1970 mm - 1 ks</t>
  </si>
  <si>
    <t>Dr3: 1000/1970 mm - 4 ks</t>
  </si>
  <si>
    <t>Dr5: 800/1970 mm - 1 ks</t>
  </si>
  <si>
    <t>Dr4: 1200/900 mm - 4 ks</t>
  </si>
  <si>
    <t>Dr6: 1200/900 mm - 1 ks</t>
  </si>
  <si>
    <t>767134802.S1</t>
  </si>
  <si>
    <t>trapézový plech predstien</t>
  </si>
  <si>
    <t>oceľová predstena v.2400 mm: 13,70+2,70+16,40</t>
  </si>
  <si>
    <t>oceľová predstena v.3100 mm: 35,40+9,70+45,10</t>
  </si>
  <si>
    <t>oceľová predstena v.3100 mm: 31,0+24,50+6,50</t>
  </si>
  <si>
    <t>trapézový plech na stenách skladu peliet</t>
  </si>
  <si>
    <t>TP1 a TP4 - 50 ,0 m2 - spätná montáž</t>
  </si>
  <si>
    <t>TP2, TP3 a TP5</t>
  </si>
  <si>
    <t>prvok Z14: nerezový držiak madla na stenu - 4 ks</t>
  </si>
  <si>
    <t>PL1: 600/600 mm - 1 ks</t>
  </si>
  <si>
    <t>PL2: 600/600 mm - 6 ks</t>
  </si>
  <si>
    <t>PL3: 1200/1200 mm - 1 ks</t>
  </si>
  <si>
    <t>PL4: 2400/1200 mm - 6 ks</t>
  </si>
  <si>
    <t>PL5: 2400/1200 mm - 6 ks</t>
  </si>
  <si>
    <t>PL6: 2200/1200 mm - 1 ks</t>
  </si>
  <si>
    <t>PL7: 1200/1200 mm - 5 ks</t>
  </si>
  <si>
    <t>PL8: 1200/950 mm - 3 ks</t>
  </si>
  <si>
    <t>PL9: 1200/600 mm - 2 ks</t>
  </si>
  <si>
    <t>PL10: 1200/600 mm - 3 ks</t>
  </si>
  <si>
    <t>PL11: dĺ.1200 mm - 8+5 = 13 ks</t>
  </si>
  <si>
    <t>PL12: dĺ.2400 mm - 6 ks</t>
  </si>
  <si>
    <t>PL13: dĺ.600 mm - 4 ks</t>
  </si>
  <si>
    <t>PL14: dĺ.2400 mm - 3 ks</t>
  </si>
  <si>
    <t>PL15: dĺ.1200 mm - 3 ks</t>
  </si>
  <si>
    <t>Oc1: 1000/1970 mm - 1 ks</t>
  </si>
  <si>
    <t>Oc6: 900/1970 mm - 1 ks</t>
  </si>
  <si>
    <t>Oc10: 900/1970 mm - 1 ks</t>
  </si>
  <si>
    <t>Oc3: 1000/1970 mm - 1 ks</t>
  </si>
  <si>
    <t>Oc5: 800/1970 mm - 1 ks</t>
  </si>
  <si>
    <t>Oc8: 900/1970 mm - 3 ks</t>
  </si>
  <si>
    <t>Oc2: 1600/1970 mm - 1 ks</t>
  </si>
  <si>
    <t>Oc7: 900/1970 mm - 1 ks</t>
  </si>
  <si>
    <t>Oc9: 1000/1970 mm - 1 ks</t>
  </si>
  <si>
    <t>Oc4: 1700/2400 mm - 1 ks</t>
  </si>
  <si>
    <t>Oc11: sekčná brána 3600x3600 mm - 1 ks</t>
  </si>
  <si>
    <t>Oc12: sekčná brána 3450x3600 mm - 1 ks</t>
  </si>
  <si>
    <t>Z09: poceľové profily pre zabezpečenie prierazov (Z09a 2 prierazy, Z09b 2 prierazy, Z09c 2 prierazy, Z09d 5 prierazov - celkom 74,73 kg</t>
  </si>
  <si>
    <t>Z10: prvky pre úpravu vstupu do skladu 1.11a (stúpadlá madlá a úprava prahu dverí) - celkom 23,27 kg</t>
  </si>
  <si>
    <t>Z14: madlo nad schodiskom - celkom 8,22 kg</t>
  </si>
  <si>
    <t>Z15: úprava zábradlia - celkom 2,61 kg</t>
  </si>
  <si>
    <t>Z17: úprava rebríka na strechu kotolne - celkom 17,72 kg</t>
  </si>
  <si>
    <t>Z08: oceľová konštrukcia pre kotvenie komína na streche - á 89,06 - 2 ks</t>
  </si>
  <si>
    <t>Z11: oceľová konštrukcia pre priezory kontroly hladiny paliva - á 50,57 - 2 ks</t>
  </si>
  <si>
    <t>Z12: oceľová konštrukcia na odľahčenie tlaku z vnútornej strany dverí - á 51,13 - 1 ks</t>
  </si>
  <si>
    <t>Z16: oceľové otváravé zábradlie na manipulačnej chodbe - á 68,17 - 1 ks</t>
  </si>
  <si>
    <t>Z07: oceľová konštrukcia pre komíny - á 174,85 - 1 ks</t>
  </si>
  <si>
    <t>Z05: oceľová konštrukcia pre sekčnú bránu Oc11 - á 340,04 - 1 ks</t>
  </si>
  <si>
    <t>Z06: oceľová konštrukcia pre sekčnú bránu Oc12 - á 347,33 - 1 ks</t>
  </si>
  <si>
    <t>B08: odstránenie oceľového sita na okennej výplni - 4 kg</t>
  </si>
  <si>
    <t>B09: odstránenie oceľového sita na okennej výplni - 1 kg</t>
  </si>
  <si>
    <t>B15: odstránenie vodorovnej časti zábradlia - 7,33 kg</t>
  </si>
  <si>
    <t>B20: odstránenie zábradlia z profilov 70x35x2 mm - 43,50 kg</t>
  </si>
  <si>
    <t>B21: odstránenie stúpadiel celkom 4 ks - 48,0 kg</t>
  </si>
  <si>
    <t>B36: odstránenie oceľových prvkov existujúceho rebríka - 4,89 kg</t>
  </si>
  <si>
    <t>B37: odstránenie oceľového madla vrátane pásovej kotviacej ocele - 20,50 kg</t>
  </si>
  <si>
    <t>B46: odstránenie oceľovej konštrukcie podopierajúcej lávku - 96,34 kg</t>
  </si>
  <si>
    <t>B11: odstránenie stĺpov podporujúce potrubie do komína profilu U140, 4 ks dĺ.3200 mm - 204,80 kg</t>
  </si>
  <si>
    <t>B19: odstránenie rebrovaného plechu vrátane podporných konštrukcií - 228,70 kg</t>
  </si>
  <si>
    <t>B29: odstránenie oceľovej plošiny so zábradlím a rebríkom - 161,10 kg</t>
  </si>
  <si>
    <t>B47: odstránenie oceľovej konštrukcie podopierajúcej lávku a dopravník - 169,34 kg</t>
  </si>
  <si>
    <t>B48: odstránenie oceľovej konštrukcie točitých schodov so stĺpm a výstupnou plošinou - 218,35 kg</t>
  </si>
  <si>
    <t>B49: odstránenie oceľovej konštrukcie lávky so zábradlím a podlahou - 865,56 kg</t>
  </si>
  <si>
    <t>B50: odstránenie oceľových podpier pre dopravník s krycím plechom - 614,28 kg</t>
  </si>
  <si>
    <t>B51: odstránenie oceľovej konštrukcie pod dopravníkom s krycím plechom - 735,62 kg</t>
  </si>
  <si>
    <t>B52: odstránenie nosnej konštrukcie oceľovej predsteny - 672,10 kg</t>
  </si>
  <si>
    <t>Oc13: ventilačná mriežka 355x550 mm - 3 ks</t>
  </si>
  <si>
    <t>B11: odstránenie potrubia vedúceho do komína profilu 1020x750 mm - 11,40 m</t>
  </si>
  <si>
    <t>skladba P1: viď legenda miestností - 44,30 m2</t>
  </si>
  <si>
    <t>prvok Z08: beteónová dlaždica 500x500x50 mm - 8 ks</t>
  </si>
  <si>
    <t>44,30*1,05</t>
  </si>
  <si>
    <t>27,80*1,05</t>
  </si>
  <si>
    <t>Z13: existujúci poklop šachty 800x1600 mm - 2,56 m2</t>
  </si>
  <si>
    <t>Z15: úprava zábradlia - celkom 2,61 kg - 3,13 m2</t>
  </si>
  <si>
    <t>Z17: úprava rebríka na strechu kotolne - celkom 17,72 kg - 6,70 m2</t>
  </si>
  <si>
    <t>trapézový plech - 50,0 m2</t>
  </si>
  <si>
    <t>zárubne interiérových dvier Z01, Z02, Z03, Z04 - 8,60 m2</t>
  </si>
  <si>
    <t>Z05: oceľová konštrukcia pre sekčnú bránu Oc11 - á 340,04 - 1 ks - 11,0 m2</t>
  </si>
  <si>
    <t>Z06: oceľová konštrukcia pre sekčnú bránu Oc12 - á 347,33 - 1 ks - 11,20 m2</t>
  </si>
  <si>
    <t>Z07: oceľová konštrukcia pre komíny - á 174,85 - 1 ks - 5,90 m2</t>
  </si>
  <si>
    <t>Z08: oceľová konštrukcia pre kotvenie komína na streche - á 89,06 - 2 ks - 7,60 m2</t>
  </si>
  <si>
    <t>Z09: poceľové profily pre zabezpečenie prierazov (Z09a 2 prierazy, Z09b 2 prierazy, Z09c 2 prierazy, Z09d 5 prierazov - celkom 74,73 kg - 4,0 m2</t>
  </si>
  <si>
    <t>Z10: prvky pre úpravu vstupu do skladu 1.11a (stúpadlá madlá a úprava prahu dverí) - celkom 23,27 kg - 0,80 m2</t>
  </si>
  <si>
    <t>Z11: oceľová konštrukcia pre priezory kontroly hladiny paliva - á 50,57 - 2 ks - 2x2,40 m2</t>
  </si>
  <si>
    <t>Z12: oceľová konštrukcia na odľahčenie tlaku z vnútornej strany dverí - á 51,13 - 1 ks - 2,20 m2</t>
  </si>
  <si>
    <t>Z14: madlo nad schodiskom - celkom 8,22 kg - 0,50 m2</t>
  </si>
  <si>
    <t>Z16: oceľové otváravé zábradlie na manipulačnej chodbe - á 68,17 - 1 ks - 2,84 m2</t>
  </si>
  <si>
    <t>trapézový plech - 156,10 m2</t>
  </si>
  <si>
    <t>vnútorný oceľový sklad paliva - 6.492 kg - 155,20 m2</t>
  </si>
  <si>
    <t>stropy</t>
  </si>
  <si>
    <t>steny</t>
  </si>
  <si>
    <t>bezpečnostné číre sklo hr.10 mm</t>
  </si>
  <si>
    <t>Z11: prvok 6a - 280x650 mm - 1 ks</t>
  </si>
  <si>
    <t>Z11: prvok 6b - 280x730 mm - 2 ks</t>
  </si>
  <si>
    <t>vnútorný oceľový sklad paliva - 6.492 kg</t>
  </si>
  <si>
    <t>Oceľová konštrukcia - dodávka</t>
  </si>
  <si>
    <r>
      <t xml:space="preserve">Stavba: </t>
    </r>
    <r>
      <rPr>
        <b/>
        <sz val="11"/>
        <color theme="1"/>
        <rFont val="Arial CE"/>
        <family val="2"/>
        <charset val="238"/>
      </rPr>
      <t>Topoľčianky, Centrálny logistický sklad - rekonštrukcia tepelného hospodárstva</t>
    </r>
  </si>
  <si>
    <t>vzorec</t>
  </si>
  <si>
    <t>suma</t>
  </si>
  <si>
    <t>VV - legenda miestností</t>
  </si>
  <si>
    <t>S1</t>
  </si>
  <si>
    <t>S2,S3</t>
  </si>
  <si>
    <t>S1,S2</t>
  </si>
  <si>
    <t>S3</t>
  </si>
  <si>
    <r>
      <t xml:space="preserve">Miesto: </t>
    </r>
    <r>
      <rPr>
        <b/>
        <sz val="10"/>
        <color theme="1"/>
        <rFont val="Arial CE"/>
        <charset val="238"/>
      </rPr>
      <t>Topoľčianky</t>
    </r>
  </si>
  <si>
    <t>P1</t>
  </si>
  <si>
    <t>P2</t>
  </si>
  <si>
    <t>P3</t>
  </si>
  <si>
    <t>R1</t>
  </si>
  <si>
    <t>R2</t>
  </si>
  <si>
    <t>UPEO</t>
  </si>
  <si>
    <t>OP20%</t>
  </si>
  <si>
    <t>NP</t>
  </si>
  <si>
    <t>VCO10</t>
  </si>
  <si>
    <t>CJO</t>
  </si>
  <si>
    <t>KO</t>
  </si>
  <si>
    <t>HIN</t>
  </si>
  <si>
    <t>PN</t>
  </si>
  <si>
    <t>KS</t>
  </si>
  <si>
    <t>OZNAČ.</t>
  </si>
  <si>
    <t>GRESOVÁ DLAŽBA</t>
  </si>
  <si>
    <t>NIVEL. VRSTVA</t>
  </si>
  <si>
    <t>NÁTER</t>
  </si>
  <si>
    <t>PPO</t>
  </si>
  <si>
    <t>UMYTIE</t>
  </si>
  <si>
    <t>OPRAVY</t>
  </si>
  <si>
    <t>NAVLHČENIE</t>
  </si>
  <si>
    <t>VÁP.CEM.OM. 10mm</t>
  </si>
  <si>
    <t>CEM.JADR.OM. 10 mm</t>
  </si>
  <si>
    <t>KERAM. OBKLAD</t>
  </si>
  <si>
    <t>HYDROIZOL. NÁTER</t>
  </si>
  <si>
    <t>PENETRAČNÝ NÁTER</t>
  </si>
  <si>
    <t>MAĽBA 2x</t>
  </si>
  <si>
    <t>KER.SOKEL      v=65 mm</t>
  </si>
  <si>
    <t>SO</t>
  </si>
  <si>
    <t>ÚČEL</t>
  </si>
  <si>
    <t>PLOCHA</t>
  </si>
  <si>
    <t>VÝŠKA</t>
  </si>
  <si>
    <t>PODLAHA</t>
  </si>
  <si>
    <t>STROP</t>
  </si>
  <si>
    <t>STENY</t>
  </si>
  <si>
    <t>POZNÁMKA</t>
  </si>
  <si>
    <t>5a</t>
  </si>
  <si>
    <t>5b</t>
  </si>
  <si>
    <t>5c</t>
  </si>
  <si>
    <t>5d</t>
  </si>
  <si>
    <t>6a</t>
  </si>
  <si>
    <t>6b</t>
  </si>
  <si>
    <t>6c</t>
  </si>
  <si>
    <t>6d</t>
  </si>
  <si>
    <t>7a</t>
  </si>
  <si>
    <t>7b</t>
  </si>
  <si>
    <t>7c</t>
  </si>
  <si>
    <t>7d</t>
  </si>
  <si>
    <t>7e</t>
  </si>
  <si>
    <t>7f</t>
  </si>
  <si>
    <t>7g</t>
  </si>
  <si>
    <t>7h</t>
  </si>
  <si>
    <t>1.NADZEMNÉ PODLAŽIE - NOVÝ STAV</t>
  </si>
  <si>
    <t>1.NP</t>
  </si>
  <si>
    <t>ZÁDVERIE</t>
  </si>
  <si>
    <t>gresová dlažba</t>
  </si>
  <si>
    <t>náter</t>
  </si>
  <si>
    <t>omietka</t>
  </si>
  <si>
    <t>1.02</t>
  </si>
  <si>
    <t>KÚPEĽŇA - WC</t>
  </si>
  <si>
    <t>keramický obklad, omietka</t>
  </si>
  <si>
    <t>KO 1200 mm resp.2400 mm nad ním skladba S1</t>
  </si>
  <si>
    <t>3000x3800 mm</t>
  </si>
  <si>
    <t>1.03</t>
  </si>
  <si>
    <t>DIELŇA</t>
  </si>
  <si>
    <t>cementová nivelačná hmota</t>
  </si>
  <si>
    <t>za umývadlom skladba S3 - KO v.1500 mm, š.900 mm</t>
  </si>
  <si>
    <t>1100x1300 mm</t>
  </si>
  <si>
    <t xml:space="preserve">CHODBA </t>
  </si>
  <si>
    <t>1700x1300+800x350 MM</t>
  </si>
  <si>
    <t>1.05</t>
  </si>
  <si>
    <t>PRÍRUČNÝ SKLAD</t>
  </si>
  <si>
    <t>1.06</t>
  </si>
  <si>
    <t>SPRÁVCA</t>
  </si>
  <si>
    <t>1.07</t>
  </si>
  <si>
    <t>SKLAD</t>
  </si>
  <si>
    <t>1.08</t>
  </si>
  <si>
    <t>MANIPULAČNÁ CHODBA</t>
  </si>
  <si>
    <t>1.09</t>
  </si>
  <si>
    <t>SKLAD NÁHRADNÝCH DIELOV</t>
  </si>
  <si>
    <t>1.10</t>
  </si>
  <si>
    <t>TECHNICKÁ MIESTNOSŤ</t>
  </si>
  <si>
    <t>1.10a</t>
  </si>
  <si>
    <t>SCHODISKO</t>
  </si>
  <si>
    <t>1.11</t>
  </si>
  <si>
    <t>NÁHRADNÝ ZDROJ TEPLA</t>
  </si>
  <si>
    <t>P2,P3</t>
  </si>
  <si>
    <t>protipožiarna omietka</t>
  </si>
  <si>
    <t>1.11a</t>
  </si>
  <si>
    <t>SKLAD PELIET A ŠTIEPKY</t>
  </si>
  <si>
    <t>drevená konštrukcia</t>
  </si>
  <si>
    <t>oceľová stena s trapézovým plechom</t>
  </si>
  <si>
    <t>drevená konštrukcia podlahy vykázaná v statike</t>
  </si>
  <si>
    <t>1.12</t>
  </si>
  <si>
    <t>PLYNOVÁ KOTOLŇA</t>
  </si>
  <si>
    <t>strop.panely SH 5100 aj nad m.č. 1.13-1.15 114,5 m2</t>
  </si>
  <si>
    <t>1.13</t>
  </si>
  <si>
    <t>REGULAČVNÁ STANICA     PLYNU</t>
  </si>
  <si>
    <t>pôvodný trapézový plech</t>
  </si>
  <si>
    <t>trapézový plech                           SH 3060 mm</t>
  </si>
  <si>
    <t>1.14</t>
  </si>
  <si>
    <t>1.15</t>
  </si>
  <si>
    <t>1.16</t>
  </si>
  <si>
    <t>SILO - VÝŤAH NA POPOL</t>
  </si>
  <si>
    <t>pôvodná podlaha</t>
  </si>
  <si>
    <t>pôvodný strop</t>
  </si>
  <si>
    <t>pôvodná omietka</t>
  </si>
  <si>
    <t>1.17</t>
  </si>
  <si>
    <t>1.18</t>
  </si>
  <si>
    <t>MANIPULAČNÁ PLOCHA POD SILOM</t>
  </si>
  <si>
    <t>pôvodná vonkajšia podlaha</t>
  </si>
  <si>
    <t>pôvodná vonkajšia omietka</t>
  </si>
  <si>
    <t>SPOLU 1.NP</t>
  </si>
  <si>
    <t>CELKOM</t>
  </si>
  <si>
    <t>SPOLU</t>
  </si>
  <si>
    <r>
      <t xml:space="preserve">Objekt: </t>
    </r>
    <r>
      <rPr>
        <b/>
        <sz val="11"/>
        <color rgb="FFFF0000"/>
        <rFont val="Arial CE"/>
        <family val="2"/>
        <charset val="238"/>
      </rPr>
      <t>SO 01 Kotolňa - pomocné výmery - figúry</t>
    </r>
  </si>
  <si>
    <t>Topoľčianky, Centrálny logistický sklad - rekonštrukcia tepelného hospodárstva</t>
  </si>
  <si>
    <t>711210125.S</t>
  </si>
  <si>
    <t>Zhotovenie dvojnásobného izol. náteru pod keramické obklady v interiéri na ploche zvislej</t>
  </si>
  <si>
    <t>27,80*1,35</t>
  </si>
  <si>
    <t>prvky 60x60 mm - 76,0 m x 1,1</t>
  </si>
  <si>
    <t>prvky 150x60 mm - 195,33 m x 1,1</t>
  </si>
  <si>
    <t>SO02A=24*0,8*1,25*1,5</t>
  </si>
  <si>
    <t>SO02B=30*08*1,25*1</t>
  </si>
  <si>
    <t>SO02C=38*0,8*1,25*1</t>
  </si>
  <si>
    <t>SO02B=30*08*1,25*1,5</t>
  </si>
  <si>
    <t>SO02C=38*0,8*1,25*1,5</t>
  </si>
  <si>
    <t>Súčet</t>
  </si>
  <si>
    <t>SO02A=24*0,8*1,25*1</t>
  </si>
  <si>
    <t>Stapring a.s., Cintorínska 9, Bratislava</t>
  </si>
  <si>
    <t>Stapring a.s., Cintorínska9, Bratislava</t>
  </si>
  <si>
    <t>Ministerstvo vnútra Slovenskej rebubliky, Pribinova2, Bratislava</t>
  </si>
  <si>
    <t>Topolčianky</t>
  </si>
  <si>
    <t>MV SR</t>
  </si>
  <si>
    <t>Stapring a.s.</t>
  </si>
  <si>
    <t xml:space="preserve">Stavebno montážne práce spojené s realizáciou vnútornej kanalizácie.... HZS </t>
  </si>
  <si>
    <r>
      <t xml:space="preserve">Zariadenie na ochranu proti spätnému prietoku podľa normy STN EN 1717 - napr. HONEYWELL zábrana proti spätnému toku,  typ BA295, médium voda, DN50,  závitové prevedenie, </t>
    </r>
    <r>
      <rPr>
        <i/>
        <sz val="9"/>
        <color rgb="FFFF0000"/>
        <rFont val="Arial CE"/>
        <family val="2"/>
        <charset val="238"/>
      </rPr>
      <t>alebo ekvivalent</t>
    </r>
  </si>
  <si>
    <r>
      <t xml:space="preserve">Jemný odkalovací (mechanický) filter závitový na vodu 6/4", so spätným preplachom, PN 16 - napr. typ F 76S-6/4",  DN40 (Honeywell), </t>
    </r>
    <r>
      <rPr>
        <i/>
        <sz val="9"/>
        <color rgb="FFFF0000"/>
        <rFont val="Arial CE"/>
        <family val="2"/>
        <charset val="238"/>
      </rPr>
      <t>alebo ekvivalent</t>
    </r>
  </si>
  <si>
    <r>
      <t xml:space="preserve">U - Batéria umývadlová stojanková páková, chróm - napr. KLUDI PURE &amp; EASY 372850565, </t>
    </r>
    <r>
      <rPr>
        <i/>
        <sz val="9"/>
        <color rgb="FFFF0000"/>
        <rFont val="Arial CE"/>
        <family val="2"/>
        <charset val="238"/>
      </rPr>
      <t>alebo  ekvivalent</t>
    </r>
  </si>
  <si>
    <t xml:space="preserve">Stavebno montážne práce spojené s dokompletovaním zariaďovacích predmetov ........ HZS </t>
  </si>
  <si>
    <r>
      <t xml:space="preserve">D+M Záložný zdroj Riello UPS Sentinel Pro SEP 1000 A3 o výkone 1000VA/900W, 5 min. On Line, RS323/USB, vxšxh 422x158x235 mm, 13,3 kg, slot pre komunikačnú kartu, možnosť pripojiť batériový modul. CSEP1K0AA3 </t>
    </r>
    <r>
      <rPr>
        <sz val="9"/>
        <color rgb="FFFF0000"/>
        <rFont val="Arial CE"/>
        <family val="2"/>
        <charset val="238"/>
      </rPr>
      <t>alebo ekvivalent</t>
    </r>
  </si>
  <si>
    <r>
      <t xml:space="preserve">D+M SVIETIDLO, (DNA Slovakia), AWEX  FL1/M/60/9300/840/ED/X/157x77/GR3/ST/4, reflektor, 60W, IP65 , označené "A" </t>
    </r>
    <r>
      <rPr>
        <sz val="9"/>
        <color rgb="FFFF0000"/>
        <rFont val="Arial CE"/>
        <family val="2"/>
        <charset val="238"/>
      </rPr>
      <t>alebo ekvivalent</t>
    </r>
  </si>
  <si>
    <r>
      <t xml:space="preserve">D+M SVIETIDLO, (DNA Slovakia), AWEX  HLN/105/50/840/DI/ED/X/FG/X/X/SPS/4/ST, 5830lm, 38W, IP65, označené "C" </t>
    </r>
    <r>
      <rPr>
        <sz val="9"/>
        <color rgb="FFFF0000"/>
        <rFont val="Arial CE"/>
        <family val="2"/>
        <charset val="238"/>
      </rPr>
      <t>alebo ekvivalent</t>
    </r>
  </si>
  <si>
    <r>
      <t xml:space="preserve">D+M SVIETIDLO, (DNA Slovakia), AWEX HLN/105/83/840/DI/ED/X/FG/X/X/SPS/5/ST, 8421lm, 53W, IP65 , označené "D" </t>
    </r>
    <r>
      <rPr>
        <sz val="9"/>
        <color rgb="FFFF0000"/>
        <rFont val="Arial CE"/>
        <family val="2"/>
        <charset val="238"/>
      </rPr>
      <t>alebo ekvivalent</t>
    </r>
  </si>
  <si>
    <r>
      <t xml:space="preserve">D+M SVIETIDLO, (DNA Slovakia), 10107938 ACQUEX T8 2x58W, (ZÓNA 2, 22), II 3G Ex ec IIC T4Gc, IP66 , označené "E" </t>
    </r>
    <r>
      <rPr>
        <sz val="9"/>
        <color rgb="FFFF0000"/>
        <rFont val="Arial CE"/>
        <family val="2"/>
        <charset val="238"/>
      </rPr>
      <t>alebo ekvivalent</t>
    </r>
  </si>
  <si>
    <r>
      <t xml:space="preserve">D+M SVIETIDLO, (DNA Slovakia), MARECO LUCE 0724182B BELLATRIX 20W-led, 4000lm, 20W, IP65 , označené "F" </t>
    </r>
    <r>
      <rPr>
        <sz val="9"/>
        <color rgb="FFFF0000"/>
        <rFont val="Arial CE"/>
        <family val="2"/>
        <charset val="238"/>
      </rPr>
      <t>alebo ekvivalent</t>
    </r>
  </si>
  <si>
    <r>
      <t xml:space="preserve">D+M SVIETIDLO NÚDZOVÉ, (DNA Slovakia), ETE/2W/B/1/SE/AT/WH - EXIT M 2W LED 340 lm PREMIUM IP65 1h, autotest, univerzálny piktogram, , označené "N" </t>
    </r>
    <r>
      <rPr>
        <sz val="9"/>
        <color rgb="FFFF0000"/>
        <rFont val="Arial CE"/>
        <family val="2"/>
        <charset val="238"/>
      </rPr>
      <t>alebo ekvivalent</t>
    </r>
  </si>
  <si>
    <r>
      <t xml:space="preserve">D+M SVIETIDLO NÚDZOVÉ DO ZÓNY2, (DNA Slovakia), II 3G Ex nR IIC T6 Gc, PRIMA LED Ex 1.2ft PCc NM3hAt, IP66 </t>
    </r>
    <r>
      <rPr>
        <sz val="9"/>
        <color rgb="FFFF0000"/>
        <rFont val="Arial CE"/>
        <family val="2"/>
        <charset val="238"/>
      </rPr>
      <t>alebo ekvivalent</t>
    </r>
  </si>
  <si>
    <r>
      <t xml:space="preserve">Záložný zdroj Riello UPS Sentinel Pro SEP 1000 A3 o výkone 1000VA/900W, 5 min. On Line, RS323/USB, vxšxh 422x158x235 mm, 13,3 kg, slot pre komunikačnú kartu, možnosť pripojiť batériový modul </t>
    </r>
    <r>
      <rPr>
        <sz val="9"/>
        <color rgb="FFFF0000"/>
        <rFont val="Arial CE"/>
        <family val="2"/>
        <charset val="238"/>
      </rPr>
      <t>alebo ekvivalent</t>
    </r>
    <r>
      <rPr>
        <sz val="9"/>
        <rFont val="Arial CE"/>
      </rPr>
      <t>.</t>
    </r>
  </si>
  <si>
    <r>
      <t xml:space="preserve">SVIETIDLO, (DNA Slovakia) NEPTUN HO 060, 9000lm, 65W, IP66 + zdroje označené "A" </t>
    </r>
    <r>
      <rPr>
        <sz val="9"/>
        <color rgb="FFFF0000"/>
        <rFont val="Arial CE"/>
        <family val="2"/>
        <charset val="238"/>
      </rPr>
      <t>alebo ekvivalent</t>
    </r>
  </si>
  <si>
    <r>
      <t xml:space="preserve">SVIETIDLO NÚDZOVÉ,  DNA Slovakia s.r.o, ETE/2W/B/1/SE/AT/WH - EXIT M 2W LED 340 lm PREMIUM IP65 1h, autotest, univerzálny piktogram </t>
    </r>
    <r>
      <rPr>
        <sz val="9"/>
        <color rgb="FFFF0000"/>
        <rFont val="Arial CE"/>
        <family val="2"/>
        <charset val="238"/>
      </rPr>
      <t>alebo ekvivalent</t>
    </r>
  </si>
  <si>
    <r>
      <t xml:space="preserve">Izolačná PE trubica 18x20 mm (d potrubia x hr. izolácie) napríklad  TUBOLIT DG </t>
    </r>
    <r>
      <rPr>
        <i/>
        <sz val="9"/>
        <color rgb="FFFF0000"/>
        <rFont val="Arial CE"/>
        <family val="2"/>
        <charset val="238"/>
      </rPr>
      <t>alebo ekvivalent</t>
    </r>
  </si>
  <si>
    <r>
      <t xml:space="preserve">Izolačná PE trubica 22x20 mm (d potrubia x hr. izolácie) napríklad  TUBOLIT DG </t>
    </r>
    <r>
      <rPr>
        <i/>
        <sz val="9"/>
        <color rgb="FFFF0000"/>
        <rFont val="Arial CE"/>
        <family val="2"/>
        <charset val="238"/>
      </rPr>
      <t>alebo ekvivalent</t>
    </r>
  </si>
  <si>
    <r>
      <t xml:space="preserve">Izolačná PE trubica 28x20 mm (d potrubia x hr. izolácie) napríklad  TUBOLIT DG </t>
    </r>
    <r>
      <rPr>
        <i/>
        <sz val="9"/>
        <color rgb="FFFF0000"/>
        <rFont val="Arial CE"/>
        <family val="2"/>
        <charset val="238"/>
      </rPr>
      <t>alebo ekvivalent</t>
    </r>
  </si>
  <si>
    <r>
      <t xml:space="preserve">Izolačná PE trubica 35x20 mm (d potrubia x hr. izolácie) napríklad  TUBOLIT DG </t>
    </r>
    <r>
      <rPr>
        <i/>
        <sz val="9"/>
        <color rgb="FFFF0000"/>
        <rFont val="Arial CE"/>
        <family val="2"/>
        <charset val="238"/>
      </rPr>
      <t>alebo ekvivalent</t>
    </r>
  </si>
  <si>
    <r>
      <t xml:space="preserve">Izolačná PE trubica 42x30 mm (d potrubia x hr. izolácie) napríklad  TUBOLIT DG </t>
    </r>
    <r>
      <rPr>
        <i/>
        <sz val="9"/>
        <color rgb="FFFF0000"/>
        <rFont val="Arial CE"/>
        <family val="2"/>
        <charset val="238"/>
      </rPr>
      <t>alebo ekvivalent</t>
    </r>
  </si>
  <si>
    <r>
      <t xml:space="preserve">Izolačná PE trubica 54x30 mm (d potrubia x hr. izolácie) napríklad  TUBOLIT DG </t>
    </r>
    <r>
      <rPr>
        <i/>
        <sz val="9"/>
        <color rgb="FFFF0000"/>
        <rFont val="Arial CE"/>
        <family val="2"/>
        <charset val="238"/>
      </rPr>
      <t>alebo ekvivalent</t>
    </r>
  </si>
  <si>
    <r>
      <t xml:space="preserve">Izolačná PE trubica 60x30 mm (d potrubia x hr. izolácie) napríklad  TUBOLIT DG </t>
    </r>
    <r>
      <rPr>
        <i/>
        <sz val="9"/>
        <color rgb="FFFF0000"/>
        <rFont val="Arial CE"/>
        <family val="2"/>
        <charset val="238"/>
      </rPr>
      <t>alebo ekvivalent</t>
    </r>
  </si>
  <si>
    <r>
      <t xml:space="preserve">Izolačná PE trubica 89x30 mm (d potrubia x hr. izolácie) napríklad  TUBOLIT DG </t>
    </r>
    <r>
      <rPr>
        <i/>
        <sz val="9"/>
        <color rgb="FFFF0000"/>
        <rFont val="Arial CE"/>
        <family val="2"/>
        <charset val="238"/>
      </rPr>
      <t>alebo ekvivalent</t>
    </r>
  </si>
  <si>
    <r>
      <t xml:space="preserve">Izolačná PE trubica 114x30 mm (d potrubia x hr. izolácie) napríklad  TUBOLIT DG </t>
    </r>
    <r>
      <rPr>
        <i/>
        <sz val="9"/>
        <color rgb="FFFF0000"/>
        <rFont val="Arial CE"/>
        <family val="2"/>
        <charset val="238"/>
      </rPr>
      <t>alebo ekvivalent</t>
    </r>
  </si>
  <si>
    <r>
      <t xml:space="preserve">Teplovodný, kondenzačný plynový kotol men. výkon  530-150,0 kW, 0,6 MPa napríklad  RIELLO TAU 600 N,   </t>
    </r>
    <r>
      <rPr>
        <i/>
        <sz val="9"/>
        <color rgb="FFFF0000"/>
        <rFont val="Arial CE"/>
        <family val="2"/>
        <charset val="238"/>
      </rPr>
      <t>alebo ekvivalent</t>
    </r>
  </si>
  <si>
    <r>
      <t xml:space="preserve">Horák pre plynový kotol pre tlak plynu 15 kPa  napríklad  RIELLO typ  RS 68/E BLU T vrátane dosky  350x120,  </t>
    </r>
    <r>
      <rPr>
        <i/>
        <sz val="9"/>
        <color rgb="FFFF0000"/>
        <rFont val="Arial CE"/>
        <family val="2"/>
        <charset val="238"/>
      </rPr>
      <t>alebo ekvivalent</t>
    </r>
  </si>
  <si>
    <r>
      <t xml:space="preserve">Automatický kotol na pelety alebo štiepku , výkon 103,9-501,0 kW, s termickým ventilom  otváracia teplota 95°C, s recirkuláciou spalín  napríklad  HERZ firematic-E 501 vyhotovenie ľavé s integrovaným E-filtrom </t>
    </r>
    <r>
      <rPr>
        <i/>
        <sz val="9"/>
        <color rgb="FFFF0000"/>
        <rFont val="Arial CE"/>
        <family val="2"/>
        <charset val="238"/>
      </rPr>
      <t>alebo ekvivalent</t>
    </r>
  </si>
  <si>
    <r>
      <t xml:space="preserve">Montáž nerezového komína pre palivo plyn DN 350 napríklad Jeremias DW - AL </t>
    </r>
    <r>
      <rPr>
        <sz val="9"/>
        <color rgb="FFFF0000"/>
        <rFont val="Arial CE"/>
        <family val="2"/>
        <charset val="238"/>
      </rPr>
      <t>alebo ekvivalent</t>
    </r>
  </si>
  <si>
    <r>
      <t xml:space="preserve">Montáž nerezového komína pre palivo peleta štiepka DN 400 napríklad Jeremias DW - ETN </t>
    </r>
    <r>
      <rPr>
        <sz val="9"/>
        <color rgb="FFFF0000"/>
        <rFont val="Arial CE"/>
        <family val="2"/>
        <charset val="238"/>
      </rPr>
      <t>alebo ekvivalent</t>
    </r>
  </si>
  <si>
    <r>
      <t xml:space="preserve">Expanzný systém napríklad  Variomat VS 2-1/60 so zásobnou nádobou VG 1500L , riadiaca jednotka s jedným čerpadlom  el. nap. 1~; 50Hz, 230V, prepojovacia sada G 5/4" </t>
    </r>
    <r>
      <rPr>
        <i/>
        <sz val="9"/>
        <color rgb="FFFF0000"/>
        <rFont val="Arial CE"/>
        <family val="2"/>
        <charset val="238"/>
      </rPr>
      <t>alebo ekvivalent</t>
    </r>
  </si>
  <si>
    <r>
      <t xml:space="preserve">Čerpadlo ČK  obehové prietok 2,1 m3/h , doprav výška 4,5 m el. nap.1x 230V, 50Hz el. pr. 116 W  napríklad MAGNA3 25-80 </t>
    </r>
    <r>
      <rPr>
        <i/>
        <sz val="9"/>
        <color rgb="FFFF0000"/>
        <rFont val="Arial CE"/>
        <family val="2"/>
        <charset val="238"/>
      </rPr>
      <t>alebo ekvivalent</t>
    </r>
  </si>
  <si>
    <r>
      <t xml:space="preserve">Čerpadlo ČG obehové prietok 1,4 m3/h , doprav výška 5,5 m el. nap.1x 230V, 50Hz el. pr. 60 W  napríklad ALPHA2 GO 25-80 130 </t>
    </r>
    <r>
      <rPr>
        <i/>
        <sz val="9"/>
        <color rgb="FFFF0000"/>
        <rFont val="Arial CE"/>
        <family val="2"/>
        <charset val="238"/>
      </rPr>
      <t>alebo ekvivalent</t>
    </r>
  </si>
  <si>
    <r>
      <t xml:space="preserve">Čerpadlo ČOV1 obehové prietok 2,8 m3/h , doprav výška 3,0 m el. nap.1x 75V, 50Hz el. pr. 75 W  napríklad ALPHA2 GO 25-75 130 </t>
    </r>
    <r>
      <rPr>
        <i/>
        <sz val="9"/>
        <color rgb="FFFF0000"/>
        <rFont val="Arial CE"/>
        <family val="2"/>
        <charset val="238"/>
      </rPr>
      <t>alebo ekvivalent</t>
    </r>
  </si>
  <si>
    <r>
      <t xml:space="preserve">Čerpadlo ČS1 obehové prietok 2,6 m3/h , doprav výška 5,0 m el. nap.1x 75V, 50Hz el. pr. 75 W  napríklad ALPHA2 GO 25-75 130 </t>
    </r>
    <r>
      <rPr>
        <i/>
        <sz val="9"/>
        <color rgb="FFFF0000"/>
        <rFont val="Arial CE"/>
        <family val="2"/>
        <charset val="238"/>
      </rPr>
      <t>alebo ekvivalent</t>
    </r>
  </si>
  <si>
    <r>
      <t xml:space="preserve">Čerpadlo ČJ1 obehové prietok 2,1 m3/h , doprav výška 5,0 m el. nap.1x 75V, 50Hz el. pr. 75 W  napríklad ALPHA2 GO 25-75 180 </t>
    </r>
    <r>
      <rPr>
        <i/>
        <sz val="9"/>
        <color rgb="FFFF0000"/>
        <rFont val="Arial CE"/>
        <family val="2"/>
        <charset val="238"/>
      </rPr>
      <t>alebo ekvivalent</t>
    </r>
  </si>
  <si>
    <r>
      <t xml:space="preserve">Čerpadlo ČVZ2 obehové prietok 4,8 m3/h , doprav výška 5,0 m el. nap.1x 230V, 50Hz el. pr. 116 W  napríklad MAGNA3 25-80 </t>
    </r>
    <r>
      <rPr>
        <i/>
        <sz val="9"/>
        <color rgb="FFFF0000"/>
        <rFont val="Arial CE"/>
        <family val="2"/>
        <charset val="238"/>
      </rPr>
      <t>alebo ekvivalent</t>
    </r>
  </si>
  <si>
    <r>
      <t xml:space="preserve">Čerpadlo ČS2 obehové prietok 5,6 m3/h , doprav výška 5,5 m el. nap.1x 230V, 50Hz el. pr. 153 W  napríklad MAGNA3 25-100 </t>
    </r>
    <r>
      <rPr>
        <i/>
        <sz val="9"/>
        <color rgb="FFFF0000"/>
        <rFont val="Arial CE"/>
        <family val="2"/>
        <charset val="238"/>
      </rPr>
      <t>alebo ekvivalent</t>
    </r>
  </si>
  <si>
    <r>
      <t xml:space="preserve">Čerpadlo ČZSK obehové prietok 5,2 m3/h , doprav výška 6,5 m el. nap.1x 230V, 50Hz el. pr. 153 W  napríklad MAGNA3 25-100 </t>
    </r>
    <r>
      <rPr>
        <i/>
        <sz val="9"/>
        <color rgb="FFFF0000"/>
        <rFont val="Arial CE"/>
        <family val="2"/>
        <charset val="238"/>
      </rPr>
      <t>alebo ekvivalent</t>
    </r>
  </si>
  <si>
    <r>
      <t xml:space="preserve">Čerpadlo ČJ2 obehové prietok 3,2 m3/h , doprav výška 5,0 m el. nap.1x 230V, 50Hz el. pr. 116 W  napríklad MAGNA3 25-80 </t>
    </r>
    <r>
      <rPr>
        <i/>
        <sz val="9"/>
        <color rgb="FFFF0000"/>
        <rFont val="Arial CE"/>
        <family val="2"/>
        <charset val="238"/>
      </rPr>
      <t>alebo ekvivalent</t>
    </r>
  </si>
  <si>
    <r>
      <t xml:space="preserve">Čerpadlo ČVZ3 prietok 3,7 m3/h , doprav výška 5,0 m el. nap.1x 230V, 50Hz el. pr. 116 W  napríklad MAGNA3 25-80 </t>
    </r>
    <r>
      <rPr>
        <i/>
        <sz val="9"/>
        <color rgb="FFFF0000"/>
        <rFont val="Arial CE"/>
        <family val="2"/>
        <charset val="238"/>
      </rPr>
      <t>alebo ekvivalent</t>
    </r>
  </si>
  <si>
    <r>
      <t xml:space="preserve">Čerpadlo ČJ3 prietok 1,9 m3/h , doprav výška 5,0 m el. nap.1x 230V, 50Hz el. pr. 75 W  napríklad ALPHA2 GO 25-75 130 </t>
    </r>
    <r>
      <rPr>
        <i/>
        <sz val="9"/>
        <color rgb="FFFF0000"/>
        <rFont val="Arial CE"/>
        <family val="2"/>
        <charset val="238"/>
      </rPr>
      <t>alebo ekvivalent</t>
    </r>
  </si>
  <si>
    <r>
      <t xml:space="preserve">Čerpadlo ČS3 prietok 2,8 m3/h , doprav výška 5,0 m el. nap.1x 230V, 50Hz el. pr. 116 W  napríklad MAGNA3 25-80 </t>
    </r>
    <r>
      <rPr>
        <i/>
        <sz val="9"/>
        <color rgb="FFFF0000"/>
        <rFont val="Arial CE"/>
        <family val="2"/>
        <charset val="238"/>
      </rPr>
      <t>alebo ekvivalent</t>
    </r>
  </si>
  <si>
    <r>
      <t xml:space="preserve">Čerpadlo ČPB prietok 11 m3/h , doprav výška 6,0 m el. nap.1x 230V, 50Hz el. pr. 333 W napríklad MAGNA3 32-120F  </t>
    </r>
    <r>
      <rPr>
        <i/>
        <sz val="9"/>
        <color rgb="FFFF0000"/>
        <rFont val="Arial CE"/>
        <family val="2"/>
        <charset val="238"/>
      </rPr>
      <t>alebo ekvivalent</t>
    </r>
  </si>
  <si>
    <r>
      <t xml:space="preserve">Čerpadlo ČSK1 prietok 5,2 m3/h , doprav výška 9,5 m el. nap.1x 230V, 50Hz el. pr. 359 W napríklad MAGNA3 40-100F  </t>
    </r>
    <r>
      <rPr>
        <i/>
        <sz val="9"/>
        <color rgb="FFFF0000"/>
        <rFont val="Arial CE"/>
        <family val="2"/>
        <charset val="238"/>
      </rPr>
      <t>alebo ekvivalent</t>
    </r>
  </si>
  <si>
    <r>
      <t xml:space="preserve">Čerpadlo ČSK2 prietok 28 m3/h , doprav výška 7,0 m el. nap.1x 230V, 50Hz el. pr. 1377W napríklad MAGNA3 65-150F  </t>
    </r>
    <r>
      <rPr>
        <i/>
        <sz val="9"/>
        <color rgb="FFFF0000"/>
        <rFont val="Arial CE"/>
        <family val="2"/>
        <charset val="238"/>
      </rPr>
      <t>alebo ekvivalent</t>
    </r>
  </si>
  <si>
    <r>
      <t xml:space="preserve">Úpravňa vody doplňovanie vykur. okruhu, neelektrický systém, tank na soľ,filtračná vložka , riadiaci vodomer, dávkovacie čerpadlo ERDosC-inhibítor korózie  typ ERWSK100,  </t>
    </r>
    <r>
      <rPr>
        <i/>
        <sz val="9"/>
        <color rgb="FFFF0000"/>
        <rFont val="Arial CE"/>
        <family val="2"/>
        <charset val="238"/>
      </rPr>
      <t xml:space="preserve">alebo ekvivalent </t>
    </r>
    <r>
      <rPr>
        <i/>
        <sz val="9"/>
        <color rgb="FF0000FF"/>
        <rFont val="Arial CE"/>
      </rPr>
      <t>dodávka montáž</t>
    </r>
  </si>
  <si>
    <r>
      <t xml:space="preserve">Oddeľovací člen pre doplňovacie systémy pre priame napojenie na rozvod pitnej, vody s vodomerom a stenovým držiakom napríklad   typ Reflex Fillset </t>
    </r>
    <r>
      <rPr>
        <i/>
        <sz val="9"/>
        <color rgb="FFFF0000"/>
        <rFont val="Arial CE"/>
        <family val="2"/>
        <charset val="238"/>
      </rPr>
      <t>alebo ekvivalent</t>
    </r>
    <r>
      <rPr>
        <i/>
        <sz val="9"/>
        <color rgb="FF0000FF"/>
        <rFont val="Arial CE"/>
      </rPr>
      <t xml:space="preserve"> dodávka montáž</t>
    </r>
  </si>
  <si>
    <r>
      <t xml:space="preserve">Kombinovaný odlučovač mikrobublín a kalu s magnetickým odlučovačom nečistôt s prírubovým pripojením  s revíznou prírubou  a magnetickou vložkou s napríklad   typ Reflex Extwin DN 150 </t>
    </r>
    <r>
      <rPr>
        <i/>
        <sz val="9"/>
        <color rgb="FFFF0000"/>
        <rFont val="Arial CE"/>
        <family val="2"/>
        <charset val="238"/>
      </rPr>
      <t>alebo ekvivalent</t>
    </r>
    <r>
      <rPr>
        <i/>
        <sz val="9"/>
        <color rgb="FF0000FF"/>
        <rFont val="Arial CE"/>
      </rPr>
      <t xml:space="preserve"> dodávka montáž</t>
    </r>
  </si>
  <si>
    <r>
      <t xml:space="preserve">Medziprírubová klapka uzatváracia so servopohonom ON / oFF typ napríklad VFY - WA   </t>
    </r>
    <r>
      <rPr>
        <i/>
        <sz val="9"/>
        <color rgb="FFFF0000"/>
        <rFont val="Arial CE"/>
        <family val="2"/>
        <charset val="238"/>
      </rPr>
      <t xml:space="preserve">alebo ekvivalent </t>
    </r>
    <r>
      <rPr>
        <i/>
        <sz val="9"/>
        <color rgb="FF0000FF"/>
        <rFont val="Arial CE"/>
      </rPr>
      <t>DN 150, PN16</t>
    </r>
  </si>
  <si>
    <r>
      <t xml:space="preserve">Poistný ventil pre uzvreté systémy vykurovania napríklad Prescor S 1700 2" otv tlak 5,0 bar </t>
    </r>
    <r>
      <rPr>
        <i/>
        <sz val="9"/>
        <color rgb="FFFF0000"/>
        <rFont val="Arial CE"/>
        <family val="2"/>
        <charset val="238"/>
      </rPr>
      <t>alebo ekvivalent</t>
    </r>
  </si>
  <si>
    <r>
      <t xml:space="preserve">Vyvažovací ventil závitový 5/4" napríklad HERZ - STRÖMAX 4217 GM, PN 10, </t>
    </r>
    <r>
      <rPr>
        <i/>
        <sz val="9"/>
        <color rgb="FFFF0000"/>
        <rFont val="Arial CE"/>
        <family val="2"/>
        <charset val="238"/>
      </rPr>
      <t>alebo ekvivalent</t>
    </r>
  </si>
  <si>
    <r>
      <t xml:space="preserve">Vyvažovací ventil závitový 6/4" napríklad HERZ - STRÖMAX 4217 GM, PN 10, </t>
    </r>
    <r>
      <rPr>
        <i/>
        <sz val="9"/>
        <color rgb="FFFF0000"/>
        <rFont val="Arial CE"/>
        <family val="2"/>
        <charset val="238"/>
      </rPr>
      <t>alebo ekvivalent</t>
    </r>
  </si>
  <si>
    <r>
      <t xml:space="preserve">Vyvažovací ventil závitový 2" napríklad HERZ - STRÖMAX 4217 GM, PN 10, </t>
    </r>
    <r>
      <rPr>
        <i/>
        <sz val="9"/>
        <color rgb="FFFF0000"/>
        <rFont val="Arial CE"/>
        <family val="2"/>
        <charset val="238"/>
      </rPr>
      <t>alebo ekvivalent</t>
    </r>
  </si>
  <si>
    <r>
      <t xml:space="preserve">Termostatický ventil  3/8" napríklad HERZ -  TS-90-V priamy , </t>
    </r>
    <r>
      <rPr>
        <i/>
        <sz val="9"/>
        <color rgb="FFFF0000"/>
        <rFont val="Arial CE"/>
        <family val="2"/>
        <charset val="238"/>
      </rPr>
      <t>alebo ekvivalent</t>
    </r>
  </si>
  <si>
    <r>
      <t xml:space="preserve">Termostatický ventil  1/2" napríklad HERZ -  TS-90-V priamy , </t>
    </r>
    <r>
      <rPr>
        <i/>
        <sz val="9"/>
        <color rgb="FFFF0000"/>
        <rFont val="Arial CE"/>
        <family val="2"/>
        <charset val="238"/>
      </rPr>
      <t>alebo ekvivalent</t>
    </r>
  </si>
  <si>
    <r>
      <t xml:space="preserve">Ventil  pre spiatočku 3/8" napríklad HERZ -  RL-5 priamy , </t>
    </r>
    <r>
      <rPr>
        <i/>
        <sz val="9"/>
        <color rgb="FFFF0000"/>
        <rFont val="Arial CE"/>
        <family val="2"/>
        <charset val="238"/>
      </rPr>
      <t>alebo ekvivalent</t>
    </r>
  </si>
  <si>
    <r>
      <t xml:space="preserve">Ventil  pre spiatočku 1/2" napríklad HERZ -  RL-5 priamy , </t>
    </r>
    <r>
      <rPr>
        <i/>
        <sz val="9"/>
        <color rgb="FFFF0000"/>
        <rFont val="Arial CE"/>
        <family val="2"/>
        <charset val="238"/>
      </rPr>
      <t>alebo ekvivalent</t>
    </r>
  </si>
  <si>
    <r>
      <t xml:space="preserve">Termostatická hlavica kvapalinová, , rozsah regulácie + 6,0 až +30°C, napríklad HERZ typ H Desing </t>
    </r>
    <r>
      <rPr>
        <i/>
        <sz val="9"/>
        <color rgb="FFFF0000"/>
        <rFont val="Arial CE"/>
        <family val="2"/>
        <charset val="238"/>
      </rPr>
      <t>alebo ekvivalent</t>
    </r>
  </si>
  <si>
    <r>
      <t xml:space="preserve">Trojcestný zmiešavací ventil DN 25 KVS=10 ovládanie 0-10V napríklad Danfoss  HRB3 vrátane servopohonu </t>
    </r>
    <r>
      <rPr>
        <i/>
        <sz val="9"/>
        <color rgb="FFFF0000"/>
        <rFont val="Arial CE"/>
        <family val="2"/>
        <charset val="238"/>
      </rPr>
      <t>alebo ekvivalent</t>
    </r>
  </si>
  <si>
    <r>
      <t xml:space="preserve">Dvojcestný regulačný DN32 ventil napríklad TA Modulator vrátane servopohonu TA Slider 160 </t>
    </r>
    <r>
      <rPr>
        <i/>
        <sz val="9"/>
        <color rgb="FFFF0000"/>
        <rFont val="Arial CE"/>
        <family val="2"/>
        <charset val="238"/>
      </rPr>
      <t>alebo ekvivalent</t>
    </r>
  </si>
  <si>
    <r>
      <t xml:space="preserve">Dvojcestný regulačný DN40 ventil napríklad TA Modulator vrátane servopohonu TA Slider 500 </t>
    </r>
    <r>
      <rPr>
        <i/>
        <sz val="9"/>
        <color rgb="FFFF0000"/>
        <rFont val="Arial CE"/>
        <family val="2"/>
        <charset val="238"/>
      </rPr>
      <t>alebo ekvivalent</t>
    </r>
  </si>
  <si>
    <r>
      <t xml:space="preserve">Elektromagnetický ventil DN 32  typ EV220B  </t>
    </r>
    <r>
      <rPr>
        <i/>
        <sz val="9"/>
        <color rgb="FFFF0000"/>
        <rFont val="Arial CE"/>
        <family val="2"/>
        <charset val="238"/>
      </rPr>
      <t>alebo ekvivalent</t>
    </r>
  </si>
  <si>
    <r>
      <t xml:space="preserve">Elektromagnetický ventil DN 40  typ EV220B  </t>
    </r>
    <r>
      <rPr>
        <i/>
        <sz val="9"/>
        <color rgb="FFFF0000"/>
        <rFont val="Arial CE"/>
        <family val="2"/>
        <charset val="238"/>
      </rPr>
      <t>alebo ekvivalent</t>
    </r>
  </si>
  <si>
    <r>
      <t xml:space="preserve">Elektromagnetický ventil DN 50  typ EV220B  </t>
    </r>
    <r>
      <rPr>
        <i/>
        <sz val="9"/>
        <color rgb="FFFF0000"/>
        <rFont val="Arial CE"/>
        <family val="2"/>
        <charset val="238"/>
      </rPr>
      <t>alebo ekvivalent</t>
    </r>
  </si>
  <si>
    <r>
      <t xml:space="preserve">Merač tepla ultrazvukový, DN 20, prietok 2,5 m3/h, PN 25, 130 °C alebo 150 °C, pripojenie do siete 230V M-bus napríklad Danfoss SONO 40 </t>
    </r>
    <r>
      <rPr>
        <i/>
        <sz val="9"/>
        <color rgb="FFFF0000"/>
        <rFont val="Arial CE"/>
        <family val="2"/>
        <charset val="238"/>
      </rPr>
      <t>alebo ekvivalent</t>
    </r>
  </si>
  <si>
    <r>
      <t xml:space="preserve">Merač tepla ultrazvukový, DN 40, prietok 10 m3/h, PN 25, 130 °C alebo 150 °C, pripojenie do siete 230V M-bus napríklad Danfoss SONO 40 </t>
    </r>
    <r>
      <rPr>
        <i/>
        <sz val="9"/>
        <color rgb="FFFF0000"/>
        <rFont val="Arial CE"/>
        <family val="2"/>
        <charset val="238"/>
      </rPr>
      <t>alebo ekvivalent</t>
    </r>
  </si>
  <si>
    <r>
      <t xml:space="preserve">Merač tepla ultrazvukový, DN 50, prietok 15 m3/h, PN 25, 130 °C alebo 150 °C, pripojenie do siete 230V M-bus napríklad Danfoss SONO 40 </t>
    </r>
    <r>
      <rPr>
        <i/>
        <sz val="9"/>
        <color rgb="FFFF0000"/>
        <rFont val="Arial CE"/>
        <family val="2"/>
        <charset val="238"/>
      </rPr>
      <t>alebo ekvivalent</t>
    </r>
  </si>
  <si>
    <r>
      <t xml:space="preserve">Merač tepla ultrazvukový, DN 80, prietok 40 m3/h, PN 25, 130 °C alebo 150 °C, pripojenie do siete 230V M-bus napríklad Danfoss SONO 40 </t>
    </r>
    <r>
      <rPr>
        <i/>
        <sz val="9"/>
        <color rgb="FFFF0000"/>
        <rFont val="Arial CE"/>
        <family val="2"/>
        <charset val="238"/>
      </rPr>
      <t>alebo ekvivalent</t>
    </r>
  </si>
  <si>
    <r>
      <t xml:space="preserve">Radialny odsávací ventilátor  napríklad VORT QUADRO typ Super I vzduchový výkon 140m2/h </t>
    </r>
    <r>
      <rPr>
        <sz val="9"/>
        <color rgb="FFFF0000"/>
        <rFont val="Arial CE"/>
        <family val="2"/>
        <charset val="238"/>
      </rPr>
      <t>alebo ekvivalent</t>
    </r>
  </si>
  <si>
    <r>
      <t xml:space="preserve">Rúra oceľová predizolovaná B zosílená DN 80 pre ústredné kúrenie, d 88,9 mm, hr. steny 3,2 mm, dĺ. 6 m, priemer s izoláciou 180 mm, plášť HDPE, npríklad systém  PIPECO  , </t>
    </r>
    <r>
      <rPr>
        <i/>
        <sz val="9"/>
        <color rgb="FFFF0000"/>
        <rFont val="Arial CE"/>
        <family val="2"/>
        <charset val="238"/>
      </rPr>
      <t>alebo ekvivalent</t>
    </r>
  </si>
  <si>
    <r>
      <t xml:space="preserve">Rúra oceľová predizolovaná B zosílená DN 50 pre ústredné kúrenie, d 60,3 mm, hr. steny 2,9 mm, dĺ. 12 m, priemer s izoláciou 140 mm, plášť HDPE, napríklad PIPECO </t>
    </r>
    <r>
      <rPr>
        <i/>
        <sz val="9"/>
        <color rgb="FFFF0000"/>
        <rFont val="Arial CE"/>
        <family val="2"/>
        <charset val="238"/>
      </rPr>
      <t>alebo ekvivalent</t>
    </r>
  </si>
  <si>
    <r>
      <t xml:space="preserve">Izolačná PE trubica 133x30 mm (d potrubia x hr. izolácie) napríklad  TUBOLIT DG </t>
    </r>
    <r>
      <rPr>
        <i/>
        <sz val="9"/>
        <color rgb="FFFF0000"/>
        <rFont val="Arial CE"/>
        <family val="2"/>
        <charset val="238"/>
      </rPr>
      <t>alebo ekvivalent</t>
    </r>
  </si>
  <si>
    <r>
      <t xml:space="preserve">Rúra oceľová predizolovaná B zosílená DN 125 pre ústredné kúrenie, d 139,7 mm, hr. steny 3,6 mm, dĺ. 6 m, priemer s izoláciou 250 mm, plášť HDPE, napríklad systém PIPECO   </t>
    </r>
    <r>
      <rPr>
        <i/>
        <sz val="9"/>
        <color rgb="FFFF0000"/>
        <rFont val="Arial CE"/>
        <family val="2"/>
        <charset val="238"/>
      </rPr>
      <t>alebo ekvivalent</t>
    </r>
  </si>
  <si>
    <r>
      <t>Rúra oceľová predizolovaná B zosílená DN 50 pre ústredné kúrenie, d 60,3 mm, hr. steny 2,9 mm, dĺ. 12 m, priemer s izoláciou 140 mm, plášť HDPE, napríklad PIPECO</t>
    </r>
    <r>
      <rPr>
        <i/>
        <sz val="9"/>
        <color rgb="FFFF0000"/>
        <rFont val="Arial CE"/>
        <family val="2"/>
        <charset val="238"/>
      </rPr>
      <t xml:space="preserve"> alebo ekvivalent</t>
    </r>
  </si>
  <si>
    <r>
      <t xml:space="preserve">Rúra oceľová predizolovaná B zosílená DN 32 pre ústredné kúrenie, d 42,4 mm, hr. steny 2,6 mm, dĺ. 6 m, priemer s izoláciou 125 mm, plášť SPIRO napríklad PIPECO </t>
    </r>
    <r>
      <rPr>
        <i/>
        <sz val="9"/>
        <color rgb="FFFF0000"/>
        <rFont val="Arial CE"/>
        <family val="2"/>
        <charset val="238"/>
      </rPr>
      <t>alebo ekvivalent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</si>
</sst>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%"/>
    <numFmt numFmtId="165" formatCode="dd\.mm\.yyyy"/>
    <numFmt numFmtId="166" formatCode="#,##0.00000"/>
    <numFmt numFmtId="167" formatCode="#,##0.000"/>
    <numFmt numFmtId="168" formatCode="#,##0.000;\-#,##0.000"/>
  </numFmts>
  <fonts count="7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8"/>
      <color theme="1"/>
      <name val="Arial CE"/>
      <family val="2"/>
      <charset val="238"/>
    </font>
    <font>
      <sz val="8"/>
      <name val="MS Sans Serif"/>
      <family val="2"/>
      <charset val="238"/>
    </font>
    <font>
      <sz val="8"/>
      <color theme="1" tint="0.34998626667073579"/>
      <name val="Arial CE"/>
      <family val="2"/>
      <charset val="238"/>
    </font>
    <font>
      <sz val="8"/>
      <color theme="1" tint="0.34998626667073579"/>
      <name val="Arial"/>
      <family val="2"/>
      <charset val="238"/>
    </font>
    <font>
      <sz val="8"/>
      <color theme="1" tint="0.249977111117893"/>
      <name val="Arial CE"/>
      <family val="2"/>
      <charset val="238"/>
    </font>
    <font>
      <u/>
      <sz val="8"/>
      <color theme="1" tint="0.34998626667073579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 tint="0.34998626667073579"/>
      <name val="Arial CE"/>
      <charset val="238"/>
    </font>
    <font>
      <sz val="9"/>
      <color theme="1" tint="0.249977111117893"/>
      <name val="Arial CE"/>
      <family val="2"/>
      <charset val="238"/>
    </font>
    <font>
      <sz val="8"/>
      <color theme="1" tint="0.249977111117893"/>
      <name val="Arial"/>
      <family val="2"/>
      <charset val="238"/>
    </font>
    <font>
      <u/>
      <sz val="8"/>
      <color theme="1"/>
      <name val="Arial CE"/>
      <family val="2"/>
      <charset val="238"/>
    </font>
    <font>
      <sz val="11"/>
      <color theme="1"/>
      <name val="Arial CE"/>
      <family val="2"/>
      <charset val="238"/>
    </font>
    <font>
      <b/>
      <sz val="11"/>
      <color theme="1"/>
      <name val="Arial CE"/>
      <family val="2"/>
      <charset val="238"/>
    </font>
    <font>
      <sz val="9"/>
      <color theme="1"/>
      <name val="Arial CE"/>
      <family val="2"/>
      <charset val="238"/>
    </font>
    <font>
      <b/>
      <sz val="9"/>
      <color rgb="FF0000FF"/>
      <name val="Arial CE"/>
      <family val="2"/>
      <charset val="238"/>
    </font>
    <font>
      <b/>
      <sz val="9"/>
      <color rgb="FFFF0000"/>
      <name val="Arial CE"/>
      <family val="2"/>
      <charset val="238"/>
    </font>
    <font>
      <b/>
      <sz val="12"/>
      <color rgb="FFFF000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sz val="10"/>
      <color theme="1"/>
      <name val="Arial CE"/>
      <family val="2"/>
      <charset val="238"/>
    </font>
    <font>
      <b/>
      <sz val="10"/>
      <color theme="1"/>
      <name val="Arial CE"/>
      <charset val="238"/>
    </font>
    <font>
      <sz val="9"/>
      <name val="Arial CE"/>
      <family val="2"/>
      <charset val="238"/>
    </font>
    <font>
      <sz val="7"/>
      <name val="Arial CE"/>
      <family val="2"/>
      <charset val="238"/>
    </font>
    <font>
      <sz val="7"/>
      <color theme="1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b/>
      <u/>
      <sz val="9"/>
      <color theme="1"/>
      <name val="Arial CE"/>
      <charset val="238"/>
    </font>
    <font>
      <b/>
      <u/>
      <sz val="9"/>
      <name val="Arial CE"/>
      <charset val="238"/>
    </font>
    <font>
      <b/>
      <sz val="9"/>
      <color theme="1"/>
      <name val="Arial CE"/>
      <charset val="238"/>
    </font>
    <font>
      <sz val="9"/>
      <color rgb="FFFF0000"/>
      <name val="Arial CE"/>
      <family val="2"/>
      <charset val="238"/>
    </font>
    <font>
      <sz val="11"/>
      <color rgb="FFFF0000"/>
      <name val="Arial CE"/>
      <family val="2"/>
      <charset val="238"/>
    </font>
    <font>
      <b/>
      <sz val="11"/>
      <color rgb="FFFF0000"/>
      <name val="Arial CE"/>
      <family val="2"/>
      <charset val="238"/>
    </font>
    <font>
      <sz val="10"/>
      <name val="Arial CE"/>
      <charset val="238"/>
    </font>
    <font>
      <i/>
      <sz val="9"/>
      <color rgb="FFFF0000"/>
      <name val="Arial CE"/>
      <family val="2"/>
      <charset val="238"/>
    </font>
    <font>
      <i/>
      <sz val="9"/>
      <color rgb="FF0000FF"/>
      <name val="Arial CE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CCFFCC"/>
        <bgColor indexed="64"/>
      </patternFill>
    </fill>
  </fills>
  <borders count="5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64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auto="1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auto="1"/>
      </right>
      <top style="hair">
        <color indexed="8"/>
      </top>
      <bottom style="hair">
        <color indexed="8"/>
      </bottom>
      <diagonal/>
    </border>
    <border>
      <left/>
      <right style="thin">
        <color auto="1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5">
    <xf numFmtId="0" fontId="0" fillId="0" borderId="0"/>
    <xf numFmtId="0" fontId="36" fillId="0" borderId="0" applyNumberFormat="0" applyFill="0" applyBorder="0" applyAlignment="0" applyProtection="0"/>
    <xf numFmtId="0" fontId="38" fillId="0" borderId="0" applyAlignment="0">
      <alignment vertical="top" wrapText="1"/>
      <protection locked="0"/>
    </xf>
    <xf numFmtId="0" fontId="43" fillId="0" borderId="0"/>
    <xf numFmtId="0" fontId="54" fillId="0" borderId="0" applyAlignment="0">
      <alignment vertical="top" wrapText="1"/>
      <protection locked="0"/>
    </xf>
  </cellStyleXfs>
  <cellXfs count="40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9" fillId="0" borderId="0" xfId="2" applyFont="1" applyAlignment="1" applyProtection="1">
      <alignment horizontal="left" wrapText="1"/>
    </xf>
    <xf numFmtId="0" fontId="39" fillId="0" borderId="0" xfId="2" applyFont="1" applyAlignment="1" applyProtection="1">
      <alignment horizontal="center" vertical="center"/>
    </xf>
    <xf numFmtId="167" fontId="40" fillId="0" borderId="0" xfId="2" applyNumberFormat="1" applyFont="1" applyAlignment="1" applyProtection="1">
      <alignment horizontal="right"/>
    </xf>
    <xf numFmtId="0" fontId="40" fillId="0" borderId="23" xfId="2" applyFont="1" applyBorder="1" applyAlignment="1" applyProtection="1">
      <alignment horizontal="left" wrapText="1"/>
    </xf>
    <xf numFmtId="0" fontId="40" fillId="0" borderId="23" xfId="2" applyFont="1" applyBorder="1" applyAlignment="1" applyProtection="1">
      <alignment horizontal="center" vertical="center"/>
    </xf>
    <xf numFmtId="167" fontId="40" fillId="0" borderId="23" xfId="2" applyNumberFormat="1" applyFont="1" applyBorder="1" applyAlignment="1" applyProtection="1">
      <alignment horizontal="right"/>
    </xf>
    <xf numFmtId="0" fontId="41" fillId="0" borderId="0" xfId="2" applyFont="1" applyAlignment="1" applyProtection="1">
      <alignment horizontal="left" wrapText="1"/>
    </xf>
    <xf numFmtId="0" fontId="41" fillId="0" borderId="0" xfId="2" applyFont="1" applyAlignment="1" applyProtection="1">
      <alignment horizontal="center" vertical="center"/>
    </xf>
    <xf numFmtId="167" fontId="39" fillId="0" borderId="0" xfId="2" applyNumberFormat="1" applyFont="1" applyAlignment="1" applyProtection="1">
      <alignment horizontal="right"/>
    </xf>
    <xf numFmtId="0" fontId="42" fillId="0" borderId="0" xfId="2" applyFont="1" applyAlignment="1" applyProtection="1">
      <alignment horizontal="left" wrapText="1"/>
    </xf>
    <xf numFmtId="4" fontId="21" fillId="0" borderId="22" xfId="0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Alignment="1">
      <alignment vertical="center"/>
    </xf>
    <xf numFmtId="0" fontId="0" fillId="0" borderId="3" xfId="0" applyFont="1" applyFill="1" applyBorder="1" applyAlignment="1" applyProtection="1">
      <alignment vertical="center"/>
      <protection locked="0"/>
    </xf>
    <xf numFmtId="0" fontId="21" fillId="0" borderId="22" xfId="0" applyFont="1" applyFill="1" applyBorder="1" applyAlignment="1" applyProtection="1">
      <alignment horizontal="center" vertical="center"/>
      <protection locked="0"/>
    </xf>
    <xf numFmtId="49" fontId="21" fillId="0" borderId="22" xfId="0" applyNumberFormat="1" applyFont="1" applyFill="1" applyBorder="1" applyAlignment="1" applyProtection="1">
      <alignment horizontal="left" vertical="center" wrapText="1"/>
      <protection locked="0"/>
    </xf>
    <xf numFmtId="0" fontId="42" fillId="0" borderId="0" xfId="2" applyFont="1" applyFill="1" applyAlignment="1" applyProtection="1">
      <alignment horizontal="left" wrapText="1"/>
    </xf>
    <xf numFmtId="0" fontId="39" fillId="0" borderId="0" xfId="2" applyFont="1" applyFill="1" applyAlignment="1" applyProtection="1">
      <alignment horizontal="center" vertical="center"/>
    </xf>
    <xf numFmtId="167" fontId="39" fillId="0" borderId="0" xfId="2" applyNumberFormat="1" applyFont="1" applyFill="1" applyAlignment="1" applyProtection="1">
      <alignment horizontal="right"/>
    </xf>
    <xf numFmtId="0" fontId="0" fillId="0" borderId="22" xfId="0" applyFont="1" applyFill="1" applyBorder="1" applyAlignment="1" applyProtection="1">
      <alignment vertical="center"/>
      <protection locked="0"/>
    </xf>
    <xf numFmtId="0" fontId="0" fillId="0" borderId="3" xfId="0" applyFont="1" applyFill="1" applyBorder="1" applyAlignment="1">
      <alignment vertical="center"/>
    </xf>
    <xf numFmtId="0" fontId="22" fillId="0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66" fontId="22" fillId="0" borderId="0" xfId="0" applyNumberFormat="1" applyFont="1" applyFill="1" applyBorder="1" applyAlignment="1">
      <alignment vertical="center"/>
    </xf>
    <xf numFmtId="166" fontId="22" fillId="0" borderId="15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1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4" fontId="0" fillId="0" borderId="0" xfId="0" applyNumberFormat="1" applyFont="1" applyFill="1" applyAlignment="1">
      <alignment vertical="center"/>
    </xf>
    <xf numFmtId="0" fontId="39" fillId="0" borderId="0" xfId="2" applyFont="1" applyFill="1" applyAlignment="1" applyProtection="1">
      <alignment horizontal="left" wrapText="1"/>
    </xf>
    <xf numFmtId="167" fontId="40" fillId="0" borderId="0" xfId="2" applyNumberFormat="1" applyFont="1" applyFill="1" applyAlignment="1" applyProtection="1">
      <alignment horizontal="right"/>
    </xf>
    <xf numFmtId="0" fontId="40" fillId="0" borderId="23" xfId="2" applyFont="1" applyFill="1" applyBorder="1" applyAlignment="1" applyProtection="1">
      <alignment horizontal="left" wrapText="1"/>
    </xf>
    <xf numFmtId="0" fontId="40" fillId="0" borderId="23" xfId="2" applyFont="1" applyFill="1" applyBorder="1" applyAlignment="1" applyProtection="1">
      <alignment horizontal="center" vertical="center"/>
    </xf>
    <xf numFmtId="167" fontId="40" fillId="0" borderId="23" xfId="2" applyNumberFormat="1" applyFont="1" applyFill="1" applyBorder="1" applyAlignment="1" applyProtection="1">
      <alignment horizontal="right"/>
    </xf>
    <xf numFmtId="0" fontId="39" fillId="0" borderId="0" xfId="3" applyFont="1"/>
    <xf numFmtId="0" fontId="37" fillId="0" borderId="0" xfId="3" applyFont="1" applyAlignment="1">
      <alignment horizontal="center" vertical="center"/>
    </xf>
    <xf numFmtId="0" fontId="44" fillId="0" borderId="0" xfId="2" applyFont="1" applyAlignment="1" applyProtection="1">
      <alignment horizontal="left" wrapText="1"/>
    </xf>
    <xf numFmtId="0" fontId="0" fillId="0" borderId="0" xfId="0" applyFont="1" applyAlignment="1">
      <alignment vertical="center"/>
    </xf>
    <xf numFmtId="0" fontId="40" fillId="0" borderId="0" xfId="2" applyFont="1" applyFill="1" applyAlignment="1" applyProtection="1">
      <alignment horizontal="center" vertical="center"/>
    </xf>
    <xf numFmtId="0" fontId="21" fillId="0" borderId="22" xfId="0" applyFont="1" applyFill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Fill="1" applyBorder="1" applyAlignment="1" applyProtection="1">
      <alignment vertical="center"/>
      <protection locked="0"/>
    </xf>
    <xf numFmtId="0" fontId="39" fillId="0" borderId="0" xfId="2" applyFont="1" applyAlignment="1" applyProtection="1">
      <alignment horizontal="left"/>
    </xf>
    <xf numFmtId="0" fontId="40" fillId="0" borderId="0" xfId="2" applyFont="1" applyAlignment="1" applyProtection="1">
      <alignment horizontal="center" vertical="center"/>
    </xf>
    <xf numFmtId="0" fontId="39" fillId="0" borderId="0" xfId="3" applyFont="1" applyFill="1" applyAlignment="1">
      <alignment wrapText="1"/>
    </xf>
    <xf numFmtId="0" fontId="37" fillId="0" borderId="0" xfId="3" applyFont="1" applyFill="1" applyAlignment="1">
      <alignment horizontal="center" vertical="center"/>
    </xf>
    <xf numFmtId="0" fontId="39" fillId="0" borderId="0" xfId="3" applyFont="1" applyFill="1"/>
    <xf numFmtId="0" fontId="41" fillId="0" borderId="0" xfId="2" applyFont="1" applyFill="1" applyAlignment="1" applyProtection="1">
      <alignment horizontal="left" wrapText="1"/>
    </xf>
    <xf numFmtId="0" fontId="41" fillId="0" borderId="0" xfId="2" applyFont="1" applyFill="1" applyAlignment="1" applyProtection="1">
      <alignment horizontal="center" vertical="center"/>
    </xf>
    <xf numFmtId="167" fontId="41" fillId="0" borderId="0" xfId="2" applyNumberFormat="1" applyFont="1" applyFill="1" applyAlignment="1" applyProtection="1">
      <alignment horizontal="right"/>
    </xf>
    <xf numFmtId="0" fontId="45" fillId="0" borderId="23" xfId="2" applyFont="1" applyBorder="1" applyAlignment="1" applyProtection="1">
      <alignment horizontal="left" wrapText="1"/>
    </xf>
    <xf numFmtId="0" fontId="45" fillId="0" borderId="23" xfId="2" applyFont="1" applyBorder="1" applyAlignment="1" applyProtection="1">
      <alignment horizontal="center" vertical="center"/>
    </xf>
    <xf numFmtId="0" fontId="34" fillId="0" borderId="22" xfId="0" applyFont="1" applyFill="1" applyBorder="1" applyAlignment="1" applyProtection="1">
      <alignment horizontal="center" vertical="center"/>
      <protection locked="0"/>
    </xf>
    <xf numFmtId="49" fontId="34" fillId="0" borderId="22" xfId="0" applyNumberFormat="1" applyFont="1" applyFill="1" applyBorder="1" applyAlignment="1" applyProtection="1">
      <alignment horizontal="left" vertical="center" wrapText="1"/>
      <protection locked="0"/>
    </xf>
    <xf numFmtId="4" fontId="34" fillId="0" borderId="22" xfId="0" applyNumberFormat="1" applyFont="1" applyFill="1" applyBorder="1" applyAlignment="1" applyProtection="1">
      <alignment vertical="center"/>
      <protection locked="0"/>
    </xf>
    <xf numFmtId="0" fontId="35" fillId="0" borderId="22" xfId="0" applyFont="1" applyFill="1" applyBorder="1" applyAlignment="1" applyProtection="1">
      <alignment vertical="center"/>
      <protection locked="0"/>
    </xf>
    <xf numFmtId="0" fontId="35" fillId="0" borderId="3" xfId="0" applyFont="1" applyFill="1" applyBorder="1" applyAlignment="1">
      <alignment vertical="center"/>
    </xf>
    <xf numFmtId="0" fontId="34" fillId="0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Fill="1" applyBorder="1" applyAlignment="1">
      <alignment horizontal="center" vertical="center"/>
    </xf>
    <xf numFmtId="0" fontId="46" fillId="0" borderId="0" xfId="2" applyFont="1" applyFill="1" applyAlignment="1" applyProtection="1">
      <alignment horizontal="left" wrapText="1"/>
    </xf>
    <xf numFmtId="0" fontId="45" fillId="0" borderId="23" xfId="2" applyFont="1" applyFill="1" applyBorder="1" applyAlignment="1" applyProtection="1">
      <alignment horizontal="left" wrapText="1"/>
    </xf>
    <xf numFmtId="0" fontId="45" fillId="0" borderId="23" xfId="2" applyFont="1" applyFill="1" applyBorder="1" applyAlignment="1" applyProtection="1">
      <alignment horizontal="center" vertical="center"/>
    </xf>
    <xf numFmtId="167" fontId="41" fillId="0" borderId="0" xfId="2" applyNumberFormat="1" applyFont="1" applyAlignment="1" applyProtection="1">
      <alignment horizontal="right"/>
    </xf>
    <xf numFmtId="0" fontId="0" fillId="0" borderId="0" xfId="0" applyFont="1" applyAlignment="1">
      <alignment vertical="center"/>
    </xf>
    <xf numFmtId="0" fontId="39" fillId="0" borderId="0" xfId="2" applyFont="1" applyFill="1" applyAlignment="1" applyProtection="1">
      <alignment horizontal="left"/>
    </xf>
    <xf numFmtId="0" fontId="46" fillId="0" borderId="23" xfId="2" applyFont="1" applyFill="1" applyBorder="1" applyAlignment="1" applyProtection="1">
      <alignment horizontal="left" wrapText="1"/>
    </xf>
    <xf numFmtId="0" fontId="46" fillId="0" borderId="23" xfId="2" applyFont="1" applyFill="1" applyBorder="1" applyAlignment="1" applyProtection="1">
      <alignment horizontal="center" vertical="center"/>
    </xf>
    <xf numFmtId="167" fontId="46" fillId="0" borderId="23" xfId="2" applyNumberFormat="1" applyFont="1" applyFill="1" applyBorder="1" applyAlignment="1" applyProtection="1">
      <alignment horizontal="right"/>
    </xf>
    <xf numFmtId="0" fontId="47" fillId="0" borderId="0" xfId="3" applyFont="1"/>
    <xf numFmtId="0" fontId="48" fillId="0" borderId="0" xfId="3" applyFont="1" applyAlignment="1">
      <alignment horizontal="left" vertical="center"/>
    </xf>
    <xf numFmtId="0" fontId="50" fillId="0" borderId="0" xfId="3" applyFont="1" applyAlignment="1">
      <alignment vertical="center"/>
    </xf>
    <xf numFmtId="0" fontId="50" fillId="0" borderId="0" xfId="3" applyFont="1" applyAlignment="1">
      <alignment horizontal="center" vertical="center"/>
    </xf>
    <xf numFmtId="0" fontId="50" fillId="6" borderId="0" xfId="3" applyFont="1" applyFill="1" applyAlignment="1">
      <alignment horizontal="center" vertical="center"/>
    </xf>
    <xf numFmtId="0" fontId="51" fillId="0" borderId="0" xfId="3" applyFont="1" applyAlignment="1">
      <alignment horizontal="center" vertical="center"/>
    </xf>
    <xf numFmtId="0" fontId="52" fillId="0" borderId="0" xfId="3" applyFont="1" applyAlignment="1">
      <alignment horizontal="center" vertical="center"/>
    </xf>
    <xf numFmtId="0" fontId="53" fillId="0" borderId="0" xfId="3" applyFont="1" applyAlignment="1">
      <alignment horizontal="right" vertical="center"/>
    </xf>
    <xf numFmtId="0" fontId="55" fillId="0" borderId="0" xfId="4" applyFont="1" applyAlignment="1" applyProtection="1">
      <alignment horizontal="left" vertical="center"/>
    </xf>
    <xf numFmtId="0" fontId="53" fillId="0" borderId="0" xfId="3" applyFont="1" applyAlignment="1">
      <alignment horizontal="center" vertical="center"/>
    </xf>
    <xf numFmtId="0" fontId="56" fillId="0" borderId="0" xfId="3" applyFont="1" applyAlignment="1">
      <alignment horizontal="left" vertical="center"/>
    </xf>
    <xf numFmtId="0" fontId="58" fillId="7" borderId="0" xfId="3" applyFont="1" applyFill="1" applyAlignment="1">
      <alignment horizontal="center" vertical="center" wrapText="1"/>
    </xf>
    <xf numFmtId="0" fontId="50" fillId="7" borderId="0" xfId="3" applyFont="1" applyFill="1" applyAlignment="1">
      <alignment horizontal="center" vertical="center"/>
    </xf>
    <xf numFmtId="0" fontId="58" fillId="7" borderId="0" xfId="3" applyFont="1" applyFill="1" applyAlignment="1">
      <alignment horizontal="center" vertical="center"/>
    </xf>
    <xf numFmtId="0" fontId="59" fillId="7" borderId="0" xfId="3" applyFont="1" applyFill="1" applyAlignment="1">
      <alignment horizontal="center" vertical="center" wrapText="1"/>
    </xf>
    <xf numFmtId="0" fontId="60" fillId="7" borderId="0" xfId="3" applyFont="1" applyFill="1" applyAlignment="1">
      <alignment horizontal="center" vertical="center" wrapText="1"/>
    </xf>
    <xf numFmtId="0" fontId="50" fillId="0" borderId="0" xfId="3" applyFont="1" applyAlignment="1">
      <alignment horizontal="left" vertical="center"/>
    </xf>
    <xf numFmtId="0" fontId="57" fillId="0" borderId="24" xfId="3" applyFont="1" applyBorder="1" applyAlignment="1">
      <alignment horizontal="center" vertical="center" wrapText="1"/>
    </xf>
    <xf numFmtId="0" fontId="55" fillId="0" borderId="25" xfId="3" applyFont="1" applyBorder="1" applyAlignment="1">
      <alignment horizontal="center" vertical="center" wrapText="1"/>
    </xf>
    <xf numFmtId="0" fontId="61" fillId="0" borderId="25" xfId="3" applyFont="1" applyBorder="1" applyAlignment="1">
      <alignment horizontal="center" vertical="center" wrapText="1"/>
    </xf>
    <xf numFmtId="0" fontId="61" fillId="0" borderId="26" xfId="3" applyFont="1" applyBorder="1" applyAlignment="1">
      <alignment horizontal="center" vertical="center" wrapText="1"/>
    </xf>
    <xf numFmtId="0" fontId="58" fillId="0" borderId="29" xfId="3" applyFont="1" applyBorder="1" applyAlignment="1">
      <alignment horizontal="center" vertical="center" wrapText="1"/>
    </xf>
    <xf numFmtId="0" fontId="50" fillId="0" borderId="0" xfId="3" applyFont="1" applyAlignment="1">
      <alignment horizontal="center" vertical="center" wrapText="1"/>
    </xf>
    <xf numFmtId="0" fontId="37" fillId="0" borderId="30" xfId="3" applyFont="1" applyBorder="1" applyAlignment="1">
      <alignment horizontal="center" vertical="center" wrapText="1"/>
    </xf>
    <xf numFmtId="0" fontId="63" fillId="0" borderId="30" xfId="3" applyFont="1" applyBorder="1" applyAlignment="1">
      <alignment horizontal="center" vertical="center" wrapText="1"/>
    </xf>
    <xf numFmtId="0" fontId="58" fillId="0" borderId="0" xfId="3" applyFont="1" applyAlignment="1">
      <alignment horizontal="center" vertical="center" wrapText="1"/>
    </xf>
    <xf numFmtId="0" fontId="52" fillId="8" borderId="31" xfId="3" applyFont="1" applyFill="1" applyBorder="1" applyAlignment="1">
      <alignment horizontal="left" vertical="center"/>
    </xf>
    <xf numFmtId="0" fontId="64" fillId="8" borderId="31" xfId="3" applyFont="1" applyFill="1" applyBorder="1" applyAlignment="1">
      <alignment horizontal="left" vertical="center"/>
    </xf>
    <xf numFmtId="4" fontId="64" fillId="8" borderId="32" xfId="3" applyNumberFormat="1" applyFont="1" applyFill="1" applyBorder="1" applyAlignment="1">
      <alignment horizontal="center" vertical="center"/>
    </xf>
    <xf numFmtId="0" fontId="64" fillId="8" borderId="31" xfId="3" applyFont="1" applyFill="1" applyBorder="1" applyAlignment="1">
      <alignment horizontal="center" vertical="center"/>
    </xf>
    <xf numFmtId="4" fontId="64" fillId="8" borderId="31" xfId="3" applyNumberFormat="1" applyFont="1" applyFill="1" applyBorder="1" applyAlignment="1">
      <alignment horizontal="center" vertical="center"/>
    </xf>
    <xf numFmtId="168" fontId="64" fillId="8" borderId="33" xfId="3" applyNumberFormat="1" applyFont="1" applyFill="1" applyBorder="1" applyAlignment="1">
      <alignment horizontal="center" vertical="center"/>
    </xf>
    <xf numFmtId="0" fontId="58" fillId="8" borderId="0" xfId="3" applyFont="1" applyFill="1" applyAlignment="1">
      <alignment horizontal="center" vertical="center" wrapText="1"/>
    </xf>
    <xf numFmtId="49" fontId="50" fillId="8" borderId="34" xfId="3" applyNumberFormat="1" applyFont="1" applyFill="1" applyBorder="1" applyAlignment="1">
      <alignment horizontal="center" vertical="center"/>
    </xf>
    <xf numFmtId="0" fontId="58" fillId="0" borderId="34" xfId="3" applyFont="1" applyBorder="1" applyAlignment="1">
      <alignment vertical="center"/>
    </xf>
    <xf numFmtId="4" fontId="58" fillId="0" borderId="34" xfId="3" applyNumberFormat="1" applyFont="1" applyBorder="1" applyAlignment="1">
      <alignment horizontal="center" vertical="center"/>
    </xf>
    <xf numFmtId="167" fontId="58" fillId="0" borderId="34" xfId="3" applyNumberFormat="1" applyFont="1" applyBorder="1" applyAlignment="1">
      <alignment horizontal="center" vertical="center"/>
    </xf>
    <xf numFmtId="0" fontId="58" fillId="0" borderId="35" xfId="3" applyFont="1" applyBorder="1" applyAlignment="1">
      <alignment horizontal="center" vertical="center" wrapText="1"/>
    </xf>
    <xf numFmtId="0" fontId="58" fillId="0" borderId="36" xfId="3" applyFont="1" applyBorder="1" applyAlignment="1">
      <alignment horizontal="center" vertical="center" wrapText="1"/>
    </xf>
    <xf numFmtId="4" fontId="58" fillId="0" borderId="37" xfId="3" applyNumberFormat="1" applyFont="1" applyBorder="1" applyAlignment="1">
      <alignment horizontal="center" vertical="center" wrapText="1"/>
    </xf>
    <xf numFmtId="4" fontId="58" fillId="0" borderId="38" xfId="3" applyNumberFormat="1" applyFont="1" applyBorder="1" applyAlignment="1">
      <alignment horizontal="center" vertical="center" wrapText="1"/>
    </xf>
    <xf numFmtId="4" fontId="58" fillId="0" borderId="39" xfId="3" applyNumberFormat="1" applyFont="1" applyBorder="1" applyAlignment="1">
      <alignment horizontal="center" vertical="center" wrapText="1"/>
    </xf>
    <xf numFmtId="0" fontId="50" fillId="0" borderId="40" xfId="3" applyFont="1" applyBorder="1" applyAlignment="1">
      <alignment horizontal="center" vertical="center" wrapText="1"/>
    </xf>
    <xf numFmtId="0" fontId="50" fillId="0" borderId="41" xfId="3" applyFont="1" applyBorder="1" applyAlignment="1">
      <alignment horizontal="center" vertical="center" wrapText="1"/>
    </xf>
    <xf numFmtId="4" fontId="58" fillId="0" borderId="42" xfId="3" applyNumberFormat="1" applyFont="1" applyBorder="1" applyAlignment="1">
      <alignment horizontal="center" vertical="center" wrapText="1"/>
    </xf>
    <xf numFmtId="4" fontId="58" fillId="0" borderId="43" xfId="3" applyNumberFormat="1" applyFont="1" applyBorder="1" applyAlignment="1">
      <alignment horizontal="center" vertical="center" wrapText="1"/>
    </xf>
    <xf numFmtId="4" fontId="58" fillId="0" borderId="44" xfId="3" applyNumberFormat="1" applyFont="1" applyBorder="1" applyAlignment="1">
      <alignment horizontal="center" vertical="center" wrapText="1"/>
    </xf>
    <xf numFmtId="0" fontId="50" fillId="0" borderId="45" xfId="3" applyFont="1" applyBorder="1" applyAlignment="1">
      <alignment horizontal="center" vertical="center" wrapText="1"/>
    </xf>
    <xf numFmtId="4" fontId="50" fillId="0" borderId="46" xfId="3" applyNumberFormat="1" applyFont="1" applyBorder="1" applyAlignment="1">
      <alignment horizontal="center" vertical="center"/>
    </xf>
    <xf numFmtId="4" fontId="50" fillId="0" borderId="47" xfId="3" applyNumberFormat="1" applyFont="1" applyBorder="1" applyAlignment="1">
      <alignment horizontal="center" vertical="center"/>
    </xf>
    <xf numFmtId="4" fontId="50" fillId="0" borderId="48" xfId="3" applyNumberFormat="1" applyFont="1" applyBorder="1" applyAlignment="1">
      <alignment horizontal="center" vertical="center"/>
    </xf>
    <xf numFmtId="0" fontId="50" fillId="0" borderId="34" xfId="3" applyFont="1" applyBorder="1" applyAlignment="1">
      <alignment horizontal="center" vertical="center" wrapText="1"/>
    </xf>
    <xf numFmtId="0" fontId="58" fillId="0" borderId="49" xfId="3" applyFont="1" applyBorder="1" applyAlignment="1">
      <alignment horizontal="center" vertical="center" wrapText="1"/>
    </xf>
    <xf numFmtId="0" fontId="58" fillId="0" borderId="50" xfId="3" applyFont="1" applyBorder="1" applyAlignment="1">
      <alignment horizontal="center" vertical="center" wrapText="1"/>
    </xf>
    <xf numFmtId="4" fontId="58" fillId="0" borderId="51" xfId="3" applyNumberFormat="1" applyFont="1" applyBorder="1" applyAlignment="1">
      <alignment horizontal="center" vertical="center" wrapText="1"/>
    </xf>
    <xf numFmtId="4" fontId="58" fillId="0" borderId="52" xfId="3" applyNumberFormat="1" applyFont="1" applyBorder="1" applyAlignment="1">
      <alignment horizontal="center" vertical="center" wrapText="1"/>
    </xf>
    <xf numFmtId="4" fontId="58" fillId="0" borderId="53" xfId="3" applyNumberFormat="1" applyFont="1" applyBorder="1" applyAlignment="1">
      <alignment horizontal="center" vertical="center" wrapText="1"/>
    </xf>
    <xf numFmtId="4" fontId="58" fillId="0" borderId="48" xfId="3" applyNumberFormat="1" applyFont="1" applyBorder="1" applyAlignment="1">
      <alignment horizontal="center" vertical="center" wrapText="1"/>
    </xf>
    <xf numFmtId="4" fontId="50" fillId="0" borderId="44" xfId="3" applyNumberFormat="1" applyFont="1" applyBorder="1" applyAlignment="1">
      <alignment horizontal="center" vertical="center" wrapText="1"/>
    </xf>
    <xf numFmtId="4" fontId="50" fillId="0" borderId="54" xfId="3" applyNumberFormat="1" applyFont="1" applyBorder="1" applyAlignment="1">
      <alignment horizontal="center" vertical="center"/>
    </xf>
    <xf numFmtId="0" fontId="50" fillId="0" borderId="46" xfId="3" applyFont="1" applyBorder="1" applyAlignment="1">
      <alignment horizontal="center" vertical="center" wrapText="1"/>
    </xf>
    <xf numFmtId="0" fontId="58" fillId="0" borderId="34" xfId="3" applyFont="1" applyBorder="1" applyAlignment="1">
      <alignment vertical="center" wrapText="1"/>
    </xf>
    <xf numFmtId="0" fontId="64" fillId="9" borderId="31" xfId="3" applyFont="1" applyFill="1" applyBorder="1" applyAlignment="1">
      <alignment horizontal="left" vertical="center"/>
    </xf>
    <xf numFmtId="4" fontId="64" fillId="9" borderId="55" xfId="3" applyNumberFormat="1" applyFont="1" applyFill="1" applyBorder="1" applyAlignment="1">
      <alignment horizontal="center" vertical="center"/>
    </xf>
    <xf numFmtId="0" fontId="64" fillId="9" borderId="31" xfId="3" applyFont="1" applyFill="1" applyBorder="1" applyAlignment="1">
      <alignment horizontal="center" vertical="center"/>
    </xf>
    <xf numFmtId="4" fontId="64" fillId="9" borderId="31" xfId="3" applyNumberFormat="1" applyFont="1" applyFill="1" applyBorder="1" applyAlignment="1">
      <alignment horizontal="center" vertical="center"/>
    </xf>
    <xf numFmtId="168" fontId="64" fillId="9" borderId="33" xfId="3" applyNumberFormat="1" applyFont="1" applyFill="1" applyBorder="1" applyAlignment="1">
      <alignment horizontal="center" vertical="center"/>
    </xf>
    <xf numFmtId="4" fontId="50" fillId="0" borderId="0" xfId="3" applyNumberFormat="1" applyFont="1" applyAlignment="1">
      <alignment vertical="center"/>
    </xf>
    <xf numFmtId="4" fontId="50" fillId="0" borderId="0" xfId="3" applyNumberFormat="1" applyFont="1" applyAlignment="1">
      <alignment horizontal="center" vertical="center"/>
    </xf>
    <xf numFmtId="4" fontId="67" fillId="7" borderId="0" xfId="3" applyNumberFormat="1" applyFont="1" applyFill="1" applyAlignment="1">
      <alignment horizontal="center" vertical="center"/>
    </xf>
    <xf numFmtId="4" fontId="50" fillId="7" borderId="0" xfId="3" applyNumberFormat="1" applyFont="1" applyFill="1" applyAlignment="1">
      <alignment horizontal="center" vertical="center"/>
    </xf>
    <xf numFmtId="0" fontId="67" fillId="0" borderId="0" xfId="3" applyFont="1" applyAlignment="1">
      <alignment horizontal="center" vertical="center"/>
    </xf>
    <xf numFmtId="0" fontId="67" fillId="0" borderId="0" xfId="3" applyFont="1" applyAlignment="1">
      <alignment vertical="center"/>
    </xf>
    <xf numFmtId="4" fontId="67" fillId="0" borderId="0" xfId="3" applyNumberFormat="1" applyFont="1" applyAlignment="1">
      <alignment vertical="center"/>
    </xf>
    <xf numFmtId="0" fontId="68" fillId="0" borderId="0" xfId="3" applyFont="1" applyAlignment="1">
      <alignment vertical="center"/>
    </xf>
    <xf numFmtId="0" fontId="69" fillId="0" borderId="0" xfId="3" applyFont="1" applyAlignment="1">
      <alignment horizontal="left" vertical="center"/>
    </xf>
    <xf numFmtId="14" fontId="2" fillId="3" borderId="0" xfId="0" applyNumberFormat="1" applyFont="1" applyFill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1" fillId="0" borderId="0" xfId="0" applyFont="1"/>
    <xf numFmtId="0" fontId="73" fillId="0" borderId="22" xfId="0" applyFont="1" applyBorder="1" applyAlignment="1" applyProtection="1">
      <alignment horizontal="left" vertical="center" wrapText="1"/>
      <protection locked="0"/>
    </xf>
    <xf numFmtId="0" fontId="58" fillId="0" borderId="22" xfId="0" applyFont="1" applyBorder="1" applyAlignment="1" applyProtection="1">
      <alignment horizontal="left" vertical="center" wrapText="1"/>
      <protection locked="0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21" fillId="5" borderId="7" xfId="0" applyFont="1" applyFill="1" applyBorder="1" applyAlignment="1">
      <alignment horizontal="right" vertical="center"/>
    </xf>
    <xf numFmtId="0" fontId="21" fillId="5" borderId="7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1" fillId="5" borderId="6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62" fillId="0" borderId="27" xfId="3" applyFont="1" applyBorder="1" applyAlignment="1">
      <alignment horizontal="center" vertical="center" wrapText="1"/>
    </xf>
    <xf numFmtId="0" fontId="62" fillId="0" borderId="28" xfId="3" applyFont="1" applyBorder="1" applyAlignment="1">
      <alignment horizontal="center" vertical="center" wrapText="1"/>
    </xf>
    <xf numFmtId="0" fontId="62" fillId="0" borderId="27" xfId="3" applyFont="1" applyBorder="1" applyAlignment="1">
      <alignment horizontal="center" vertical="center"/>
    </xf>
    <xf numFmtId="0" fontId="62" fillId="0" borderId="28" xfId="3" applyFont="1" applyBorder="1" applyAlignment="1">
      <alignment horizontal="center" vertical="center"/>
    </xf>
    <xf numFmtId="0" fontId="62" fillId="0" borderId="29" xfId="3" applyFont="1" applyBorder="1" applyAlignment="1">
      <alignment horizontal="center" vertical="center"/>
    </xf>
    <xf numFmtId="0" fontId="62" fillId="0" borderId="29" xfId="3" applyFont="1" applyBorder="1" applyAlignment="1">
      <alignment horizontal="center" vertical="center" wrapText="1"/>
    </xf>
    <xf numFmtId="4" fontId="65" fillId="7" borderId="56" xfId="3" applyNumberFormat="1" applyFont="1" applyFill="1" applyBorder="1" applyAlignment="1">
      <alignment horizontal="center" vertical="center"/>
    </xf>
    <xf numFmtId="4" fontId="65" fillId="7" borderId="57" xfId="3" applyNumberFormat="1" applyFont="1" applyFill="1" applyBorder="1" applyAlignment="1">
      <alignment horizontal="center" vertical="center"/>
    </xf>
    <xf numFmtId="4" fontId="65" fillId="7" borderId="58" xfId="3" applyNumberFormat="1" applyFont="1" applyFill="1" applyBorder="1" applyAlignment="1">
      <alignment horizontal="center" vertical="center"/>
    </xf>
    <xf numFmtId="0" fontId="66" fillId="7" borderId="56" xfId="3" applyFont="1" applyFill="1" applyBorder="1" applyAlignment="1">
      <alignment horizontal="center" vertical="center" wrapText="1"/>
    </xf>
    <xf numFmtId="0" fontId="66" fillId="7" borderId="58" xfId="3" applyFont="1" applyFill="1" applyBorder="1" applyAlignment="1">
      <alignment horizontal="center" vertical="center" wrapText="1"/>
    </xf>
  </cellXfs>
  <cellStyles count="5">
    <cellStyle name="Hypertextové prepojenie" xfId="1" builtinId="8"/>
    <cellStyle name="Normálna" xfId="0" builtinId="0" customBuiltin="1"/>
    <cellStyle name="Normálna 3" xfId="2"/>
    <cellStyle name="Normálne 2 2 2" xfId="4"/>
    <cellStyle name="Normálne 2 4" xfId="3"/>
  </cellStyles>
  <dxfs count="1">
    <dxf>
      <fill>
        <patternFill>
          <bgColor rgb="FFCCFF99"/>
        </patternFill>
      </fill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13"/>
  <sheetViews>
    <sheetView showGridLines="0" tabSelected="1" workbookViewId="0">
      <selection activeCell="AR39" sqref="AR39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350" t="s">
        <v>5</v>
      </c>
      <c r="AS2" s="351"/>
      <c r="AT2" s="351"/>
      <c r="AU2" s="351"/>
      <c r="AV2" s="351"/>
      <c r="AW2" s="351"/>
      <c r="AX2" s="351"/>
      <c r="AY2" s="351"/>
      <c r="AZ2" s="351"/>
      <c r="BA2" s="351"/>
      <c r="BB2" s="351"/>
      <c r="BC2" s="351"/>
      <c r="BD2" s="351"/>
      <c r="BE2" s="351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11</v>
      </c>
    </row>
    <row r="5" spans="1:74" s="1" customFormat="1" ht="12" customHeight="1">
      <c r="B5" s="17"/>
      <c r="D5" s="21" t="s">
        <v>12</v>
      </c>
      <c r="K5" s="374">
        <v>45981</v>
      </c>
      <c r="L5" s="351"/>
      <c r="M5" s="351"/>
      <c r="N5" s="351"/>
      <c r="O5" s="351"/>
      <c r="P5" s="351"/>
      <c r="Q5" s="351"/>
      <c r="R5" s="351"/>
      <c r="S5" s="351"/>
      <c r="T5" s="351"/>
      <c r="U5" s="351"/>
      <c r="V5" s="351"/>
      <c r="W5" s="351"/>
      <c r="X5" s="351"/>
      <c r="Y5" s="351"/>
      <c r="Z5" s="351"/>
      <c r="AA5" s="351"/>
      <c r="AB5" s="351"/>
      <c r="AC5" s="351"/>
      <c r="AD5" s="351"/>
      <c r="AE5" s="351"/>
      <c r="AF5" s="351"/>
      <c r="AG5" s="351"/>
      <c r="AH5" s="351"/>
      <c r="AI5" s="351"/>
      <c r="AJ5" s="351"/>
      <c r="AK5" s="351"/>
      <c r="AL5" s="351"/>
      <c r="AM5" s="351"/>
      <c r="AN5" s="351"/>
      <c r="AO5" s="351"/>
      <c r="AR5" s="17"/>
      <c r="BE5" s="371" t="s">
        <v>13</v>
      </c>
      <c r="BS5" s="14" t="s">
        <v>6</v>
      </c>
    </row>
    <row r="6" spans="1:74" s="1" customFormat="1" ht="36.950000000000003" customHeight="1">
      <c r="B6" s="17"/>
      <c r="D6" s="23" t="s">
        <v>14</v>
      </c>
      <c r="K6" s="375" t="s">
        <v>3387</v>
      </c>
      <c r="L6" s="351"/>
      <c r="M6" s="351"/>
      <c r="N6" s="351"/>
      <c r="O6" s="351"/>
      <c r="P6" s="351"/>
      <c r="Q6" s="351"/>
      <c r="R6" s="351"/>
      <c r="S6" s="351"/>
      <c r="T6" s="351"/>
      <c r="U6" s="351"/>
      <c r="V6" s="351"/>
      <c r="W6" s="351"/>
      <c r="X6" s="351"/>
      <c r="Y6" s="351"/>
      <c r="Z6" s="351"/>
      <c r="AA6" s="351"/>
      <c r="AB6" s="351"/>
      <c r="AC6" s="351"/>
      <c r="AD6" s="351"/>
      <c r="AE6" s="351"/>
      <c r="AF6" s="351"/>
      <c r="AG6" s="351"/>
      <c r="AH6" s="351"/>
      <c r="AI6" s="351"/>
      <c r="AJ6" s="351"/>
      <c r="AK6" s="351"/>
      <c r="AL6" s="351"/>
      <c r="AM6" s="351"/>
      <c r="AN6" s="351"/>
      <c r="AO6" s="351"/>
      <c r="AR6" s="17"/>
      <c r="BE6" s="372"/>
      <c r="BS6" s="14" t="s">
        <v>6</v>
      </c>
    </row>
    <row r="7" spans="1:74" s="1" customFormat="1" ht="12" customHeight="1">
      <c r="B7" s="17"/>
      <c r="D7" s="24" t="s">
        <v>15</v>
      </c>
      <c r="K7" s="22" t="s">
        <v>1</v>
      </c>
      <c r="AK7" s="24" t="s">
        <v>16</v>
      </c>
      <c r="AN7" s="22" t="s">
        <v>1</v>
      </c>
      <c r="AR7" s="17"/>
      <c r="BE7" s="372"/>
      <c r="BS7" s="14" t="s">
        <v>6</v>
      </c>
    </row>
    <row r="8" spans="1:74" s="1" customFormat="1" ht="12" customHeight="1">
      <c r="B8" s="17"/>
      <c r="D8" s="24" t="s">
        <v>17</v>
      </c>
      <c r="K8" s="22" t="s">
        <v>18</v>
      </c>
      <c r="AK8" s="24" t="s">
        <v>19</v>
      </c>
      <c r="AN8" s="327">
        <v>45945</v>
      </c>
      <c r="AR8" s="17"/>
      <c r="BE8" s="372"/>
      <c r="BS8" s="14" t="s">
        <v>6</v>
      </c>
    </row>
    <row r="9" spans="1:74" s="1" customFormat="1" ht="14.45" customHeight="1">
      <c r="B9" s="17"/>
      <c r="AR9" s="17"/>
      <c r="BE9" s="372"/>
      <c r="BS9" s="14" t="s">
        <v>6</v>
      </c>
    </row>
    <row r="10" spans="1:74" s="1" customFormat="1" ht="12" customHeight="1">
      <c r="B10" s="17"/>
      <c r="D10" s="24" t="s">
        <v>20</v>
      </c>
      <c r="J10" s="337" t="s">
        <v>3402</v>
      </c>
      <c r="AK10" s="24" t="s">
        <v>21</v>
      </c>
      <c r="AN10" s="22" t="s">
        <v>1</v>
      </c>
      <c r="AR10" s="17"/>
      <c r="BE10" s="372"/>
      <c r="BS10" s="14" t="s">
        <v>6</v>
      </c>
    </row>
    <row r="11" spans="1:74" s="1" customFormat="1" ht="18.399999999999999" customHeight="1">
      <c r="B11" s="17"/>
      <c r="E11" s="22" t="s">
        <v>18</v>
      </c>
      <c r="AK11" s="24" t="s">
        <v>22</v>
      </c>
      <c r="AN11" s="22" t="s">
        <v>1</v>
      </c>
      <c r="AR11" s="17"/>
      <c r="BE11" s="372"/>
      <c r="BS11" s="14" t="s">
        <v>6</v>
      </c>
    </row>
    <row r="12" spans="1:74" s="1" customFormat="1" ht="6.95" customHeight="1">
      <c r="B12" s="17"/>
      <c r="AR12" s="17"/>
      <c r="BE12" s="372"/>
      <c r="BS12" s="14" t="s">
        <v>6</v>
      </c>
    </row>
    <row r="13" spans="1:74" s="1" customFormat="1" ht="12" customHeight="1">
      <c r="B13" s="17"/>
      <c r="D13" s="24" t="s">
        <v>23</v>
      </c>
      <c r="AK13" s="24" t="s">
        <v>21</v>
      </c>
      <c r="AN13" s="26" t="s">
        <v>24</v>
      </c>
      <c r="AR13" s="17"/>
      <c r="BE13" s="372"/>
      <c r="BS13" s="14" t="s">
        <v>6</v>
      </c>
    </row>
    <row r="14" spans="1:74" ht="12.75">
      <c r="B14" s="17"/>
      <c r="E14" s="376" t="s">
        <v>24</v>
      </c>
      <c r="F14" s="377"/>
      <c r="G14" s="377"/>
      <c r="H14" s="377"/>
      <c r="I14" s="377"/>
      <c r="J14" s="377"/>
      <c r="K14" s="377"/>
      <c r="L14" s="377"/>
      <c r="M14" s="377"/>
      <c r="N14" s="377"/>
      <c r="O14" s="377"/>
      <c r="P14" s="377"/>
      <c r="Q14" s="377"/>
      <c r="R14" s="377"/>
      <c r="S14" s="377"/>
      <c r="T14" s="377"/>
      <c r="U14" s="377"/>
      <c r="V14" s="377"/>
      <c r="W14" s="377"/>
      <c r="X14" s="377"/>
      <c r="Y14" s="377"/>
      <c r="Z14" s="377"/>
      <c r="AA14" s="377"/>
      <c r="AB14" s="377"/>
      <c r="AC14" s="377"/>
      <c r="AD14" s="377"/>
      <c r="AE14" s="377"/>
      <c r="AF14" s="377"/>
      <c r="AG14" s="377"/>
      <c r="AH14" s="377"/>
      <c r="AI14" s="377"/>
      <c r="AJ14" s="377"/>
      <c r="AK14" s="24" t="s">
        <v>22</v>
      </c>
      <c r="AN14" s="26" t="s">
        <v>24</v>
      </c>
      <c r="AR14" s="17"/>
      <c r="BE14" s="372"/>
      <c r="BS14" s="14" t="s">
        <v>6</v>
      </c>
    </row>
    <row r="15" spans="1:74" s="1" customFormat="1" ht="6.95" customHeight="1">
      <c r="B15" s="17"/>
      <c r="AR15" s="17"/>
      <c r="BE15" s="372"/>
      <c r="BS15" s="14" t="s">
        <v>3</v>
      </c>
    </row>
    <row r="16" spans="1:74" s="1" customFormat="1" ht="12" customHeight="1">
      <c r="B16" s="17"/>
      <c r="D16" s="24" t="s">
        <v>25</v>
      </c>
      <c r="J16" s="337" t="s">
        <v>3400</v>
      </c>
      <c r="AK16" s="24" t="s">
        <v>21</v>
      </c>
      <c r="AN16" s="22" t="s">
        <v>1</v>
      </c>
      <c r="AR16" s="17"/>
      <c r="BE16" s="372"/>
      <c r="BS16" s="14" t="s">
        <v>3</v>
      </c>
    </row>
    <row r="17" spans="1:71" s="1" customFormat="1" ht="18.399999999999999" customHeight="1">
      <c r="B17" s="17"/>
      <c r="E17" s="22" t="s">
        <v>18</v>
      </c>
      <c r="AK17" s="24" t="s">
        <v>22</v>
      </c>
      <c r="AN17" s="22" t="s">
        <v>1</v>
      </c>
      <c r="AR17" s="17"/>
      <c r="BE17" s="372"/>
      <c r="BS17" s="14" t="s">
        <v>3</v>
      </c>
    </row>
    <row r="18" spans="1:71" s="1" customFormat="1" ht="6.95" customHeight="1">
      <c r="B18" s="17"/>
      <c r="AR18" s="17"/>
      <c r="BE18" s="372"/>
      <c r="BS18" s="14" t="s">
        <v>6</v>
      </c>
    </row>
    <row r="19" spans="1:71" s="1" customFormat="1" ht="12" customHeight="1">
      <c r="B19" s="17"/>
      <c r="D19" s="24" t="s">
        <v>26</v>
      </c>
      <c r="AK19" s="24" t="s">
        <v>21</v>
      </c>
      <c r="AN19" s="22" t="s">
        <v>1</v>
      </c>
      <c r="AR19" s="17"/>
      <c r="BE19" s="372"/>
      <c r="BS19" s="14" t="s">
        <v>6</v>
      </c>
    </row>
    <row r="20" spans="1:71" s="1" customFormat="1" ht="18.399999999999999" customHeight="1">
      <c r="B20" s="17"/>
      <c r="E20" s="22" t="s">
        <v>18</v>
      </c>
      <c r="AK20" s="24" t="s">
        <v>22</v>
      </c>
      <c r="AN20" s="22" t="s">
        <v>1</v>
      </c>
      <c r="AR20" s="17"/>
      <c r="BE20" s="372"/>
      <c r="BS20" s="14" t="s">
        <v>27</v>
      </c>
    </row>
    <row r="21" spans="1:71" s="1" customFormat="1" ht="6.95" customHeight="1">
      <c r="B21" s="17"/>
      <c r="AR21" s="17"/>
      <c r="BE21" s="372"/>
    </row>
    <row r="22" spans="1:71" s="1" customFormat="1" ht="12" customHeight="1">
      <c r="B22" s="17"/>
      <c r="D22" s="24" t="s">
        <v>28</v>
      </c>
      <c r="AR22" s="17"/>
      <c r="BE22" s="372"/>
    </row>
    <row r="23" spans="1:71" s="1" customFormat="1" ht="16.5" customHeight="1">
      <c r="B23" s="17"/>
      <c r="E23" s="378" t="s">
        <v>1</v>
      </c>
      <c r="F23" s="378"/>
      <c r="G23" s="378"/>
      <c r="H23" s="378"/>
      <c r="I23" s="378"/>
      <c r="J23" s="378"/>
      <c r="K23" s="378"/>
      <c r="L23" s="378"/>
      <c r="M23" s="378"/>
      <c r="N23" s="378"/>
      <c r="O23" s="378"/>
      <c r="P23" s="378"/>
      <c r="Q23" s="378"/>
      <c r="R23" s="378"/>
      <c r="S23" s="378"/>
      <c r="T23" s="378"/>
      <c r="U23" s="378"/>
      <c r="V23" s="378"/>
      <c r="W23" s="378"/>
      <c r="X23" s="378"/>
      <c r="Y23" s="378"/>
      <c r="Z23" s="378"/>
      <c r="AA23" s="378"/>
      <c r="AB23" s="378"/>
      <c r="AC23" s="378"/>
      <c r="AD23" s="378"/>
      <c r="AE23" s="378"/>
      <c r="AF23" s="378"/>
      <c r="AG23" s="378"/>
      <c r="AH23" s="378"/>
      <c r="AI23" s="378"/>
      <c r="AJ23" s="378"/>
      <c r="AK23" s="378"/>
      <c r="AL23" s="378"/>
      <c r="AM23" s="378"/>
      <c r="AN23" s="378"/>
      <c r="AR23" s="17"/>
      <c r="BE23" s="372"/>
    </row>
    <row r="24" spans="1:71" s="1" customFormat="1" ht="6.95" customHeight="1">
      <c r="B24" s="17"/>
      <c r="AR24" s="17"/>
      <c r="BE24" s="372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372"/>
    </row>
    <row r="26" spans="1:71" s="2" customFormat="1" ht="25.9" customHeight="1">
      <c r="A26" s="29"/>
      <c r="B26" s="30"/>
      <c r="C26" s="29"/>
      <c r="D26" s="31" t="s">
        <v>29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79">
        <v>0</v>
      </c>
      <c r="AL26" s="380"/>
      <c r="AM26" s="380"/>
      <c r="AN26" s="380"/>
      <c r="AO26" s="380"/>
      <c r="AP26" s="29"/>
      <c r="AQ26" s="29"/>
      <c r="AR26" s="30"/>
      <c r="BE26" s="372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372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81" t="s">
        <v>30</v>
      </c>
      <c r="M28" s="381"/>
      <c r="N28" s="381"/>
      <c r="O28" s="381"/>
      <c r="P28" s="381"/>
      <c r="Q28" s="29"/>
      <c r="R28" s="29"/>
      <c r="S28" s="29"/>
      <c r="T28" s="29"/>
      <c r="U28" s="29"/>
      <c r="V28" s="29"/>
      <c r="W28" s="381" t="s">
        <v>31</v>
      </c>
      <c r="X28" s="381"/>
      <c r="Y28" s="381"/>
      <c r="Z28" s="381"/>
      <c r="AA28" s="381"/>
      <c r="AB28" s="381"/>
      <c r="AC28" s="381"/>
      <c r="AD28" s="381"/>
      <c r="AE28" s="381"/>
      <c r="AF28" s="29"/>
      <c r="AG28" s="29"/>
      <c r="AH28" s="29"/>
      <c r="AI28" s="29"/>
      <c r="AJ28" s="29"/>
      <c r="AK28" s="381" t="s">
        <v>32</v>
      </c>
      <c r="AL28" s="381"/>
      <c r="AM28" s="381"/>
      <c r="AN28" s="381"/>
      <c r="AO28" s="381"/>
      <c r="AP28" s="29"/>
      <c r="AQ28" s="29"/>
      <c r="AR28" s="30"/>
      <c r="BE28" s="372"/>
    </row>
    <row r="29" spans="1:71" s="3" customFormat="1" ht="14.45" customHeight="1">
      <c r="B29" s="34"/>
      <c r="D29" s="24" t="s">
        <v>33</v>
      </c>
      <c r="F29" s="35" t="s">
        <v>34</v>
      </c>
      <c r="L29" s="362">
        <v>0.23</v>
      </c>
      <c r="M29" s="363"/>
      <c r="N29" s="363"/>
      <c r="O29" s="363"/>
      <c r="P29" s="363"/>
      <c r="Q29" s="36"/>
      <c r="R29" s="36"/>
      <c r="S29" s="36"/>
      <c r="T29" s="36"/>
      <c r="U29" s="36"/>
      <c r="V29" s="36"/>
      <c r="W29" s="364">
        <f>ROUND(AZ94, 2)</f>
        <v>0</v>
      </c>
      <c r="X29" s="363"/>
      <c r="Y29" s="363"/>
      <c r="Z29" s="363"/>
      <c r="AA29" s="363"/>
      <c r="AB29" s="363"/>
      <c r="AC29" s="363"/>
      <c r="AD29" s="363"/>
      <c r="AE29" s="363"/>
      <c r="AF29" s="36"/>
      <c r="AG29" s="36"/>
      <c r="AH29" s="36"/>
      <c r="AI29" s="36"/>
      <c r="AJ29" s="36"/>
      <c r="AK29" s="364">
        <f>ROUND(AV94, 2)</f>
        <v>0</v>
      </c>
      <c r="AL29" s="363"/>
      <c r="AM29" s="363"/>
      <c r="AN29" s="363"/>
      <c r="AO29" s="363"/>
      <c r="AP29" s="36"/>
      <c r="AQ29" s="36"/>
      <c r="AR29" s="37"/>
      <c r="AS29" s="36"/>
      <c r="AT29" s="36"/>
      <c r="AU29" s="36"/>
      <c r="AV29" s="36"/>
      <c r="AW29" s="36"/>
      <c r="AX29" s="36"/>
      <c r="AY29" s="36"/>
      <c r="AZ29" s="36"/>
      <c r="BE29" s="373"/>
    </row>
    <row r="30" spans="1:71" s="3" customFormat="1" ht="14.45" customHeight="1">
      <c r="B30" s="34"/>
      <c r="F30" s="35" t="s">
        <v>35</v>
      </c>
      <c r="L30" s="362">
        <v>0.23</v>
      </c>
      <c r="M30" s="363"/>
      <c r="N30" s="363"/>
      <c r="O30" s="363"/>
      <c r="P30" s="363"/>
      <c r="Q30" s="36"/>
      <c r="R30" s="36"/>
      <c r="S30" s="36"/>
      <c r="T30" s="36"/>
      <c r="U30" s="36"/>
      <c r="V30" s="36"/>
      <c r="W30" s="364">
        <f>ROUND(BA94, 2)</f>
        <v>0</v>
      </c>
      <c r="X30" s="363"/>
      <c r="Y30" s="363"/>
      <c r="Z30" s="363"/>
      <c r="AA30" s="363"/>
      <c r="AB30" s="363"/>
      <c r="AC30" s="363"/>
      <c r="AD30" s="363"/>
      <c r="AE30" s="363"/>
      <c r="AF30" s="36"/>
      <c r="AG30" s="36"/>
      <c r="AH30" s="36"/>
      <c r="AI30" s="36"/>
      <c r="AJ30" s="36"/>
      <c r="AK30" s="364">
        <f>ROUND(AW94, 2)</f>
        <v>0</v>
      </c>
      <c r="AL30" s="363"/>
      <c r="AM30" s="363"/>
      <c r="AN30" s="363"/>
      <c r="AO30" s="363"/>
      <c r="AP30" s="36"/>
      <c r="AQ30" s="36"/>
      <c r="AR30" s="37"/>
      <c r="AS30" s="36"/>
      <c r="AT30" s="36"/>
      <c r="AU30" s="36"/>
      <c r="AV30" s="36"/>
      <c r="AW30" s="36"/>
      <c r="AX30" s="36"/>
      <c r="AY30" s="36"/>
      <c r="AZ30" s="36"/>
      <c r="BE30" s="373"/>
    </row>
    <row r="31" spans="1:71" s="3" customFormat="1" ht="14.45" hidden="1" customHeight="1">
      <c r="B31" s="34"/>
      <c r="F31" s="24" t="s">
        <v>36</v>
      </c>
      <c r="L31" s="359">
        <v>0.23</v>
      </c>
      <c r="M31" s="360"/>
      <c r="N31" s="360"/>
      <c r="O31" s="360"/>
      <c r="P31" s="360"/>
      <c r="W31" s="361">
        <f>ROUND(BB94, 2)</f>
        <v>0</v>
      </c>
      <c r="X31" s="360"/>
      <c r="Y31" s="360"/>
      <c r="Z31" s="360"/>
      <c r="AA31" s="360"/>
      <c r="AB31" s="360"/>
      <c r="AC31" s="360"/>
      <c r="AD31" s="360"/>
      <c r="AE31" s="360"/>
      <c r="AK31" s="361">
        <v>0</v>
      </c>
      <c r="AL31" s="360"/>
      <c r="AM31" s="360"/>
      <c r="AN31" s="360"/>
      <c r="AO31" s="360"/>
      <c r="AR31" s="34"/>
      <c r="BE31" s="373"/>
    </row>
    <row r="32" spans="1:71" s="3" customFormat="1" ht="14.45" hidden="1" customHeight="1">
      <c r="B32" s="34"/>
      <c r="F32" s="24" t="s">
        <v>37</v>
      </c>
      <c r="L32" s="359">
        <v>0.23</v>
      </c>
      <c r="M32" s="360"/>
      <c r="N32" s="360"/>
      <c r="O32" s="360"/>
      <c r="P32" s="360"/>
      <c r="W32" s="361">
        <f>ROUND(BC94, 2)</f>
        <v>0</v>
      </c>
      <c r="X32" s="360"/>
      <c r="Y32" s="360"/>
      <c r="Z32" s="360"/>
      <c r="AA32" s="360"/>
      <c r="AB32" s="360"/>
      <c r="AC32" s="360"/>
      <c r="AD32" s="360"/>
      <c r="AE32" s="360"/>
      <c r="AK32" s="361">
        <v>0</v>
      </c>
      <c r="AL32" s="360"/>
      <c r="AM32" s="360"/>
      <c r="AN32" s="360"/>
      <c r="AO32" s="360"/>
      <c r="AR32" s="34"/>
      <c r="BE32" s="373"/>
    </row>
    <row r="33" spans="1:57" s="3" customFormat="1" ht="14.45" hidden="1" customHeight="1">
      <c r="B33" s="34"/>
      <c r="F33" s="35" t="s">
        <v>38</v>
      </c>
      <c r="L33" s="362">
        <v>0</v>
      </c>
      <c r="M33" s="363"/>
      <c r="N33" s="363"/>
      <c r="O33" s="363"/>
      <c r="P33" s="363"/>
      <c r="Q33" s="36"/>
      <c r="R33" s="36"/>
      <c r="S33" s="36"/>
      <c r="T33" s="36"/>
      <c r="U33" s="36"/>
      <c r="V33" s="36"/>
      <c r="W33" s="364">
        <f>ROUND(BD94, 2)</f>
        <v>0</v>
      </c>
      <c r="X33" s="363"/>
      <c r="Y33" s="363"/>
      <c r="Z33" s="363"/>
      <c r="AA33" s="363"/>
      <c r="AB33" s="363"/>
      <c r="AC33" s="363"/>
      <c r="AD33" s="363"/>
      <c r="AE33" s="363"/>
      <c r="AF33" s="36"/>
      <c r="AG33" s="36"/>
      <c r="AH33" s="36"/>
      <c r="AI33" s="36"/>
      <c r="AJ33" s="36"/>
      <c r="AK33" s="364">
        <v>0</v>
      </c>
      <c r="AL33" s="363"/>
      <c r="AM33" s="363"/>
      <c r="AN33" s="363"/>
      <c r="AO33" s="363"/>
      <c r="AP33" s="36"/>
      <c r="AQ33" s="36"/>
      <c r="AR33" s="37"/>
      <c r="AS33" s="36"/>
      <c r="AT33" s="36"/>
      <c r="AU33" s="36"/>
      <c r="AV33" s="36"/>
      <c r="AW33" s="36"/>
      <c r="AX33" s="36"/>
      <c r="AY33" s="36"/>
      <c r="AZ33" s="36"/>
      <c r="BE33" s="373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372"/>
    </row>
    <row r="35" spans="1:57" s="2" customFormat="1" ht="25.9" customHeight="1">
      <c r="A35" s="29"/>
      <c r="B35" s="30"/>
      <c r="C35" s="38"/>
      <c r="D35" s="39" t="s">
        <v>39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40</v>
      </c>
      <c r="U35" s="40"/>
      <c r="V35" s="40"/>
      <c r="W35" s="40"/>
      <c r="X35" s="368" t="s">
        <v>41</v>
      </c>
      <c r="Y35" s="366"/>
      <c r="Z35" s="366"/>
      <c r="AA35" s="366"/>
      <c r="AB35" s="366"/>
      <c r="AC35" s="40"/>
      <c r="AD35" s="40"/>
      <c r="AE35" s="40"/>
      <c r="AF35" s="40"/>
      <c r="AG35" s="40"/>
      <c r="AH35" s="40"/>
      <c r="AI35" s="40"/>
      <c r="AJ35" s="40"/>
      <c r="AK35" s="365">
        <v>0</v>
      </c>
      <c r="AL35" s="366"/>
      <c r="AM35" s="366"/>
      <c r="AN35" s="366"/>
      <c r="AO35" s="367"/>
      <c r="AP35" s="38"/>
      <c r="AQ35" s="38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D48" s="337" t="s">
        <v>3401</v>
      </c>
      <c r="AR48" s="17"/>
    </row>
    <row r="49" spans="1:57" s="2" customFormat="1" ht="14.45" customHeight="1">
      <c r="B49" s="42"/>
      <c r="D49" s="43" t="s">
        <v>42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43</v>
      </c>
      <c r="AI49" s="44"/>
      <c r="AJ49" s="44"/>
      <c r="AK49" s="44"/>
      <c r="AL49" s="44"/>
      <c r="AM49" s="44"/>
      <c r="AN49" s="44"/>
      <c r="AO49" s="44"/>
      <c r="AR49" s="42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9"/>
      <c r="B60" s="30"/>
      <c r="C60" s="29"/>
      <c r="D60" s="45" t="s">
        <v>44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5" t="s">
        <v>45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5" t="s">
        <v>44</v>
      </c>
      <c r="AI60" s="32"/>
      <c r="AJ60" s="32"/>
      <c r="AK60" s="32"/>
      <c r="AL60" s="32"/>
      <c r="AM60" s="45" t="s">
        <v>45</v>
      </c>
      <c r="AN60" s="32"/>
      <c r="AO60" s="32"/>
      <c r="AP60" s="29"/>
      <c r="AQ60" s="29"/>
      <c r="AR60" s="30"/>
      <c r="BE60" s="29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9"/>
      <c r="B64" s="30"/>
      <c r="C64" s="29"/>
      <c r="D64" s="43" t="s">
        <v>46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47</v>
      </c>
      <c r="AI64" s="46"/>
      <c r="AJ64" s="46"/>
      <c r="AK64" s="46"/>
      <c r="AL64" s="46"/>
      <c r="AM64" s="46"/>
      <c r="AN64" s="46"/>
      <c r="AO64" s="46"/>
      <c r="AP64" s="29"/>
      <c r="AQ64" s="29"/>
      <c r="AR64" s="30"/>
      <c r="BE64" s="29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9"/>
      <c r="B75" s="30"/>
      <c r="C75" s="29"/>
      <c r="D75" s="45" t="s">
        <v>44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5" t="s">
        <v>45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5" t="s">
        <v>44</v>
      </c>
      <c r="AI75" s="32"/>
      <c r="AJ75" s="32"/>
      <c r="AK75" s="32"/>
      <c r="AL75" s="32"/>
      <c r="AM75" s="45" t="s">
        <v>45</v>
      </c>
      <c r="AN75" s="32"/>
      <c r="AO75" s="32"/>
      <c r="AP75" s="29"/>
      <c r="AQ75" s="29"/>
      <c r="AR75" s="30"/>
      <c r="BE75" s="29"/>
    </row>
    <row r="76" spans="1:57" s="2" customFormat="1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0"/>
      <c r="BE77" s="29"/>
    </row>
    <row r="81" spans="1:91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0"/>
      <c r="BE81" s="29"/>
    </row>
    <row r="82" spans="1:91" s="2" customFormat="1" ht="24.95" customHeight="1">
      <c r="A82" s="29"/>
      <c r="B82" s="30"/>
      <c r="C82" s="18" t="s">
        <v>48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51"/>
      <c r="C84" s="24" t="s">
        <v>12</v>
      </c>
      <c r="AR84" s="51"/>
    </row>
    <row r="85" spans="1:91" s="5" customFormat="1" ht="36.950000000000003" customHeight="1">
      <c r="B85" s="52"/>
      <c r="C85" s="53" t="s">
        <v>14</v>
      </c>
      <c r="L85" s="382" t="str">
        <f>K6</f>
        <v>Topoľčianky, Centrálny logistický sklad - rekonštrukcia tepelného hospodárstva</v>
      </c>
      <c r="M85" s="383"/>
      <c r="N85" s="383"/>
      <c r="O85" s="383"/>
      <c r="P85" s="383"/>
      <c r="Q85" s="383"/>
      <c r="R85" s="383"/>
      <c r="S85" s="383"/>
      <c r="T85" s="383"/>
      <c r="U85" s="383"/>
      <c r="V85" s="383"/>
      <c r="W85" s="383"/>
      <c r="X85" s="383"/>
      <c r="Y85" s="383"/>
      <c r="Z85" s="383"/>
      <c r="AA85" s="383"/>
      <c r="AB85" s="383"/>
      <c r="AC85" s="383"/>
      <c r="AD85" s="383"/>
      <c r="AE85" s="383"/>
      <c r="AF85" s="383"/>
      <c r="AG85" s="383"/>
      <c r="AH85" s="383"/>
      <c r="AI85" s="383"/>
      <c r="AJ85" s="383"/>
      <c r="AK85" s="383"/>
      <c r="AL85" s="383"/>
      <c r="AM85" s="383"/>
      <c r="AN85" s="383"/>
      <c r="AO85" s="383"/>
      <c r="AR85" s="52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17</v>
      </c>
      <c r="D87" s="29"/>
      <c r="E87" s="29"/>
      <c r="F87" s="29"/>
      <c r="G87" s="29"/>
      <c r="H87" s="2" t="s">
        <v>3403</v>
      </c>
      <c r="I87" s="29"/>
      <c r="J87" s="29"/>
      <c r="K87" s="29"/>
      <c r="L87" s="54" t="str">
        <f>IF(K8="","",K8)</f>
        <v xml:space="preserve"> 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19</v>
      </c>
      <c r="AJ87" s="29"/>
      <c r="AK87" s="29"/>
      <c r="AL87" s="29"/>
      <c r="AM87" s="354">
        <f>IF(AN8= "","",AN8)</f>
        <v>45945</v>
      </c>
      <c r="AN87" s="354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4" t="s">
        <v>20</v>
      </c>
      <c r="D89" s="29"/>
      <c r="E89" s="29"/>
      <c r="F89" s="29"/>
      <c r="G89" s="29"/>
      <c r="H89" s="2" t="s">
        <v>3404</v>
      </c>
      <c r="I89" s="29"/>
      <c r="J89" s="29"/>
      <c r="K89" s="29"/>
      <c r="L89" s="4" t="str">
        <f>IF(E11= "","",E11)</f>
        <v xml:space="preserve"> 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25</v>
      </c>
      <c r="AJ89" s="29"/>
      <c r="AK89" s="29"/>
      <c r="AL89" s="29"/>
      <c r="AM89" s="355" t="str">
        <f>IF(E17="","",E17)</f>
        <v xml:space="preserve"> </v>
      </c>
      <c r="AN89" s="356"/>
      <c r="AO89" s="356"/>
      <c r="AP89" s="356"/>
      <c r="AQ89" s="29"/>
      <c r="AR89" s="30"/>
      <c r="AS89" s="343" t="s">
        <v>49</v>
      </c>
      <c r="AT89" s="344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29"/>
    </row>
    <row r="90" spans="1:91" s="2" customFormat="1" ht="15.2" customHeight="1">
      <c r="A90" s="29"/>
      <c r="B90" s="30"/>
      <c r="C90" s="24" t="s">
        <v>23</v>
      </c>
      <c r="D90" s="29"/>
      <c r="E90" s="29"/>
      <c r="F90" s="29"/>
      <c r="G90" s="29"/>
      <c r="H90" s="2" t="s">
        <v>3405</v>
      </c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26</v>
      </c>
      <c r="AJ90" s="29"/>
      <c r="AK90" s="29"/>
      <c r="AL90" s="29"/>
      <c r="AM90" s="355" t="str">
        <f>IF(E20="","",E20)</f>
        <v xml:space="preserve"> </v>
      </c>
      <c r="AN90" s="356"/>
      <c r="AO90" s="356"/>
      <c r="AP90" s="356"/>
      <c r="AQ90" s="29"/>
      <c r="AR90" s="30"/>
      <c r="AS90" s="345"/>
      <c r="AT90" s="346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345"/>
      <c r="AT91" s="346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29"/>
    </row>
    <row r="92" spans="1:91" s="2" customFormat="1" ht="29.25" customHeight="1">
      <c r="A92" s="29"/>
      <c r="B92" s="30"/>
      <c r="C92" s="385" t="s">
        <v>50</v>
      </c>
      <c r="D92" s="353"/>
      <c r="E92" s="353"/>
      <c r="F92" s="353"/>
      <c r="G92" s="353"/>
      <c r="H92" s="60"/>
      <c r="I92" s="357" t="s">
        <v>51</v>
      </c>
      <c r="J92" s="353"/>
      <c r="K92" s="353"/>
      <c r="L92" s="353"/>
      <c r="M92" s="353"/>
      <c r="N92" s="353"/>
      <c r="O92" s="353"/>
      <c r="P92" s="353"/>
      <c r="Q92" s="353"/>
      <c r="R92" s="353"/>
      <c r="S92" s="353"/>
      <c r="T92" s="353"/>
      <c r="U92" s="353"/>
      <c r="V92" s="353"/>
      <c r="W92" s="353"/>
      <c r="X92" s="353"/>
      <c r="Y92" s="353"/>
      <c r="Z92" s="353"/>
      <c r="AA92" s="353"/>
      <c r="AB92" s="353"/>
      <c r="AC92" s="353"/>
      <c r="AD92" s="353"/>
      <c r="AE92" s="353"/>
      <c r="AF92" s="353"/>
      <c r="AG92" s="352" t="s">
        <v>52</v>
      </c>
      <c r="AH92" s="353"/>
      <c r="AI92" s="353"/>
      <c r="AJ92" s="353"/>
      <c r="AK92" s="353"/>
      <c r="AL92" s="353"/>
      <c r="AM92" s="353"/>
      <c r="AN92" s="357" t="s">
        <v>53</v>
      </c>
      <c r="AO92" s="353"/>
      <c r="AP92" s="358"/>
      <c r="AQ92" s="61" t="s">
        <v>54</v>
      </c>
      <c r="AR92" s="30"/>
      <c r="AS92" s="62" t="s">
        <v>55</v>
      </c>
      <c r="AT92" s="63" t="s">
        <v>56</v>
      </c>
      <c r="AU92" s="63" t="s">
        <v>57</v>
      </c>
      <c r="AV92" s="63" t="s">
        <v>58</v>
      </c>
      <c r="AW92" s="63" t="s">
        <v>59</v>
      </c>
      <c r="AX92" s="63" t="s">
        <v>60</v>
      </c>
      <c r="AY92" s="63" t="s">
        <v>61</v>
      </c>
      <c r="AZ92" s="63" t="s">
        <v>62</v>
      </c>
      <c r="BA92" s="63" t="s">
        <v>63</v>
      </c>
      <c r="BB92" s="63" t="s">
        <v>64</v>
      </c>
      <c r="BC92" s="63" t="s">
        <v>65</v>
      </c>
      <c r="BD92" s="64" t="s">
        <v>66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29"/>
    </row>
    <row r="94" spans="1:91" s="6" customFormat="1" ht="32.450000000000003" customHeight="1">
      <c r="B94" s="68"/>
      <c r="C94" s="69" t="s">
        <v>67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370">
        <v>0</v>
      </c>
      <c r="AH94" s="370"/>
      <c r="AI94" s="370"/>
      <c r="AJ94" s="370"/>
      <c r="AK94" s="370"/>
      <c r="AL94" s="370"/>
      <c r="AM94" s="370"/>
      <c r="AN94" s="342">
        <v>0</v>
      </c>
      <c r="AO94" s="342"/>
      <c r="AP94" s="342"/>
      <c r="AQ94" s="72" t="s">
        <v>1</v>
      </c>
      <c r="AR94" s="68"/>
      <c r="AS94" s="73">
        <f>ROUND(AS95+AS105,2)</f>
        <v>0</v>
      </c>
      <c r="AT94" s="74">
        <f t="shared" ref="AT94:AT111" si="0">ROUND(SUM(AV94:AW94),2)</f>
        <v>0</v>
      </c>
      <c r="AU94" s="75">
        <f>ROUND(AU95+AU105,5)</f>
        <v>1.53261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ROUND(AZ95+AZ105,2)</f>
        <v>0</v>
      </c>
      <c r="BA94" s="74">
        <f>ROUND(BA95+BA105,2)</f>
        <v>0</v>
      </c>
      <c r="BB94" s="74">
        <f>ROUND(BB95+BB105,2)</f>
        <v>0</v>
      </c>
      <c r="BC94" s="74">
        <f>ROUND(BC95+BC105,2)</f>
        <v>0</v>
      </c>
      <c r="BD94" s="76">
        <f>ROUND(BD95+BD105,2)</f>
        <v>0</v>
      </c>
      <c r="BS94" s="77" t="s">
        <v>68</v>
      </c>
      <c r="BT94" s="77" t="s">
        <v>69</v>
      </c>
      <c r="BU94" s="78" t="s">
        <v>70</v>
      </c>
      <c r="BV94" s="77" t="s">
        <v>71</v>
      </c>
      <c r="BW94" s="77" t="s">
        <v>4</v>
      </c>
      <c r="BX94" s="77" t="s">
        <v>72</v>
      </c>
      <c r="CL94" s="77" t="s">
        <v>1</v>
      </c>
    </row>
    <row r="95" spans="1:91" s="7" customFormat="1" ht="16.5" customHeight="1">
      <c r="B95" s="79"/>
      <c r="C95" s="80"/>
      <c r="D95" s="384" t="s">
        <v>73</v>
      </c>
      <c r="E95" s="384"/>
      <c r="F95" s="384"/>
      <c r="G95" s="384"/>
      <c r="H95" s="384"/>
      <c r="I95" s="81"/>
      <c r="J95" s="384" t="s">
        <v>74</v>
      </c>
      <c r="K95" s="384"/>
      <c r="L95" s="384"/>
      <c r="M95" s="384"/>
      <c r="N95" s="384"/>
      <c r="O95" s="384"/>
      <c r="P95" s="384"/>
      <c r="Q95" s="384"/>
      <c r="R95" s="384"/>
      <c r="S95" s="384"/>
      <c r="T95" s="384"/>
      <c r="U95" s="384"/>
      <c r="V95" s="384"/>
      <c r="W95" s="384"/>
      <c r="X95" s="384"/>
      <c r="Y95" s="384"/>
      <c r="Z95" s="384"/>
      <c r="AA95" s="384"/>
      <c r="AB95" s="384"/>
      <c r="AC95" s="384"/>
      <c r="AD95" s="384"/>
      <c r="AE95" s="384"/>
      <c r="AF95" s="384"/>
      <c r="AG95" s="349">
        <v>0</v>
      </c>
      <c r="AH95" s="348"/>
      <c r="AI95" s="348"/>
      <c r="AJ95" s="348"/>
      <c r="AK95" s="348"/>
      <c r="AL95" s="348"/>
      <c r="AM95" s="348"/>
      <c r="AN95" s="347">
        <v>0</v>
      </c>
      <c r="AO95" s="348"/>
      <c r="AP95" s="348"/>
      <c r="AQ95" s="82" t="s">
        <v>75</v>
      </c>
      <c r="AR95" s="79"/>
      <c r="AS95" s="83">
        <f>ROUND(SUM(AS96:AS104),2)</f>
        <v>0</v>
      </c>
      <c r="AT95" s="84">
        <f t="shared" si="0"/>
        <v>0</v>
      </c>
      <c r="AU95" s="85">
        <f>ROUND(SUM(AU96:AU104),5)</f>
        <v>1.53261</v>
      </c>
      <c r="AV95" s="84">
        <f>ROUND(AZ95*L29,2)</f>
        <v>0</v>
      </c>
      <c r="AW95" s="84">
        <f>ROUND(BA95*L30,2)</f>
        <v>0</v>
      </c>
      <c r="AX95" s="84">
        <f>ROUND(BB95*L29,2)</f>
        <v>0</v>
      </c>
      <c r="AY95" s="84">
        <f>ROUND(BC95*L30,2)</f>
        <v>0</v>
      </c>
      <c r="AZ95" s="84">
        <f>ROUND(SUM(AZ96:AZ104),2)</f>
        <v>0</v>
      </c>
      <c r="BA95" s="84">
        <f>ROUND(SUM(BA96:BA104),2)</f>
        <v>0</v>
      </c>
      <c r="BB95" s="84">
        <f>ROUND(SUM(BB96:BB104),2)</f>
        <v>0</v>
      </c>
      <c r="BC95" s="84">
        <f>ROUND(SUM(BC96:BC104),2)</f>
        <v>0</v>
      </c>
      <c r="BD95" s="86">
        <f>ROUND(SUM(BD96:BD104),2)</f>
        <v>0</v>
      </c>
      <c r="BS95" s="87" t="s">
        <v>68</v>
      </c>
      <c r="BT95" s="87" t="s">
        <v>76</v>
      </c>
      <c r="BU95" s="87" t="s">
        <v>70</v>
      </c>
      <c r="BV95" s="87" t="s">
        <v>71</v>
      </c>
      <c r="BW95" s="87" t="s">
        <v>77</v>
      </c>
      <c r="BX95" s="87" t="s">
        <v>4</v>
      </c>
      <c r="CL95" s="87" t="s">
        <v>1</v>
      </c>
      <c r="CM95" s="87" t="s">
        <v>69</v>
      </c>
    </row>
    <row r="96" spans="1:91" s="4" customFormat="1" ht="16.5" customHeight="1">
      <c r="A96" s="88" t="s">
        <v>78</v>
      </c>
      <c r="B96" s="51"/>
      <c r="C96" s="10"/>
      <c r="D96" s="10"/>
      <c r="E96" s="369" t="s">
        <v>79</v>
      </c>
      <c r="F96" s="369"/>
      <c r="G96" s="369"/>
      <c r="H96" s="369"/>
      <c r="I96" s="369"/>
      <c r="J96" s="10"/>
      <c r="K96" s="369" t="s">
        <v>80</v>
      </c>
      <c r="L96" s="369"/>
      <c r="M96" s="369"/>
      <c r="N96" s="369"/>
      <c r="O96" s="369"/>
      <c r="P96" s="369"/>
      <c r="Q96" s="369"/>
      <c r="R96" s="369"/>
      <c r="S96" s="369"/>
      <c r="T96" s="369"/>
      <c r="U96" s="369"/>
      <c r="V96" s="369"/>
      <c r="W96" s="369"/>
      <c r="X96" s="369"/>
      <c r="Y96" s="369"/>
      <c r="Z96" s="369"/>
      <c r="AA96" s="369"/>
      <c r="AB96" s="369"/>
      <c r="AC96" s="369"/>
      <c r="AD96" s="369"/>
      <c r="AE96" s="369"/>
      <c r="AF96" s="369"/>
      <c r="AG96" s="340">
        <v>0</v>
      </c>
      <c r="AH96" s="341"/>
      <c r="AI96" s="341"/>
      <c r="AJ96" s="341"/>
      <c r="AK96" s="341"/>
      <c r="AL96" s="341"/>
      <c r="AM96" s="341"/>
      <c r="AN96" s="340">
        <v>0</v>
      </c>
      <c r="AO96" s="341"/>
      <c r="AP96" s="341"/>
      <c r="AQ96" s="89" t="s">
        <v>81</v>
      </c>
      <c r="AR96" s="51"/>
      <c r="AS96" s="90">
        <v>0</v>
      </c>
      <c r="AT96" s="91">
        <f t="shared" si="0"/>
        <v>0</v>
      </c>
      <c r="AU96" s="92">
        <f>'E1.1,2 - Architektúra +  ...'!P146</f>
        <v>1.5326139999999999</v>
      </c>
      <c r="AV96" s="91">
        <f>'E1.1,2 - Architektúra +  ...'!J35</f>
        <v>0</v>
      </c>
      <c r="AW96" s="91">
        <f>'E1.1,2 - Architektúra +  ...'!J36</f>
        <v>0</v>
      </c>
      <c r="AX96" s="91">
        <f>'E1.1,2 - Architektúra +  ...'!J37</f>
        <v>0</v>
      </c>
      <c r="AY96" s="91">
        <f>'E1.1,2 - Architektúra +  ...'!J38</f>
        <v>0</v>
      </c>
      <c r="AZ96" s="91">
        <f>'E1.1,2 - Architektúra +  ...'!F35</f>
        <v>0</v>
      </c>
      <c r="BA96" s="91">
        <f>'E1.1,2 - Architektúra +  ...'!F36</f>
        <v>0</v>
      </c>
      <c r="BB96" s="91">
        <f>'E1.1,2 - Architektúra +  ...'!F37</f>
        <v>0</v>
      </c>
      <c r="BC96" s="91">
        <f>'E1.1,2 - Architektúra +  ...'!F38</f>
        <v>0</v>
      </c>
      <c r="BD96" s="93">
        <f>'E1.1,2 - Architektúra +  ...'!F39</f>
        <v>0</v>
      </c>
      <c r="BT96" s="22" t="s">
        <v>82</v>
      </c>
      <c r="BV96" s="22" t="s">
        <v>71</v>
      </c>
      <c r="BW96" s="22" t="s">
        <v>83</v>
      </c>
      <c r="BX96" s="22" t="s">
        <v>77</v>
      </c>
      <c r="CL96" s="22" t="s">
        <v>1</v>
      </c>
    </row>
    <row r="97" spans="1:91" s="4" customFormat="1" ht="16.5" customHeight="1">
      <c r="A97" s="88" t="s">
        <v>78</v>
      </c>
      <c r="B97" s="51"/>
      <c r="C97" s="10"/>
      <c r="D97" s="10"/>
      <c r="E97" s="369" t="s">
        <v>84</v>
      </c>
      <c r="F97" s="369"/>
      <c r="G97" s="369"/>
      <c r="H97" s="369"/>
      <c r="I97" s="369"/>
      <c r="J97" s="10"/>
      <c r="K97" s="369" t="s">
        <v>85</v>
      </c>
      <c r="L97" s="369"/>
      <c r="M97" s="369"/>
      <c r="N97" s="369"/>
      <c r="O97" s="369"/>
      <c r="P97" s="369"/>
      <c r="Q97" s="369"/>
      <c r="R97" s="369"/>
      <c r="S97" s="369"/>
      <c r="T97" s="369"/>
      <c r="U97" s="369"/>
      <c r="V97" s="369"/>
      <c r="W97" s="369"/>
      <c r="X97" s="369"/>
      <c r="Y97" s="369"/>
      <c r="Z97" s="369"/>
      <c r="AA97" s="369"/>
      <c r="AB97" s="369"/>
      <c r="AC97" s="369"/>
      <c r="AD97" s="369"/>
      <c r="AE97" s="369"/>
      <c r="AF97" s="369"/>
      <c r="AG97" s="340">
        <v>0</v>
      </c>
      <c r="AH97" s="341"/>
      <c r="AI97" s="341"/>
      <c r="AJ97" s="341"/>
      <c r="AK97" s="341"/>
      <c r="AL97" s="341"/>
      <c r="AM97" s="341"/>
      <c r="AN97" s="340">
        <v>0</v>
      </c>
      <c r="AO97" s="341"/>
      <c r="AP97" s="341"/>
      <c r="AQ97" s="89" t="s">
        <v>81</v>
      </c>
      <c r="AR97" s="51"/>
      <c r="AS97" s="90">
        <v>0</v>
      </c>
      <c r="AT97" s="91">
        <f t="shared" si="0"/>
        <v>0</v>
      </c>
      <c r="AU97" s="92">
        <f>'E1.3 - Zdravotechnika'!P130</f>
        <v>0</v>
      </c>
      <c r="AV97" s="91">
        <f>'E1.3 - Zdravotechnika'!J35</f>
        <v>0</v>
      </c>
      <c r="AW97" s="91">
        <f>'E1.3 - Zdravotechnika'!J36</f>
        <v>0</v>
      </c>
      <c r="AX97" s="91">
        <f>'E1.3 - Zdravotechnika'!J37</f>
        <v>0</v>
      </c>
      <c r="AY97" s="91">
        <f>'E1.3 - Zdravotechnika'!J38</f>
        <v>0</v>
      </c>
      <c r="AZ97" s="91">
        <f>'E1.3 - Zdravotechnika'!F35</f>
        <v>0</v>
      </c>
      <c r="BA97" s="91">
        <f>'E1.3 - Zdravotechnika'!F36</f>
        <v>0</v>
      </c>
      <c r="BB97" s="91">
        <f>'E1.3 - Zdravotechnika'!F37</f>
        <v>0</v>
      </c>
      <c r="BC97" s="91">
        <f>'E1.3 - Zdravotechnika'!F38</f>
        <v>0</v>
      </c>
      <c r="BD97" s="93">
        <f>'E1.3 - Zdravotechnika'!F39</f>
        <v>0</v>
      </c>
      <c r="BT97" s="22" t="s">
        <v>82</v>
      </c>
      <c r="BV97" s="22" t="s">
        <v>71</v>
      </c>
      <c r="BW97" s="22" t="s">
        <v>86</v>
      </c>
      <c r="BX97" s="22" t="s">
        <v>77</v>
      </c>
      <c r="CL97" s="22" t="s">
        <v>1</v>
      </c>
    </row>
    <row r="98" spans="1:91" s="4" customFormat="1" ht="16.5" customHeight="1">
      <c r="A98" s="88" t="s">
        <v>78</v>
      </c>
      <c r="B98" s="51"/>
      <c r="C98" s="10"/>
      <c r="D98" s="10"/>
      <c r="E98" s="369" t="s">
        <v>87</v>
      </c>
      <c r="F98" s="369"/>
      <c r="G98" s="369"/>
      <c r="H98" s="369"/>
      <c r="I98" s="369"/>
      <c r="J98" s="10"/>
      <c r="K98" s="369" t="s">
        <v>88</v>
      </c>
      <c r="L98" s="369"/>
      <c r="M98" s="369"/>
      <c r="N98" s="369"/>
      <c r="O98" s="369"/>
      <c r="P98" s="369"/>
      <c r="Q98" s="369"/>
      <c r="R98" s="369"/>
      <c r="S98" s="369"/>
      <c r="T98" s="369"/>
      <c r="U98" s="369"/>
      <c r="V98" s="369"/>
      <c r="W98" s="369"/>
      <c r="X98" s="369"/>
      <c r="Y98" s="369"/>
      <c r="Z98" s="369"/>
      <c r="AA98" s="369"/>
      <c r="AB98" s="369"/>
      <c r="AC98" s="369"/>
      <c r="AD98" s="369"/>
      <c r="AE98" s="369"/>
      <c r="AF98" s="369"/>
      <c r="AG98" s="340">
        <v>0</v>
      </c>
      <c r="AH98" s="341"/>
      <c r="AI98" s="341"/>
      <c r="AJ98" s="341"/>
      <c r="AK98" s="341"/>
      <c r="AL98" s="341"/>
      <c r="AM98" s="341"/>
      <c r="AN98" s="340">
        <v>0</v>
      </c>
      <c r="AO98" s="341"/>
      <c r="AP98" s="341"/>
      <c r="AQ98" s="89" t="s">
        <v>81</v>
      </c>
      <c r="AR98" s="51"/>
      <c r="AS98" s="90">
        <v>0</v>
      </c>
      <c r="AT98" s="91">
        <f t="shared" si="0"/>
        <v>0</v>
      </c>
      <c r="AU98" s="92">
        <f>'E1.5 - Plynoinštalácia'!P125</f>
        <v>0</v>
      </c>
      <c r="AV98" s="91">
        <f>'E1.5 - Plynoinštalácia'!J35</f>
        <v>0</v>
      </c>
      <c r="AW98" s="91">
        <f>'E1.5 - Plynoinštalácia'!J36</f>
        <v>0</v>
      </c>
      <c r="AX98" s="91">
        <f>'E1.5 - Plynoinštalácia'!J37</f>
        <v>0</v>
      </c>
      <c r="AY98" s="91">
        <f>'E1.5 - Plynoinštalácia'!J38</f>
        <v>0</v>
      </c>
      <c r="AZ98" s="91">
        <f>'E1.5 - Plynoinštalácia'!F35</f>
        <v>0</v>
      </c>
      <c r="BA98" s="91">
        <f>'E1.5 - Plynoinštalácia'!F36</f>
        <v>0</v>
      </c>
      <c r="BB98" s="91">
        <f>'E1.5 - Plynoinštalácia'!F37</f>
        <v>0</v>
      </c>
      <c r="BC98" s="91">
        <f>'E1.5 - Plynoinštalácia'!F38</f>
        <v>0</v>
      </c>
      <c r="BD98" s="93">
        <f>'E1.5 - Plynoinštalácia'!F39</f>
        <v>0</v>
      </c>
      <c r="BT98" s="22" t="s">
        <v>82</v>
      </c>
      <c r="BV98" s="22" t="s">
        <v>71</v>
      </c>
      <c r="BW98" s="22" t="s">
        <v>89</v>
      </c>
      <c r="BX98" s="22" t="s">
        <v>77</v>
      </c>
      <c r="CL98" s="22" t="s">
        <v>1</v>
      </c>
    </row>
    <row r="99" spans="1:91" s="4" customFormat="1" ht="16.5" customHeight="1">
      <c r="A99" s="88" t="s">
        <v>78</v>
      </c>
      <c r="B99" s="51"/>
      <c r="C99" s="10"/>
      <c r="D99" s="10"/>
      <c r="E99" s="369" t="s">
        <v>90</v>
      </c>
      <c r="F99" s="369"/>
      <c r="G99" s="369"/>
      <c r="H99" s="369"/>
      <c r="I99" s="369"/>
      <c r="J99" s="10"/>
      <c r="K99" s="369" t="s">
        <v>91</v>
      </c>
      <c r="L99" s="369"/>
      <c r="M99" s="369"/>
      <c r="N99" s="369"/>
      <c r="O99" s="369"/>
      <c r="P99" s="369"/>
      <c r="Q99" s="369"/>
      <c r="R99" s="369"/>
      <c r="S99" s="369"/>
      <c r="T99" s="369"/>
      <c r="U99" s="369"/>
      <c r="V99" s="369"/>
      <c r="W99" s="369"/>
      <c r="X99" s="369"/>
      <c r="Y99" s="369"/>
      <c r="Z99" s="369"/>
      <c r="AA99" s="369"/>
      <c r="AB99" s="369"/>
      <c r="AC99" s="369"/>
      <c r="AD99" s="369"/>
      <c r="AE99" s="369"/>
      <c r="AF99" s="369"/>
      <c r="AG99" s="340">
        <v>0</v>
      </c>
      <c r="AH99" s="341"/>
      <c r="AI99" s="341"/>
      <c r="AJ99" s="341"/>
      <c r="AK99" s="341"/>
      <c r="AL99" s="341"/>
      <c r="AM99" s="341"/>
      <c r="AN99" s="340">
        <v>0</v>
      </c>
      <c r="AO99" s="341"/>
      <c r="AP99" s="341"/>
      <c r="AQ99" s="89" t="s">
        <v>81</v>
      </c>
      <c r="AR99" s="51"/>
      <c r="AS99" s="90">
        <v>0</v>
      </c>
      <c r="AT99" s="91">
        <f t="shared" si="0"/>
        <v>0</v>
      </c>
      <c r="AU99" s="92">
        <f>'E1.6-1 - ELI + MaR - DT01'!P142</f>
        <v>0</v>
      </c>
      <c r="AV99" s="91">
        <f>'E1.6-1 - ELI + MaR - DT01'!J35</f>
        <v>0</v>
      </c>
      <c r="AW99" s="91">
        <f>'E1.6-1 - ELI + MaR - DT01'!J36</f>
        <v>0</v>
      </c>
      <c r="AX99" s="91">
        <f>'E1.6-1 - ELI + MaR - DT01'!J37</f>
        <v>0</v>
      </c>
      <c r="AY99" s="91">
        <f>'E1.6-1 - ELI + MaR - DT01'!J38</f>
        <v>0</v>
      </c>
      <c r="AZ99" s="91">
        <f>'E1.6-1 - ELI + MaR - DT01'!F35</f>
        <v>0</v>
      </c>
      <c r="BA99" s="91">
        <f>'E1.6-1 - ELI + MaR - DT01'!F36</f>
        <v>0</v>
      </c>
      <c r="BB99" s="91">
        <f>'E1.6-1 - ELI + MaR - DT01'!F37</f>
        <v>0</v>
      </c>
      <c r="BC99" s="91">
        <f>'E1.6-1 - ELI + MaR - DT01'!F38</f>
        <v>0</v>
      </c>
      <c r="BD99" s="93">
        <f>'E1.6-1 - ELI + MaR - DT01'!F39</f>
        <v>0</v>
      </c>
      <c r="BT99" s="22" t="s">
        <v>82</v>
      </c>
      <c r="BV99" s="22" t="s">
        <v>71</v>
      </c>
      <c r="BW99" s="22" t="s">
        <v>92</v>
      </c>
      <c r="BX99" s="22" t="s">
        <v>77</v>
      </c>
      <c r="CL99" s="22" t="s">
        <v>1</v>
      </c>
    </row>
    <row r="100" spans="1:91" s="4" customFormat="1" ht="16.5" customHeight="1">
      <c r="A100" s="88" t="s">
        <v>78</v>
      </c>
      <c r="B100" s="51"/>
      <c r="C100" s="10"/>
      <c r="D100" s="10"/>
      <c r="E100" s="369" t="s">
        <v>93</v>
      </c>
      <c r="F100" s="369"/>
      <c r="G100" s="369"/>
      <c r="H100" s="369"/>
      <c r="I100" s="369"/>
      <c r="J100" s="10"/>
      <c r="K100" s="369" t="s">
        <v>94</v>
      </c>
      <c r="L100" s="369"/>
      <c r="M100" s="369"/>
      <c r="N100" s="369"/>
      <c r="O100" s="369"/>
      <c r="P100" s="369"/>
      <c r="Q100" s="369"/>
      <c r="R100" s="369"/>
      <c r="S100" s="369"/>
      <c r="T100" s="369"/>
      <c r="U100" s="369"/>
      <c r="V100" s="369"/>
      <c r="W100" s="369"/>
      <c r="X100" s="369"/>
      <c r="Y100" s="369"/>
      <c r="Z100" s="369"/>
      <c r="AA100" s="369"/>
      <c r="AB100" s="369"/>
      <c r="AC100" s="369"/>
      <c r="AD100" s="369"/>
      <c r="AE100" s="369"/>
      <c r="AF100" s="369"/>
      <c r="AG100" s="340">
        <v>0</v>
      </c>
      <c r="AH100" s="341"/>
      <c r="AI100" s="341"/>
      <c r="AJ100" s="341"/>
      <c r="AK100" s="341"/>
      <c r="AL100" s="341"/>
      <c r="AM100" s="341"/>
      <c r="AN100" s="340">
        <v>0</v>
      </c>
      <c r="AO100" s="341"/>
      <c r="AP100" s="341"/>
      <c r="AQ100" s="89" t="s">
        <v>81</v>
      </c>
      <c r="AR100" s="51"/>
      <c r="AS100" s="90">
        <v>0</v>
      </c>
      <c r="AT100" s="91">
        <f t="shared" si="0"/>
        <v>0</v>
      </c>
      <c r="AU100" s="92">
        <f>'E1.6-3 - ELI + MaR - DT03'!P134</f>
        <v>0</v>
      </c>
      <c r="AV100" s="91">
        <f>'E1.6-3 - ELI + MaR - DT03'!J35</f>
        <v>0</v>
      </c>
      <c r="AW100" s="91">
        <f>'E1.6-3 - ELI + MaR - DT03'!J36</f>
        <v>0</v>
      </c>
      <c r="AX100" s="91">
        <f>'E1.6-3 - ELI + MaR - DT03'!J37</f>
        <v>0</v>
      </c>
      <c r="AY100" s="91">
        <f>'E1.6-3 - ELI + MaR - DT03'!J38</f>
        <v>0</v>
      </c>
      <c r="AZ100" s="91">
        <f>'E1.6-3 - ELI + MaR - DT03'!F35</f>
        <v>0</v>
      </c>
      <c r="BA100" s="91">
        <f>'E1.6-3 - ELI + MaR - DT03'!F36</f>
        <v>0</v>
      </c>
      <c r="BB100" s="91">
        <f>'E1.6-3 - ELI + MaR - DT03'!F37</f>
        <v>0</v>
      </c>
      <c r="BC100" s="91">
        <f>'E1.6-3 - ELI + MaR - DT03'!F38</f>
        <v>0</v>
      </c>
      <c r="BD100" s="93">
        <f>'E1.6-3 - ELI + MaR - DT03'!F39</f>
        <v>0</v>
      </c>
      <c r="BT100" s="22" t="s">
        <v>82</v>
      </c>
      <c r="BV100" s="22" t="s">
        <v>71</v>
      </c>
      <c r="BW100" s="22" t="s">
        <v>95</v>
      </c>
      <c r="BX100" s="22" t="s">
        <v>77</v>
      </c>
      <c r="CL100" s="22" t="s">
        <v>1</v>
      </c>
    </row>
    <row r="101" spans="1:91" s="4" customFormat="1" ht="16.5" customHeight="1">
      <c r="A101" s="88" t="s">
        <v>78</v>
      </c>
      <c r="B101" s="51"/>
      <c r="C101" s="10"/>
      <c r="D101" s="10"/>
      <c r="E101" s="369" t="s">
        <v>96</v>
      </c>
      <c r="F101" s="369"/>
      <c r="G101" s="369"/>
      <c r="H101" s="369"/>
      <c r="I101" s="369"/>
      <c r="J101" s="10"/>
      <c r="K101" s="369" t="s">
        <v>97</v>
      </c>
      <c r="L101" s="369"/>
      <c r="M101" s="369"/>
      <c r="N101" s="369"/>
      <c r="O101" s="369"/>
      <c r="P101" s="369"/>
      <c r="Q101" s="369"/>
      <c r="R101" s="369"/>
      <c r="S101" s="369"/>
      <c r="T101" s="369"/>
      <c r="U101" s="369"/>
      <c r="V101" s="369"/>
      <c r="W101" s="369"/>
      <c r="X101" s="369"/>
      <c r="Y101" s="369"/>
      <c r="Z101" s="369"/>
      <c r="AA101" s="369"/>
      <c r="AB101" s="369"/>
      <c r="AC101" s="369"/>
      <c r="AD101" s="369"/>
      <c r="AE101" s="369"/>
      <c r="AF101" s="369"/>
      <c r="AG101" s="340">
        <v>0</v>
      </c>
      <c r="AH101" s="341"/>
      <c r="AI101" s="341"/>
      <c r="AJ101" s="341"/>
      <c r="AK101" s="341"/>
      <c r="AL101" s="341"/>
      <c r="AM101" s="341"/>
      <c r="AN101" s="340">
        <v>0</v>
      </c>
      <c r="AO101" s="341"/>
      <c r="AP101" s="341"/>
      <c r="AQ101" s="89" t="s">
        <v>81</v>
      </c>
      <c r="AR101" s="51"/>
      <c r="AS101" s="90">
        <v>0</v>
      </c>
      <c r="AT101" s="91">
        <f t="shared" si="0"/>
        <v>0</v>
      </c>
      <c r="AU101" s="92">
        <f>'E1.6-2A - ELI  MaR - DT02A'!P134</f>
        <v>0</v>
      </c>
      <c r="AV101" s="91">
        <f>'E1.6-2A - ELI  MaR - DT02A'!J35</f>
        <v>0</v>
      </c>
      <c r="AW101" s="91">
        <f>'E1.6-2A - ELI  MaR - DT02A'!J36</f>
        <v>0</v>
      </c>
      <c r="AX101" s="91">
        <f>'E1.6-2A - ELI  MaR - DT02A'!J37</f>
        <v>0</v>
      </c>
      <c r="AY101" s="91">
        <f>'E1.6-2A - ELI  MaR - DT02A'!J38</f>
        <v>0</v>
      </c>
      <c r="AZ101" s="91">
        <f>'E1.6-2A - ELI  MaR - DT02A'!F35</f>
        <v>0</v>
      </c>
      <c r="BA101" s="91">
        <f>'E1.6-2A - ELI  MaR - DT02A'!F36</f>
        <v>0</v>
      </c>
      <c r="BB101" s="91">
        <f>'E1.6-2A - ELI  MaR - DT02A'!F37</f>
        <v>0</v>
      </c>
      <c r="BC101" s="91">
        <f>'E1.6-2A - ELI  MaR - DT02A'!F38</f>
        <v>0</v>
      </c>
      <c r="BD101" s="93">
        <f>'E1.6-2A - ELI  MaR - DT02A'!F39</f>
        <v>0</v>
      </c>
      <c r="BT101" s="22" t="s">
        <v>82</v>
      </c>
      <c r="BV101" s="22" t="s">
        <v>71</v>
      </c>
      <c r="BW101" s="22" t="s">
        <v>98</v>
      </c>
      <c r="BX101" s="22" t="s">
        <v>77</v>
      </c>
      <c r="CL101" s="22" t="s">
        <v>1</v>
      </c>
    </row>
    <row r="102" spans="1:91" s="4" customFormat="1" ht="16.5" customHeight="1">
      <c r="A102" s="88" t="s">
        <v>78</v>
      </c>
      <c r="B102" s="51"/>
      <c r="C102" s="10"/>
      <c r="D102" s="10"/>
      <c r="E102" s="369" t="s">
        <v>99</v>
      </c>
      <c r="F102" s="369"/>
      <c r="G102" s="369"/>
      <c r="H102" s="369"/>
      <c r="I102" s="369"/>
      <c r="J102" s="10"/>
      <c r="K102" s="369" t="s">
        <v>100</v>
      </c>
      <c r="L102" s="369"/>
      <c r="M102" s="369"/>
      <c r="N102" s="369"/>
      <c r="O102" s="369"/>
      <c r="P102" s="369"/>
      <c r="Q102" s="369"/>
      <c r="R102" s="369"/>
      <c r="S102" s="369"/>
      <c r="T102" s="369"/>
      <c r="U102" s="369"/>
      <c r="V102" s="369"/>
      <c r="W102" s="369"/>
      <c r="X102" s="369"/>
      <c r="Y102" s="369"/>
      <c r="Z102" s="369"/>
      <c r="AA102" s="369"/>
      <c r="AB102" s="369"/>
      <c r="AC102" s="369"/>
      <c r="AD102" s="369"/>
      <c r="AE102" s="369"/>
      <c r="AF102" s="369"/>
      <c r="AG102" s="340">
        <v>0</v>
      </c>
      <c r="AH102" s="341"/>
      <c r="AI102" s="341"/>
      <c r="AJ102" s="341"/>
      <c r="AK102" s="341"/>
      <c r="AL102" s="341"/>
      <c r="AM102" s="341"/>
      <c r="AN102" s="340">
        <v>0</v>
      </c>
      <c r="AO102" s="341"/>
      <c r="AP102" s="341"/>
      <c r="AQ102" s="89" t="s">
        <v>81</v>
      </c>
      <c r="AR102" s="51"/>
      <c r="AS102" s="90">
        <v>0</v>
      </c>
      <c r="AT102" s="91">
        <f t="shared" si="0"/>
        <v>0</v>
      </c>
      <c r="AU102" s="92">
        <f>'E1.6-2B - ELI + MaR - DT02B'!P133</f>
        <v>0</v>
      </c>
      <c r="AV102" s="91">
        <f>'E1.6-2B - ELI + MaR - DT02B'!J35</f>
        <v>0</v>
      </c>
      <c r="AW102" s="91">
        <f>'E1.6-2B - ELI + MaR - DT02B'!J36</f>
        <v>0</v>
      </c>
      <c r="AX102" s="91">
        <f>'E1.6-2B - ELI + MaR - DT02B'!J37</f>
        <v>0</v>
      </c>
      <c r="AY102" s="91">
        <f>'E1.6-2B - ELI + MaR - DT02B'!J38</f>
        <v>0</v>
      </c>
      <c r="AZ102" s="91">
        <f>'E1.6-2B - ELI + MaR - DT02B'!F35</f>
        <v>0</v>
      </c>
      <c r="BA102" s="91">
        <f>'E1.6-2B - ELI + MaR - DT02B'!F36</f>
        <v>0</v>
      </c>
      <c r="BB102" s="91">
        <f>'E1.6-2B - ELI + MaR - DT02B'!F37</f>
        <v>0</v>
      </c>
      <c r="BC102" s="91">
        <f>'E1.6-2B - ELI + MaR - DT02B'!F38</f>
        <v>0</v>
      </c>
      <c r="BD102" s="93">
        <f>'E1.6-2B - ELI + MaR - DT02B'!F39</f>
        <v>0</v>
      </c>
      <c r="BT102" s="22" t="s">
        <v>82</v>
      </c>
      <c r="BV102" s="22" t="s">
        <v>71</v>
      </c>
      <c r="BW102" s="22" t="s">
        <v>101</v>
      </c>
      <c r="BX102" s="22" t="s">
        <v>77</v>
      </c>
      <c r="CL102" s="22" t="s">
        <v>1</v>
      </c>
    </row>
    <row r="103" spans="1:91" s="4" customFormat="1" ht="16.5" customHeight="1">
      <c r="A103" s="88" t="s">
        <v>78</v>
      </c>
      <c r="B103" s="51"/>
      <c r="C103" s="10"/>
      <c r="D103" s="10"/>
      <c r="E103" s="369" t="s">
        <v>102</v>
      </c>
      <c r="F103" s="369"/>
      <c r="G103" s="369"/>
      <c r="H103" s="369"/>
      <c r="I103" s="369"/>
      <c r="J103" s="10"/>
      <c r="K103" s="369" t="s">
        <v>103</v>
      </c>
      <c r="L103" s="369"/>
      <c r="M103" s="369"/>
      <c r="N103" s="369"/>
      <c r="O103" s="369"/>
      <c r="P103" s="369"/>
      <c r="Q103" s="369"/>
      <c r="R103" s="369"/>
      <c r="S103" s="369"/>
      <c r="T103" s="369"/>
      <c r="U103" s="369"/>
      <c r="V103" s="369"/>
      <c r="W103" s="369"/>
      <c r="X103" s="369"/>
      <c r="Y103" s="369"/>
      <c r="Z103" s="369"/>
      <c r="AA103" s="369"/>
      <c r="AB103" s="369"/>
      <c r="AC103" s="369"/>
      <c r="AD103" s="369"/>
      <c r="AE103" s="369"/>
      <c r="AF103" s="369"/>
      <c r="AG103" s="340">
        <v>0</v>
      </c>
      <c r="AH103" s="341"/>
      <c r="AI103" s="341"/>
      <c r="AJ103" s="341"/>
      <c r="AK103" s="341"/>
      <c r="AL103" s="341"/>
      <c r="AM103" s="341"/>
      <c r="AN103" s="340">
        <v>0</v>
      </c>
      <c r="AO103" s="341"/>
      <c r="AP103" s="341"/>
      <c r="AQ103" s="89" t="s">
        <v>81</v>
      </c>
      <c r="AR103" s="51"/>
      <c r="AS103" s="90">
        <v>0</v>
      </c>
      <c r="AT103" s="91">
        <f t="shared" si="0"/>
        <v>0</v>
      </c>
      <c r="AU103" s="92">
        <f>'E1.6-4 - ELI + MaR - PRIS4.1'!P124</f>
        <v>0</v>
      </c>
      <c r="AV103" s="91">
        <f>'E1.6-4 - ELI + MaR - PRIS4.1'!J35</f>
        <v>0</v>
      </c>
      <c r="AW103" s="91">
        <f>'E1.6-4 - ELI + MaR - PRIS4.1'!J36</f>
        <v>0</v>
      </c>
      <c r="AX103" s="91">
        <f>'E1.6-4 - ELI + MaR - PRIS4.1'!J37</f>
        <v>0</v>
      </c>
      <c r="AY103" s="91">
        <f>'E1.6-4 - ELI + MaR - PRIS4.1'!J38</f>
        <v>0</v>
      </c>
      <c r="AZ103" s="91">
        <f>'E1.6-4 - ELI + MaR - PRIS4.1'!F35</f>
        <v>0</v>
      </c>
      <c r="BA103" s="91">
        <f>'E1.6-4 - ELI + MaR - PRIS4.1'!F36</f>
        <v>0</v>
      </c>
      <c r="BB103" s="91">
        <f>'E1.6-4 - ELI + MaR - PRIS4.1'!F37</f>
        <v>0</v>
      </c>
      <c r="BC103" s="91">
        <f>'E1.6-4 - ELI + MaR - PRIS4.1'!F38</f>
        <v>0</v>
      </c>
      <c r="BD103" s="93">
        <f>'E1.6-4 - ELI + MaR - PRIS4.1'!F39</f>
        <v>0</v>
      </c>
      <c r="BT103" s="22" t="s">
        <v>82</v>
      </c>
      <c r="BV103" s="22" t="s">
        <v>71</v>
      </c>
      <c r="BW103" s="22" t="s">
        <v>104</v>
      </c>
      <c r="BX103" s="22" t="s">
        <v>77</v>
      </c>
      <c r="CL103" s="22" t="s">
        <v>1</v>
      </c>
    </row>
    <row r="104" spans="1:91" s="4" customFormat="1" ht="16.5" customHeight="1">
      <c r="A104" s="88" t="s">
        <v>78</v>
      </c>
      <c r="B104" s="51"/>
      <c r="C104" s="10"/>
      <c r="D104" s="10"/>
      <c r="E104" s="369" t="s">
        <v>105</v>
      </c>
      <c r="F104" s="369"/>
      <c r="G104" s="369"/>
      <c r="H104" s="369"/>
      <c r="I104" s="369"/>
      <c r="J104" s="10"/>
      <c r="K104" s="369" t="s">
        <v>106</v>
      </c>
      <c r="L104" s="369"/>
      <c r="M104" s="369"/>
      <c r="N104" s="369"/>
      <c r="O104" s="369"/>
      <c r="P104" s="369"/>
      <c r="Q104" s="369"/>
      <c r="R104" s="369"/>
      <c r="S104" s="369"/>
      <c r="T104" s="369"/>
      <c r="U104" s="369"/>
      <c r="V104" s="369"/>
      <c r="W104" s="369"/>
      <c r="X104" s="369"/>
      <c r="Y104" s="369"/>
      <c r="Z104" s="369"/>
      <c r="AA104" s="369"/>
      <c r="AB104" s="369"/>
      <c r="AC104" s="369"/>
      <c r="AD104" s="369"/>
      <c r="AE104" s="369"/>
      <c r="AF104" s="369"/>
      <c r="AG104" s="340">
        <v>0</v>
      </c>
      <c r="AH104" s="341"/>
      <c r="AI104" s="341"/>
      <c r="AJ104" s="341"/>
      <c r="AK104" s="341"/>
      <c r="AL104" s="341"/>
      <c r="AM104" s="341"/>
      <c r="AN104" s="340">
        <v>0</v>
      </c>
      <c r="AO104" s="341"/>
      <c r="AP104" s="341"/>
      <c r="AQ104" s="89" t="s">
        <v>81</v>
      </c>
      <c r="AR104" s="51"/>
      <c r="AS104" s="90">
        <v>0</v>
      </c>
      <c r="AT104" s="91">
        <f t="shared" si="0"/>
        <v>0</v>
      </c>
      <c r="AU104" s="92">
        <f>'E1.4 - Technologia kotoln...'!P134</f>
        <v>0</v>
      </c>
      <c r="AV104" s="91">
        <f>'E1.4 - Technologia kotoln...'!J35</f>
        <v>0</v>
      </c>
      <c r="AW104" s="91">
        <f>'E1.4 - Technologia kotoln...'!J36</f>
        <v>0</v>
      </c>
      <c r="AX104" s="91">
        <f>'E1.4 - Technologia kotoln...'!J37</f>
        <v>0</v>
      </c>
      <c r="AY104" s="91">
        <f>'E1.4 - Technologia kotoln...'!J38</f>
        <v>0</v>
      </c>
      <c r="AZ104" s="91">
        <f>'E1.4 - Technologia kotoln...'!F35</f>
        <v>0</v>
      </c>
      <c r="BA104" s="91">
        <f>'E1.4 - Technologia kotoln...'!F36</f>
        <v>0</v>
      </c>
      <c r="BB104" s="91">
        <f>'E1.4 - Technologia kotoln...'!F37</f>
        <v>0</v>
      </c>
      <c r="BC104" s="91">
        <f>'E1.4 - Technologia kotoln...'!F38</f>
        <v>0</v>
      </c>
      <c r="BD104" s="93">
        <f>'E1.4 - Technologia kotoln...'!F39</f>
        <v>0</v>
      </c>
      <c r="BT104" s="22" t="s">
        <v>82</v>
      </c>
      <c r="BV104" s="22" t="s">
        <v>71</v>
      </c>
      <c r="BW104" s="22" t="s">
        <v>107</v>
      </c>
      <c r="BX104" s="22" t="s">
        <v>77</v>
      </c>
      <c r="CL104" s="22" t="s">
        <v>1</v>
      </c>
    </row>
    <row r="105" spans="1:91" s="7" customFormat="1" ht="16.5" customHeight="1">
      <c r="B105" s="79"/>
      <c r="C105" s="80"/>
      <c r="D105" s="384" t="s">
        <v>108</v>
      </c>
      <c r="E105" s="384"/>
      <c r="F105" s="384"/>
      <c r="G105" s="384"/>
      <c r="H105" s="384"/>
      <c r="I105" s="81"/>
      <c r="J105" s="384" t="s">
        <v>109</v>
      </c>
      <c r="K105" s="384"/>
      <c r="L105" s="384"/>
      <c r="M105" s="384"/>
      <c r="N105" s="384"/>
      <c r="O105" s="384"/>
      <c r="P105" s="384"/>
      <c r="Q105" s="384"/>
      <c r="R105" s="384"/>
      <c r="S105" s="384"/>
      <c r="T105" s="384"/>
      <c r="U105" s="384"/>
      <c r="V105" s="384"/>
      <c r="W105" s="384"/>
      <c r="X105" s="384"/>
      <c r="Y105" s="384"/>
      <c r="Z105" s="384"/>
      <c r="AA105" s="384"/>
      <c r="AB105" s="384"/>
      <c r="AC105" s="384"/>
      <c r="AD105" s="384"/>
      <c r="AE105" s="384"/>
      <c r="AF105" s="384"/>
      <c r="AG105" s="349">
        <v>0</v>
      </c>
      <c r="AH105" s="348"/>
      <c r="AI105" s="348"/>
      <c r="AJ105" s="348"/>
      <c r="AK105" s="348"/>
      <c r="AL105" s="348"/>
      <c r="AM105" s="348"/>
      <c r="AN105" s="347">
        <v>0</v>
      </c>
      <c r="AO105" s="348"/>
      <c r="AP105" s="348"/>
      <c r="AQ105" s="82" t="s">
        <v>75</v>
      </c>
      <c r="AR105" s="79"/>
      <c r="AS105" s="83">
        <f>ROUND(SUM(AS106:AS111),2)</f>
        <v>0</v>
      </c>
      <c r="AT105" s="84">
        <f t="shared" si="0"/>
        <v>0</v>
      </c>
      <c r="AU105" s="85">
        <f>ROUND(SUM(AU106:AU111),5)</f>
        <v>0</v>
      </c>
      <c r="AV105" s="84">
        <f>ROUND(AZ105*L29,2)</f>
        <v>0</v>
      </c>
      <c r="AW105" s="84">
        <f>ROUND(BA105*L30,2)</f>
        <v>0</v>
      </c>
      <c r="AX105" s="84">
        <f>ROUND(BB105*L29,2)</f>
        <v>0</v>
      </c>
      <c r="AY105" s="84">
        <f>ROUND(BC105*L30,2)</f>
        <v>0</v>
      </c>
      <c r="AZ105" s="84">
        <f>ROUND(SUM(AZ106:AZ111),2)</f>
        <v>0</v>
      </c>
      <c r="BA105" s="84">
        <f>ROUND(SUM(BA106:BA111),2)</f>
        <v>0</v>
      </c>
      <c r="BB105" s="84">
        <f>ROUND(SUM(BB106:BB111),2)</f>
        <v>0</v>
      </c>
      <c r="BC105" s="84">
        <f>ROUND(SUM(BC106:BC111),2)</f>
        <v>0</v>
      </c>
      <c r="BD105" s="86">
        <f>ROUND(SUM(BD106:BD111),2)</f>
        <v>0</v>
      </c>
      <c r="BS105" s="87" t="s">
        <v>68</v>
      </c>
      <c r="BT105" s="87" t="s">
        <v>76</v>
      </c>
      <c r="BU105" s="87" t="s">
        <v>70</v>
      </c>
      <c r="BV105" s="87" t="s">
        <v>71</v>
      </c>
      <c r="BW105" s="87" t="s">
        <v>110</v>
      </c>
      <c r="BX105" s="87" t="s">
        <v>4</v>
      </c>
      <c r="CL105" s="87" t="s">
        <v>1</v>
      </c>
      <c r="CM105" s="87" t="s">
        <v>69</v>
      </c>
    </row>
    <row r="106" spans="1:91" s="4" customFormat="1" ht="16.5" customHeight="1">
      <c r="A106" s="88" t="s">
        <v>78</v>
      </c>
      <c r="B106" s="51"/>
      <c r="C106" s="10"/>
      <c r="D106" s="10"/>
      <c r="E106" s="369" t="s">
        <v>111</v>
      </c>
      <c r="F106" s="369"/>
      <c r="G106" s="369"/>
      <c r="H106" s="369"/>
      <c r="I106" s="369"/>
      <c r="J106" s="10"/>
      <c r="K106" s="369" t="s">
        <v>112</v>
      </c>
      <c r="L106" s="369"/>
      <c r="M106" s="369"/>
      <c r="N106" s="369"/>
      <c r="O106" s="369"/>
      <c r="P106" s="369"/>
      <c r="Q106" s="369"/>
      <c r="R106" s="369"/>
      <c r="S106" s="369"/>
      <c r="T106" s="369"/>
      <c r="U106" s="369"/>
      <c r="V106" s="369"/>
      <c r="W106" s="369"/>
      <c r="X106" s="369"/>
      <c r="Y106" s="369"/>
      <c r="Z106" s="369"/>
      <c r="AA106" s="369"/>
      <c r="AB106" s="369"/>
      <c r="AC106" s="369"/>
      <c r="AD106" s="369"/>
      <c r="AE106" s="369"/>
      <c r="AF106" s="369"/>
      <c r="AG106" s="340">
        <v>0</v>
      </c>
      <c r="AH106" s="341"/>
      <c r="AI106" s="341"/>
      <c r="AJ106" s="341"/>
      <c r="AK106" s="341"/>
      <c r="AL106" s="341"/>
      <c r="AM106" s="341"/>
      <c r="AN106" s="340">
        <v>0</v>
      </c>
      <c r="AO106" s="341"/>
      <c r="AP106" s="341"/>
      <c r="AQ106" s="89" t="s">
        <v>81</v>
      </c>
      <c r="AR106" s="51"/>
      <c r="AS106" s="90">
        <v>0</v>
      </c>
      <c r="AT106" s="91">
        <f t="shared" si="0"/>
        <v>0</v>
      </c>
      <c r="AU106" s="92">
        <f>'E2.1 - SO 02.1  Búracie p...'!P123</f>
        <v>0</v>
      </c>
      <c r="AV106" s="91">
        <f>'E2.1 - SO 02.1  Búracie p...'!J35</f>
        <v>0</v>
      </c>
      <c r="AW106" s="91">
        <f>'E2.1 - SO 02.1  Búracie p...'!J36</f>
        <v>0</v>
      </c>
      <c r="AX106" s="91">
        <f>'E2.1 - SO 02.1  Búracie p...'!J37</f>
        <v>0</v>
      </c>
      <c r="AY106" s="91">
        <f>'E2.1 - SO 02.1  Búracie p...'!J38</f>
        <v>0</v>
      </c>
      <c r="AZ106" s="91">
        <f>'E2.1 - SO 02.1  Búracie p...'!F35</f>
        <v>0</v>
      </c>
      <c r="BA106" s="91">
        <f>'E2.1 - SO 02.1  Búracie p...'!F36</f>
        <v>0</v>
      </c>
      <c r="BB106" s="91">
        <f>'E2.1 - SO 02.1  Búracie p...'!F37</f>
        <v>0</v>
      </c>
      <c r="BC106" s="91">
        <f>'E2.1 - SO 02.1  Búracie p...'!F38</f>
        <v>0</v>
      </c>
      <c r="BD106" s="93">
        <f>'E2.1 - SO 02.1  Búracie p...'!F39</f>
        <v>0</v>
      </c>
      <c r="BT106" s="22" t="s">
        <v>82</v>
      </c>
      <c r="BV106" s="22" t="s">
        <v>71</v>
      </c>
      <c r="BW106" s="22" t="s">
        <v>113</v>
      </c>
      <c r="BX106" s="22" t="s">
        <v>110</v>
      </c>
      <c r="CL106" s="22" t="s">
        <v>1</v>
      </c>
    </row>
    <row r="107" spans="1:91" s="4" customFormat="1" ht="16.5" customHeight="1">
      <c r="A107" s="88" t="s">
        <v>78</v>
      </c>
      <c r="B107" s="51"/>
      <c r="C107" s="10"/>
      <c r="D107" s="10"/>
      <c r="E107" s="369" t="s">
        <v>114</v>
      </c>
      <c r="F107" s="369"/>
      <c r="G107" s="369"/>
      <c r="H107" s="369"/>
      <c r="I107" s="369"/>
      <c r="J107" s="10"/>
      <c r="K107" s="369" t="s">
        <v>115</v>
      </c>
      <c r="L107" s="369"/>
      <c r="M107" s="369"/>
      <c r="N107" s="369"/>
      <c r="O107" s="369"/>
      <c r="P107" s="369"/>
      <c r="Q107" s="369"/>
      <c r="R107" s="369"/>
      <c r="S107" s="369"/>
      <c r="T107" s="369"/>
      <c r="U107" s="369"/>
      <c r="V107" s="369"/>
      <c r="W107" s="369"/>
      <c r="X107" s="369"/>
      <c r="Y107" s="369"/>
      <c r="Z107" s="369"/>
      <c r="AA107" s="369"/>
      <c r="AB107" s="369"/>
      <c r="AC107" s="369"/>
      <c r="AD107" s="369"/>
      <c r="AE107" s="369"/>
      <c r="AF107" s="369"/>
      <c r="AG107" s="340">
        <v>0</v>
      </c>
      <c r="AH107" s="341"/>
      <c r="AI107" s="341"/>
      <c r="AJ107" s="341"/>
      <c r="AK107" s="341"/>
      <c r="AL107" s="341"/>
      <c r="AM107" s="341"/>
      <c r="AN107" s="340">
        <v>0</v>
      </c>
      <c r="AO107" s="341"/>
      <c r="AP107" s="341"/>
      <c r="AQ107" s="89" t="s">
        <v>81</v>
      </c>
      <c r="AR107" s="51"/>
      <c r="AS107" s="90">
        <v>0</v>
      </c>
      <c r="AT107" s="91">
        <f t="shared" si="0"/>
        <v>0</v>
      </c>
      <c r="AU107" s="92">
        <f>'E2.1-A - Teplovod pre obj...'!P131</f>
        <v>0</v>
      </c>
      <c r="AV107" s="91">
        <f>'E2.1-A - Teplovod pre obj...'!J35</f>
        <v>0</v>
      </c>
      <c r="AW107" s="91">
        <f>'E2.1-A - Teplovod pre obj...'!J36</f>
        <v>0</v>
      </c>
      <c r="AX107" s="91">
        <f>'E2.1-A - Teplovod pre obj...'!J37</f>
        <v>0</v>
      </c>
      <c r="AY107" s="91">
        <f>'E2.1-A - Teplovod pre obj...'!J38</f>
        <v>0</v>
      </c>
      <c r="AZ107" s="91">
        <f>'E2.1-A - Teplovod pre obj...'!F35</f>
        <v>0</v>
      </c>
      <c r="BA107" s="91">
        <f>'E2.1-A - Teplovod pre obj...'!F36</f>
        <v>0</v>
      </c>
      <c r="BB107" s="91">
        <f>'E2.1-A - Teplovod pre obj...'!F37</f>
        <v>0</v>
      </c>
      <c r="BC107" s="91">
        <f>'E2.1-A - Teplovod pre obj...'!F38</f>
        <v>0</v>
      </c>
      <c r="BD107" s="93">
        <f>'E2.1-A - Teplovod pre obj...'!F39</f>
        <v>0</v>
      </c>
      <c r="BT107" s="22" t="s">
        <v>82</v>
      </c>
      <c r="BV107" s="22" t="s">
        <v>71</v>
      </c>
      <c r="BW107" s="22" t="s">
        <v>116</v>
      </c>
      <c r="BX107" s="22" t="s">
        <v>110</v>
      </c>
      <c r="CL107" s="22" t="s">
        <v>1</v>
      </c>
    </row>
    <row r="108" spans="1:91" s="4" customFormat="1" ht="16.5" customHeight="1">
      <c r="A108" s="88" t="s">
        <v>78</v>
      </c>
      <c r="B108" s="51"/>
      <c r="C108" s="10"/>
      <c r="D108" s="10"/>
      <c r="E108" s="369" t="s">
        <v>117</v>
      </c>
      <c r="F108" s="369"/>
      <c r="G108" s="369"/>
      <c r="H108" s="369"/>
      <c r="I108" s="369"/>
      <c r="J108" s="10"/>
      <c r="K108" s="369" t="s">
        <v>118</v>
      </c>
      <c r="L108" s="369"/>
      <c r="M108" s="369"/>
      <c r="N108" s="369"/>
      <c r="O108" s="369"/>
      <c r="P108" s="369"/>
      <c r="Q108" s="369"/>
      <c r="R108" s="369"/>
      <c r="S108" s="369"/>
      <c r="T108" s="369"/>
      <c r="U108" s="369"/>
      <c r="V108" s="369"/>
      <c r="W108" s="369"/>
      <c r="X108" s="369"/>
      <c r="Y108" s="369"/>
      <c r="Z108" s="369"/>
      <c r="AA108" s="369"/>
      <c r="AB108" s="369"/>
      <c r="AC108" s="369"/>
      <c r="AD108" s="369"/>
      <c r="AE108" s="369"/>
      <c r="AF108" s="369"/>
      <c r="AG108" s="340">
        <v>0</v>
      </c>
      <c r="AH108" s="341"/>
      <c r="AI108" s="341"/>
      <c r="AJ108" s="341"/>
      <c r="AK108" s="341"/>
      <c r="AL108" s="341"/>
      <c r="AM108" s="341"/>
      <c r="AN108" s="340">
        <v>0</v>
      </c>
      <c r="AO108" s="341"/>
      <c r="AP108" s="341"/>
      <c r="AQ108" s="89" t="s">
        <v>81</v>
      </c>
      <c r="AR108" s="51"/>
      <c r="AS108" s="90">
        <v>0</v>
      </c>
      <c r="AT108" s="91">
        <f t="shared" si="0"/>
        <v>0</v>
      </c>
      <c r="AU108" s="92">
        <f>'E2.1-B - Teplovod pre obj...'!P132</f>
        <v>0</v>
      </c>
      <c r="AV108" s="91">
        <f>'E2.1-B - Teplovod pre obj...'!J35</f>
        <v>0</v>
      </c>
      <c r="AW108" s="91">
        <f>'E2.1-B - Teplovod pre obj...'!J36</f>
        <v>0</v>
      </c>
      <c r="AX108" s="91">
        <f>'E2.1-B - Teplovod pre obj...'!J37</f>
        <v>0</v>
      </c>
      <c r="AY108" s="91">
        <f>'E2.1-B - Teplovod pre obj...'!J38</f>
        <v>0</v>
      </c>
      <c r="AZ108" s="91">
        <f>'E2.1-B - Teplovod pre obj...'!F35</f>
        <v>0</v>
      </c>
      <c r="BA108" s="91">
        <f>'E2.1-B - Teplovod pre obj...'!F36</f>
        <v>0</v>
      </c>
      <c r="BB108" s="91">
        <f>'E2.1-B - Teplovod pre obj...'!F37</f>
        <v>0</v>
      </c>
      <c r="BC108" s="91">
        <f>'E2.1-B - Teplovod pre obj...'!F38</f>
        <v>0</v>
      </c>
      <c r="BD108" s="93">
        <f>'E2.1-B - Teplovod pre obj...'!F39</f>
        <v>0</v>
      </c>
      <c r="BT108" s="22" t="s">
        <v>82</v>
      </c>
      <c r="BV108" s="22" t="s">
        <v>71</v>
      </c>
      <c r="BW108" s="22" t="s">
        <v>119</v>
      </c>
      <c r="BX108" s="22" t="s">
        <v>110</v>
      </c>
      <c r="CL108" s="22" t="s">
        <v>1</v>
      </c>
    </row>
    <row r="109" spans="1:91" s="4" customFormat="1" ht="16.5" customHeight="1">
      <c r="A109" s="88" t="s">
        <v>78</v>
      </c>
      <c r="B109" s="51"/>
      <c r="C109" s="10"/>
      <c r="D109" s="10"/>
      <c r="E109" s="369" t="s">
        <v>120</v>
      </c>
      <c r="F109" s="369"/>
      <c r="G109" s="369"/>
      <c r="H109" s="369"/>
      <c r="I109" s="369"/>
      <c r="J109" s="10"/>
      <c r="K109" s="369" t="s">
        <v>121</v>
      </c>
      <c r="L109" s="369"/>
      <c r="M109" s="369"/>
      <c r="N109" s="369"/>
      <c r="O109" s="369"/>
      <c r="P109" s="369"/>
      <c r="Q109" s="369"/>
      <c r="R109" s="369"/>
      <c r="S109" s="369"/>
      <c r="T109" s="369"/>
      <c r="U109" s="369"/>
      <c r="V109" s="369"/>
      <c r="W109" s="369"/>
      <c r="X109" s="369"/>
      <c r="Y109" s="369"/>
      <c r="Z109" s="369"/>
      <c r="AA109" s="369"/>
      <c r="AB109" s="369"/>
      <c r="AC109" s="369"/>
      <c r="AD109" s="369"/>
      <c r="AE109" s="369"/>
      <c r="AF109" s="369"/>
      <c r="AG109" s="340">
        <v>0</v>
      </c>
      <c r="AH109" s="341"/>
      <c r="AI109" s="341"/>
      <c r="AJ109" s="341"/>
      <c r="AK109" s="341"/>
      <c r="AL109" s="341"/>
      <c r="AM109" s="341"/>
      <c r="AN109" s="340">
        <v>0</v>
      </c>
      <c r="AO109" s="341"/>
      <c r="AP109" s="341"/>
      <c r="AQ109" s="89" t="s">
        <v>81</v>
      </c>
      <c r="AR109" s="51"/>
      <c r="AS109" s="90">
        <v>0</v>
      </c>
      <c r="AT109" s="91">
        <f t="shared" si="0"/>
        <v>0</v>
      </c>
      <c r="AU109" s="92">
        <f>'E2.1.-C - Teplovod pre ob...'!P130</f>
        <v>0</v>
      </c>
      <c r="AV109" s="91">
        <f>'E2.1.-C - Teplovod pre ob...'!J35</f>
        <v>0</v>
      </c>
      <c r="AW109" s="91">
        <f>'E2.1.-C - Teplovod pre ob...'!J36</f>
        <v>0</v>
      </c>
      <c r="AX109" s="91">
        <f>'E2.1.-C - Teplovod pre ob...'!J37</f>
        <v>0</v>
      </c>
      <c r="AY109" s="91">
        <f>'E2.1.-C - Teplovod pre ob...'!J38</f>
        <v>0</v>
      </c>
      <c r="AZ109" s="91">
        <f>'E2.1.-C - Teplovod pre ob...'!F35</f>
        <v>0</v>
      </c>
      <c r="BA109" s="91">
        <f>'E2.1.-C - Teplovod pre ob...'!F36</f>
        <v>0</v>
      </c>
      <c r="BB109" s="91">
        <f>'E2.1.-C - Teplovod pre ob...'!F37</f>
        <v>0</v>
      </c>
      <c r="BC109" s="91">
        <f>'E2.1.-C - Teplovod pre ob...'!F38</f>
        <v>0</v>
      </c>
      <c r="BD109" s="93">
        <f>'E2.1.-C - Teplovod pre ob...'!F39</f>
        <v>0</v>
      </c>
      <c r="BT109" s="22" t="s">
        <v>82</v>
      </c>
      <c r="BV109" s="22" t="s">
        <v>71</v>
      </c>
      <c r="BW109" s="22" t="s">
        <v>122</v>
      </c>
      <c r="BX109" s="22" t="s">
        <v>110</v>
      </c>
      <c r="CL109" s="22" t="s">
        <v>1</v>
      </c>
    </row>
    <row r="110" spans="1:91" s="4" customFormat="1" ht="23.25" customHeight="1">
      <c r="A110" s="88" t="s">
        <v>78</v>
      </c>
      <c r="B110" s="51"/>
      <c r="C110" s="10"/>
      <c r="D110" s="10"/>
      <c r="E110" s="369" t="s">
        <v>123</v>
      </c>
      <c r="F110" s="369"/>
      <c r="G110" s="369"/>
      <c r="H110" s="369"/>
      <c r="I110" s="369"/>
      <c r="J110" s="10"/>
      <c r="K110" s="369" t="s">
        <v>124</v>
      </c>
      <c r="L110" s="369"/>
      <c r="M110" s="369"/>
      <c r="N110" s="369"/>
      <c r="O110" s="369"/>
      <c r="P110" s="369"/>
      <c r="Q110" s="369"/>
      <c r="R110" s="369"/>
      <c r="S110" s="369"/>
      <c r="T110" s="369"/>
      <c r="U110" s="369"/>
      <c r="V110" s="369"/>
      <c r="W110" s="369"/>
      <c r="X110" s="369"/>
      <c r="Y110" s="369"/>
      <c r="Z110" s="369"/>
      <c r="AA110" s="369"/>
      <c r="AB110" s="369"/>
      <c r="AC110" s="369"/>
      <c r="AD110" s="369"/>
      <c r="AE110" s="369"/>
      <c r="AF110" s="369"/>
      <c r="AG110" s="340">
        <v>0</v>
      </c>
      <c r="AH110" s="341"/>
      <c r="AI110" s="341"/>
      <c r="AJ110" s="341"/>
      <c r="AK110" s="341"/>
      <c r="AL110" s="341"/>
      <c r="AM110" s="341"/>
      <c r="AN110" s="340">
        <v>0</v>
      </c>
      <c r="AO110" s="341"/>
      <c r="AP110" s="341"/>
      <c r="AQ110" s="89" t="s">
        <v>81</v>
      </c>
      <c r="AR110" s="51"/>
      <c r="AS110" s="90">
        <v>0</v>
      </c>
      <c r="AT110" s="91">
        <f t="shared" si="0"/>
        <v>0</v>
      </c>
      <c r="AU110" s="92">
        <f>'E2.1-Cz - Teplovod pre ob...'!P133</f>
        <v>0</v>
      </c>
      <c r="AV110" s="91">
        <f>'E2.1-Cz - Teplovod pre ob...'!J35</f>
        <v>0</v>
      </c>
      <c r="AW110" s="91">
        <f>'E2.1-Cz - Teplovod pre ob...'!J36</f>
        <v>0</v>
      </c>
      <c r="AX110" s="91">
        <f>'E2.1-Cz - Teplovod pre ob...'!J37</f>
        <v>0</v>
      </c>
      <c r="AY110" s="91">
        <f>'E2.1-Cz - Teplovod pre ob...'!J38</f>
        <v>0</v>
      </c>
      <c r="AZ110" s="91">
        <f>'E2.1-Cz - Teplovod pre ob...'!F35</f>
        <v>0</v>
      </c>
      <c r="BA110" s="91">
        <f>'E2.1-Cz - Teplovod pre ob...'!F36</f>
        <v>0</v>
      </c>
      <c r="BB110" s="91">
        <f>'E2.1-Cz - Teplovod pre ob...'!F37</f>
        <v>0</v>
      </c>
      <c r="BC110" s="91">
        <f>'E2.1-Cz - Teplovod pre ob...'!F38</f>
        <v>0</v>
      </c>
      <c r="BD110" s="93">
        <f>'E2.1-Cz - Teplovod pre ob...'!F39</f>
        <v>0</v>
      </c>
      <c r="BT110" s="22" t="s">
        <v>82</v>
      </c>
      <c r="BV110" s="22" t="s">
        <v>71</v>
      </c>
      <c r="BW110" s="22" t="s">
        <v>125</v>
      </c>
      <c r="BX110" s="22" t="s">
        <v>110</v>
      </c>
      <c r="CL110" s="22" t="s">
        <v>1</v>
      </c>
    </row>
    <row r="111" spans="1:91" s="4" customFormat="1" ht="16.5" customHeight="1">
      <c r="A111" s="88" t="s">
        <v>78</v>
      </c>
      <c r="B111" s="51"/>
      <c r="C111" s="10"/>
      <c r="D111" s="10"/>
      <c r="E111" s="369" t="s">
        <v>126</v>
      </c>
      <c r="F111" s="369"/>
      <c r="G111" s="369"/>
      <c r="H111" s="369"/>
      <c r="I111" s="369"/>
      <c r="J111" s="10"/>
      <c r="K111" s="369" t="s">
        <v>127</v>
      </c>
      <c r="L111" s="369"/>
      <c r="M111" s="369"/>
      <c r="N111" s="369"/>
      <c r="O111" s="369"/>
      <c r="P111" s="369"/>
      <c r="Q111" s="369"/>
      <c r="R111" s="369"/>
      <c r="S111" s="369"/>
      <c r="T111" s="369"/>
      <c r="U111" s="369"/>
      <c r="V111" s="369"/>
      <c r="W111" s="369"/>
      <c r="X111" s="369"/>
      <c r="Y111" s="369"/>
      <c r="Z111" s="369"/>
      <c r="AA111" s="369"/>
      <c r="AB111" s="369"/>
      <c r="AC111" s="369"/>
      <c r="AD111" s="369"/>
      <c r="AE111" s="369"/>
      <c r="AF111" s="369"/>
      <c r="AG111" s="340">
        <v>0</v>
      </c>
      <c r="AH111" s="341"/>
      <c r="AI111" s="341"/>
      <c r="AJ111" s="341"/>
      <c r="AK111" s="341"/>
      <c r="AL111" s="341"/>
      <c r="AM111" s="341"/>
      <c r="AN111" s="340">
        <v>0</v>
      </c>
      <c r="AO111" s="341"/>
      <c r="AP111" s="341"/>
      <c r="AQ111" s="89" t="s">
        <v>81</v>
      </c>
      <c r="AR111" s="51"/>
      <c r="AS111" s="94">
        <v>0</v>
      </c>
      <c r="AT111" s="95">
        <f t="shared" si="0"/>
        <v>0</v>
      </c>
      <c r="AU111" s="96">
        <f>'E2.1-D - Teplovod pre obj...'!P130</f>
        <v>0</v>
      </c>
      <c r="AV111" s="95">
        <f>'E2.1-D - Teplovod pre obj...'!J35</f>
        <v>0</v>
      </c>
      <c r="AW111" s="95">
        <f>'E2.1-D - Teplovod pre obj...'!J36</f>
        <v>0</v>
      </c>
      <c r="AX111" s="95">
        <f>'E2.1-D - Teplovod pre obj...'!J37</f>
        <v>0</v>
      </c>
      <c r="AY111" s="95">
        <f>'E2.1-D - Teplovod pre obj...'!J38</f>
        <v>0</v>
      </c>
      <c r="AZ111" s="95">
        <f>'E2.1-D - Teplovod pre obj...'!F35</f>
        <v>0</v>
      </c>
      <c r="BA111" s="95">
        <f>'E2.1-D - Teplovod pre obj...'!F36</f>
        <v>0</v>
      </c>
      <c r="BB111" s="95">
        <f>'E2.1-D - Teplovod pre obj...'!F37</f>
        <v>0</v>
      </c>
      <c r="BC111" s="95">
        <f>'E2.1-D - Teplovod pre obj...'!F38</f>
        <v>0</v>
      </c>
      <c r="BD111" s="97">
        <f>'E2.1-D - Teplovod pre obj...'!F39</f>
        <v>0</v>
      </c>
      <c r="BT111" s="22" t="s">
        <v>82</v>
      </c>
      <c r="BV111" s="22" t="s">
        <v>71</v>
      </c>
      <c r="BW111" s="22" t="s">
        <v>128</v>
      </c>
      <c r="BX111" s="22" t="s">
        <v>110</v>
      </c>
      <c r="CL111" s="22" t="s">
        <v>1</v>
      </c>
    </row>
    <row r="112" spans="1:91" s="2" customFormat="1" ht="30" customHeight="1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30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</row>
    <row r="113" spans="1:57" s="2" customFormat="1" ht="6.95" customHeight="1">
      <c r="A113" s="29"/>
      <c r="B113" s="47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48"/>
      <c r="AM113" s="48"/>
      <c r="AN113" s="48"/>
      <c r="AO113" s="48"/>
      <c r="AP113" s="48"/>
      <c r="AQ113" s="48"/>
      <c r="AR113" s="30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</row>
  </sheetData>
  <mergeCells count="106">
    <mergeCell ref="K96:AF96"/>
    <mergeCell ref="K104:AF104"/>
    <mergeCell ref="K100:AF100"/>
    <mergeCell ref="K97:AF97"/>
    <mergeCell ref="K101:AF101"/>
    <mergeCell ref="K102:AF102"/>
    <mergeCell ref="K103:AF103"/>
    <mergeCell ref="K99:AF99"/>
    <mergeCell ref="K98:AF98"/>
    <mergeCell ref="L85:AO85"/>
    <mergeCell ref="D105:H105"/>
    <mergeCell ref="J105:AF105"/>
    <mergeCell ref="E106:I106"/>
    <mergeCell ref="K106:AF106"/>
    <mergeCell ref="E107:I107"/>
    <mergeCell ref="K107:AF107"/>
    <mergeCell ref="E108:I108"/>
    <mergeCell ref="K108:AF108"/>
    <mergeCell ref="AN102:AP102"/>
    <mergeCell ref="AN98:AP98"/>
    <mergeCell ref="C92:G92"/>
    <mergeCell ref="D95:H95"/>
    <mergeCell ref="E97:I97"/>
    <mergeCell ref="E104:I104"/>
    <mergeCell ref="E98:I98"/>
    <mergeCell ref="E103:I103"/>
    <mergeCell ref="E102:I102"/>
    <mergeCell ref="E101:I101"/>
    <mergeCell ref="E99:I99"/>
    <mergeCell ref="E100:I100"/>
    <mergeCell ref="E96:I96"/>
    <mergeCell ref="I92:AF92"/>
    <mergeCell ref="J95:AF95"/>
    <mergeCell ref="E109:I109"/>
    <mergeCell ref="K109:AF109"/>
    <mergeCell ref="E110:I110"/>
    <mergeCell ref="K110:AF110"/>
    <mergeCell ref="E111:I111"/>
    <mergeCell ref="K111:AF111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101:AM101"/>
    <mergeCell ref="AG103:AM103"/>
    <mergeCell ref="AG102:AM102"/>
    <mergeCell ref="AG92:AM92"/>
    <mergeCell ref="AG100:AM100"/>
    <mergeCell ref="AG104:AM104"/>
    <mergeCell ref="AG99:AM99"/>
    <mergeCell ref="AG96:AM96"/>
    <mergeCell ref="AG97:AM97"/>
    <mergeCell ref="AG98:AM98"/>
    <mergeCell ref="AG95:AM95"/>
    <mergeCell ref="AM87:AN87"/>
    <mergeCell ref="AM89:AP89"/>
    <mergeCell ref="AM90:AP90"/>
    <mergeCell ref="AN99:AP99"/>
    <mergeCell ref="AN104:AP104"/>
    <mergeCell ref="AN103:AP103"/>
    <mergeCell ref="AN96:AP96"/>
    <mergeCell ref="AN92:AP92"/>
    <mergeCell ref="AN101:AP101"/>
    <mergeCell ref="AN97:AP97"/>
    <mergeCell ref="AN100:AP100"/>
    <mergeCell ref="AN95:AP95"/>
    <mergeCell ref="AN109:AP109"/>
    <mergeCell ref="AG109:AM109"/>
    <mergeCell ref="AN110:AP110"/>
    <mergeCell ref="AG110:AM110"/>
    <mergeCell ref="AN111:AP111"/>
    <mergeCell ref="AG111:AM111"/>
    <mergeCell ref="AN94:AP94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</mergeCells>
  <hyperlinks>
    <hyperlink ref="A96" location="'E1.1,2 - Architektúra +  ...'!C2" display="/"/>
    <hyperlink ref="A97" location="'E1.3 - Zdravotechnika'!C2" display="/"/>
    <hyperlink ref="A98" location="'E1.5 - Plynoinštalácia'!C2" display="/"/>
    <hyperlink ref="A99" location="'E1.6-1 - ELI + MaR - DT01'!C2" display="/"/>
    <hyperlink ref="A100" location="'E1.6-3 - ELI + MaR - DT03'!C2" display="/"/>
    <hyperlink ref="A101" location="'E1.6-2A - ELI  MaR - DT02A'!C2" display="/"/>
    <hyperlink ref="A102" location="'E1.6-2B - ELI + MaR - DT02B'!C2" display="/"/>
    <hyperlink ref="A103" location="'E1.6-4 - ELI + MaR - PRIS4.1'!C2" display="/"/>
    <hyperlink ref="A104" location="'E1.4 - Technologia kotoln...'!C2" display="/"/>
    <hyperlink ref="A106" location="'E2.1 - SO 02.1  Búracie p...'!C2" display="/"/>
    <hyperlink ref="A107" location="'E2.1-A - Teplovod pre obj...'!C2" display="/"/>
    <hyperlink ref="A108" location="'E2.1-B - Teplovod pre obj...'!C2" display="/"/>
    <hyperlink ref="A109" location="'E2.1.-C - Teplovod pre ob...'!C2" display="/"/>
    <hyperlink ref="A110" location="'E2.1-Cz - Teplovod pre ob...'!C2" display="/"/>
    <hyperlink ref="A111" location="'E2.1-D - Teplovod pre obj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BM151"/>
  <sheetViews>
    <sheetView showGridLines="0" workbookViewId="0">
      <selection activeCell="L43" sqref="L43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0" t="s">
        <v>5</v>
      </c>
      <c r="M2" s="351"/>
      <c r="N2" s="351"/>
      <c r="O2" s="351"/>
      <c r="P2" s="351"/>
      <c r="Q2" s="351"/>
      <c r="R2" s="351"/>
      <c r="S2" s="351"/>
      <c r="T2" s="351"/>
      <c r="U2" s="351"/>
      <c r="V2" s="351"/>
      <c r="AT2" s="14" t="s">
        <v>104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5" customHeight="1">
      <c r="B4" s="17"/>
      <c r="D4" s="18" t="s">
        <v>129</v>
      </c>
      <c r="L4" s="17"/>
      <c r="M4" s="98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387" t="str">
        <f>'Rekapitulácia stavby'!K6</f>
        <v>Topoľčianky, Centrálny logistický sklad - rekonštrukcia tepelného hospodárstva</v>
      </c>
      <c r="F7" s="388"/>
      <c r="G7" s="388"/>
      <c r="H7" s="388"/>
      <c r="L7" s="17"/>
    </row>
    <row r="8" spans="1:46" s="1" customFormat="1" ht="12" customHeight="1">
      <c r="B8" s="17"/>
      <c r="D8" s="24" t="s">
        <v>130</v>
      </c>
      <c r="L8" s="17"/>
    </row>
    <row r="9" spans="1:46" s="2" customFormat="1" ht="16.5" customHeight="1">
      <c r="A9" s="29"/>
      <c r="B9" s="30"/>
      <c r="C9" s="29"/>
      <c r="D9" s="29"/>
      <c r="E9" s="387" t="s">
        <v>131</v>
      </c>
      <c r="F9" s="386"/>
      <c r="G9" s="386"/>
      <c r="H9" s="386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>
      <c r="A10" s="29"/>
      <c r="B10" s="30"/>
      <c r="C10" s="29"/>
      <c r="D10" s="24" t="s">
        <v>132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>
      <c r="A11" s="29"/>
      <c r="B11" s="30"/>
      <c r="C11" s="29"/>
      <c r="D11" s="29"/>
      <c r="E11" s="382" t="s">
        <v>2085</v>
      </c>
      <c r="F11" s="386"/>
      <c r="G11" s="386"/>
      <c r="H11" s="386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>
      <c r="A13" s="29"/>
      <c r="B13" s="30"/>
      <c r="C13" s="29"/>
      <c r="D13" s="24" t="s">
        <v>15</v>
      </c>
      <c r="E13" s="29"/>
      <c r="F13" s="22" t="s">
        <v>1</v>
      </c>
      <c r="G13" s="29"/>
      <c r="H13" s="29"/>
      <c r="I13" s="24" t="s">
        <v>16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17</v>
      </c>
      <c r="E14" s="29"/>
      <c r="F14" s="22" t="s">
        <v>18</v>
      </c>
      <c r="G14" s="29"/>
      <c r="H14" s="29"/>
      <c r="I14" s="24" t="s">
        <v>19</v>
      </c>
      <c r="J14" s="55">
        <f>'Rekapitulácia stavby'!AN8</f>
        <v>45945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>
      <c r="A16" s="29"/>
      <c r="B16" s="30"/>
      <c r="C16" s="29"/>
      <c r="D16" s="24" t="s">
        <v>20</v>
      </c>
      <c r="E16" s="29"/>
      <c r="F16" s="29"/>
      <c r="G16" s="29"/>
      <c r="H16" s="29"/>
      <c r="I16" s="24" t="s">
        <v>21</v>
      </c>
      <c r="J16" s="22" t="str">
        <f>IF('Rekapitulácia stavby'!AN10="","",'Rekapitulácia stavby'!AN10)</f>
        <v/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>
      <c r="A17" s="29"/>
      <c r="B17" s="30"/>
      <c r="C17" s="29"/>
      <c r="D17" s="29"/>
      <c r="E17" s="22" t="str">
        <f>IF('Rekapitulácia stavby'!E11="","",'Rekapitulácia stavby'!E11)</f>
        <v xml:space="preserve"> </v>
      </c>
      <c r="F17" s="29"/>
      <c r="G17" s="29"/>
      <c r="H17" s="29"/>
      <c r="I17" s="24" t="s">
        <v>22</v>
      </c>
      <c r="J17" s="22" t="str">
        <f>IF('Rekapitulácia stavby'!AN11="","",'Rekapitulácia stavby'!AN11)</f>
        <v/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customHeight="1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>
      <c r="A19" s="29"/>
      <c r="B19" s="30"/>
      <c r="C19" s="29"/>
      <c r="D19" s="24" t="s">
        <v>23</v>
      </c>
      <c r="E19" s="29"/>
      <c r="F19" s="29"/>
      <c r="G19" s="29"/>
      <c r="H19" s="29"/>
      <c r="I19" s="24" t="s">
        <v>21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>
      <c r="A20" s="29"/>
      <c r="B20" s="30"/>
      <c r="C20" s="29"/>
      <c r="D20" s="29"/>
      <c r="E20" s="389" t="str">
        <f>'Rekapitulácia stavby'!E14</f>
        <v>Vyplň údaj</v>
      </c>
      <c r="F20" s="390"/>
      <c r="G20" s="390"/>
      <c r="H20" s="390"/>
      <c r="I20" s="24" t="s">
        <v>22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customHeight="1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>
      <c r="A22" s="29"/>
      <c r="B22" s="30"/>
      <c r="C22" s="29"/>
      <c r="D22" s="24" t="s">
        <v>25</v>
      </c>
      <c r="E22" s="29"/>
      <c r="F22" s="29"/>
      <c r="G22" s="29"/>
      <c r="H22" s="29"/>
      <c r="I22" s="24" t="s">
        <v>21</v>
      </c>
      <c r="J22" s="22" t="str">
        <f>IF('Rekapitulácia stavby'!AN16="","",'Rekapitulácia stavby'!AN16)</f>
        <v/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>
      <c r="A23" s="29"/>
      <c r="B23" s="30"/>
      <c r="C23" s="29"/>
      <c r="D23" s="29"/>
      <c r="E23" s="22" t="str">
        <f>IF('Rekapitulácia stavby'!E17="","",'Rekapitulácia stavby'!E17)</f>
        <v xml:space="preserve"> </v>
      </c>
      <c r="F23" s="29"/>
      <c r="G23" s="29"/>
      <c r="H23" s="29"/>
      <c r="I23" s="24" t="s">
        <v>22</v>
      </c>
      <c r="J23" s="22" t="str">
        <f>IF('Rekapitulácia stavby'!AN17="","",'Rekapitulácia stavby'!AN17)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customHeight="1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>
      <c r="A25" s="29"/>
      <c r="B25" s="30"/>
      <c r="C25" s="29"/>
      <c r="D25" s="24" t="s">
        <v>26</v>
      </c>
      <c r="E25" s="29"/>
      <c r="F25" s="29"/>
      <c r="G25" s="29"/>
      <c r="H25" s="29"/>
      <c r="I25" s="24" t="s">
        <v>21</v>
      </c>
      <c r="J25" s="22" t="str">
        <f>IF('Rekapitulácia stavby'!AN19="","",'Rekapitulácia stavby'!AN19)</f>
        <v/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24" t="s">
        <v>22</v>
      </c>
      <c r="J26" s="22" t="str">
        <f>IF('Rekapitulácia stavby'!AN20="","",'Rekapitulácia stavby'!AN20)</f>
        <v/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>
      <c r="A28" s="29"/>
      <c r="B28" s="30"/>
      <c r="C28" s="29"/>
      <c r="D28" s="24" t="s">
        <v>28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>
      <c r="A29" s="99"/>
      <c r="B29" s="100"/>
      <c r="C29" s="99"/>
      <c r="D29" s="99"/>
      <c r="E29" s="378" t="s">
        <v>1</v>
      </c>
      <c r="F29" s="378"/>
      <c r="G29" s="378"/>
      <c r="H29" s="378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102" t="s">
        <v>29</v>
      </c>
      <c r="E32" s="29"/>
      <c r="F32" s="29"/>
      <c r="G32" s="29"/>
      <c r="H32" s="29"/>
      <c r="I32" s="29"/>
      <c r="J32" s="71"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31</v>
      </c>
      <c r="G34" s="29"/>
      <c r="H34" s="29"/>
      <c r="I34" s="33" t="s">
        <v>30</v>
      </c>
      <c r="J34" s="33" t="s">
        <v>32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3" t="s">
        <v>33</v>
      </c>
      <c r="E35" s="35" t="s">
        <v>34</v>
      </c>
      <c r="F35" s="104">
        <f>ROUND((SUM(BE124:BE150)),  2)</f>
        <v>0</v>
      </c>
      <c r="G35" s="105"/>
      <c r="H35" s="105"/>
      <c r="I35" s="106">
        <v>0.23</v>
      </c>
      <c r="J35" s="104">
        <f>ROUND(((SUM(BE124:BE150))*I35),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35</v>
      </c>
      <c r="F36" s="104">
        <f>ROUND((SUM(BF124:BF150)),  2)</f>
        <v>0</v>
      </c>
      <c r="G36" s="105"/>
      <c r="H36" s="105"/>
      <c r="I36" s="106">
        <v>0.23</v>
      </c>
      <c r="J36" s="104">
        <f>ROUND(((SUM(BF124:BF150))*I36),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36</v>
      </c>
      <c r="F37" s="107">
        <f>ROUND((SUM(BG124:BG150)),  2)</f>
        <v>0</v>
      </c>
      <c r="G37" s="29"/>
      <c r="H37" s="29"/>
      <c r="I37" s="108">
        <v>0.23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37</v>
      </c>
      <c r="F38" s="107">
        <f>ROUND((SUM(BH124:BH150)),  2)</f>
        <v>0</v>
      </c>
      <c r="G38" s="29"/>
      <c r="H38" s="29"/>
      <c r="I38" s="108">
        <v>0.23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38</v>
      </c>
      <c r="F39" s="104">
        <f>ROUND((SUM(BI124:BI150)), 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9"/>
      <c r="D41" s="110" t="s">
        <v>39</v>
      </c>
      <c r="E41" s="60"/>
      <c r="F41" s="60"/>
      <c r="G41" s="111" t="s">
        <v>40</v>
      </c>
      <c r="H41" s="112" t="s">
        <v>41</v>
      </c>
      <c r="I41" s="60"/>
      <c r="J41" s="113"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42</v>
      </c>
      <c r="E50" s="44"/>
      <c r="F50" s="44"/>
      <c r="G50" s="43" t="s">
        <v>43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44</v>
      </c>
      <c r="E61" s="32"/>
      <c r="F61" s="115" t="s">
        <v>45</v>
      </c>
      <c r="G61" s="45" t="s">
        <v>44</v>
      </c>
      <c r="H61" s="32"/>
      <c r="I61" s="32"/>
      <c r="J61" s="116" t="s">
        <v>45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46</v>
      </c>
      <c r="E65" s="46"/>
      <c r="F65" s="46"/>
      <c r="G65" s="43" t="s">
        <v>47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44</v>
      </c>
      <c r="E76" s="32"/>
      <c r="F76" s="115" t="s">
        <v>45</v>
      </c>
      <c r="G76" s="45" t="s">
        <v>44</v>
      </c>
      <c r="H76" s="32"/>
      <c r="I76" s="32"/>
      <c r="J76" s="116" t="s">
        <v>45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hidden="1" customHeight="1">
      <c r="A82" s="29"/>
      <c r="B82" s="30"/>
      <c r="C82" s="18" t="s">
        <v>134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hidden="1" customHeight="1">
      <c r="A85" s="29"/>
      <c r="B85" s="30"/>
      <c r="C85" s="29"/>
      <c r="D85" s="29"/>
      <c r="E85" s="387" t="str">
        <f>E7</f>
        <v>Topoľčianky, Centrálny logistický sklad - rekonštrukcia tepelného hospodárstva</v>
      </c>
      <c r="F85" s="388"/>
      <c r="G85" s="388"/>
      <c r="H85" s="388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hidden="1" customHeight="1">
      <c r="B86" s="17"/>
      <c r="C86" s="24" t="s">
        <v>130</v>
      </c>
      <c r="L86" s="17"/>
    </row>
    <row r="87" spans="1:31" s="2" customFormat="1" ht="16.5" hidden="1" customHeight="1">
      <c r="A87" s="29"/>
      <c r="B87" s="30"/>
      <c r="C87" s="29"/>
      <c r="D87" s="29"/>
      <c r="E87" s="387" t="s">
        <v>131</v>
      </c>
      <c r="F87" s="386"/>
      <c r="G87" s="386"/>
      <c r="H87" s="386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hidden="1" customHeight="1">
      <c r="A88" s="29"/>
      <c r="B88" s="30"/>
      <c r="C88" s="24" t="s">
        <v>132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hidden="1" customHeight="1">
      <c r="A89" s="29"/>
      <c r="B89" s="30"/>
      <c r="C89" s="29"/>
      <c r="D89" s="29"/>
      <c r="E89" s="382" t="str">
        <f>E11</f>
        <v>E1.6-4 - ELI + MaR - PRIS4.1</v>
      </c>
      <c r="F89" s="386"/>
      <c r="G89" s="386"/>
      <c r="H89" s="386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hidden="1" customHeight="1">
      <c r="A91" s="29"/>
      <c r="B91" s="30"/>
      <c r="C91" s="24" t="s">
        <v>17</v>
      </c>
      <c r="D91" s="29"/>
      <c r="E91" s="29"/>
      <c r="F91" s="22" t="str">
        <f>F14</f>
        <v xml:space="preserve"> </v>
      </c>
      <c r="G91" s="29"/>
      <c r="H91" s="29"/>
      <c r="I91" s="24" t="s">
        <v>19</v>
      </c>
      <c r="J91" s="55">
        <f>IF(J14="","",J14)</f>
        <v>45945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hidden="1" customHeight="1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hidden="1" customHeight="1">
      <c r="A93" s="29"/>
      <c r="B93" s="30"/>
      <c r="C93" s="24" t="s">
        <v>20</v>
      </c>
      <c r="D93" s="29"/>
      <c r="E93" s="29"/>
      <c r="F93" s="22" t="str">
        <f>E17</f>
        <v xml:space="preserve"> </v>
      </c>
      <c r="G93" s="29"/>
      <c r="H93" s="29"/>
      <c r="I93" s="24" t="s">
        <v>25</v>
      </c>
      <c r="J93" s="27" t="str">
        <f>E23</f>
        <v xml:space="preserve">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hidden="1" customHeight="1">
      <c r="A94" s="29"/>
      <c r="B94" s="30"/>
      <c r="C94" s="24" t="s">
        <v>23</v>
      </c>
      <c r="D94" s="29"/>
      <c r="E94" s="29"/>
      <c r="F94" s="22" t="str">
        <f>IF(E20="","",E20)</f>
        <v>Vyplň údaj</v>
      </c>
      <c r="G94" s="29"/>
      <c r="H94" s="29"/>
      <c r="I94" s="24" t="s">
        <v>26</v>
      </c>
      <c r="J94" s="27" t="str">
        <f>E26</f>
        <v xml:space="preserve">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hidden="1" customHeight="1">
      <c r="A96" s="29"/>
      <c r="B96" s="30"/>
      <c r="C96" s="117" t="s">
        <v>135</v>
      </c>
      <c r="D96" s="109"/>
      <c r="E96" s="109"/>
      <c r="F96" s="109"/>
      <c r="G96" s="109"/>
      <c r="H96" s="109"/>
      <c r="I96" s="109"/>
      <c r="J96" s="118" t="s">
        <v>136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hidden="1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hidden="1" customHeight="1">
      <c r="A98" s="29"/>
      <c r="B98" s="30"/>
      <c r="C98" s="119" t="s">
        <v>137</v>
      </c>
      <c r="D98" s="29"/>
      <c r="E98" s="29"/>
      <c r="F98" s="29"/>
      <c r="G98" s="29"/>
      <c r="H98" s="29"/>
      <c r="I98" s="29"/>
      <c r="J98" s="71">
        <f>J124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138</v>
      </c>
    </row>
    <row r="99" spans="1:47" s="9" customFormat="1" ht="24.95" hidden="1" customHeight="1">
      <c r="B99" s="120"/>
      <c r="D99" s="121" t="s">
        <v>2086</v>
      </c>
      <c r="E99" s="122"/>
      <c r="F99" s="122"/>
      <c r="G99" s="122"/>
      <c r="H99" s="122"/>
      <c r="I99" s="122"/>
      <c r="J99" s="123">
        <f>J125</f>
        <v>0</v>
      </c>
      <c r="L99" s="120"/>
    </row>
    <row r="100" spans="1:47" s="10" customFormat="1" ht="19.899999999999999" hidden="1" customHeight="1">
      <c r="B100" s="124"/>
      <c r="D100" s="125" t="s">
        <v>2087</v>
      </c>
      <c r="E100" s="126"/>
      <c r="F100" s="126"/>
      <c r="G100" s="126"/>
      <c r="H100" s="126"/>
      <c r="I100" s="126"/>
      <c r="J100" s="127">
        <f>J126</f>
        <v>0</v>
      </c>
      <c r="L100" s="124"/>
    </row>
    <row r="101" spans="1:47" s="10" customFormat="1" ht="19.899999999999999" hidden="1" customHeight="1">
      <c r="B101" s="124"/>
      <c r="D101" s="125" t="s">
        <v>2088</v>
      </c>
      <c r="E101" s="126"/>
      <c r="F101" s="126"/>
      <c r="G101" s="126"/>
      <c r="H101" s="126"/>
      <c r="I101" s="126"/>
      <c r="J101" s="127">
        <f>J128</f>
        <v>0</v>
      </c>
      <c r="L101" s="124"/>
    </row>
    <row r="102" spans="1:47" s="9" customFormat="1" ht="24.95" hidden="1" customHeight="1">
      <c r="B102" s="120"/>
      <c r="D102" s="121" t="s">
        <v>2089</v>
      </c>
      <c r="E102" s="122"/>
      <c r="F102" s="122"/>
      <c r="G102" s="122"/>
      <c r="H102" s="122"/>
      <c r="I102" s="122"/>
      <c r="J102" s="123">
        <f>J133</f>
        <v>0</v>
      </c>
      <c r="L102" s="120"/>
    </row>
    <row r="103" spans="1:47" s="2" customFormat="1" ht="21.75" hidden="1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47" s="2" customFormat="1" ht="6.95" hidden="1" customHeight="1">
      <c r="A104" s="29"/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47" hidden="1"/>
    <row r="106" spans="1:47" hidden="1"/>
    <row r="107" spans="1:47" hidden="1"/>
    <row r="108" spans="1:47" s="2" customFormat="1" ht="6.95" customHeight="1">
      <c r="A108" s="29"/>
      <c r="B108" s="49"/>
      <c r="C108" s="50"/>
      <c r="D108" s="50"/>
      <c r="E108" s="50"/>
      <c r="F108" s="50"/>
      <c r="G108" s="50"/>
      <c r="H108" s="50"/>
      <c r="I108" s="50"/>
      <c r="J108" s="50"/>
      <c r="K108" s="50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47" s="2" customFormat="1" ht="24.95" customHeight="1">
      <c r="A109" s="29"/>
      <c r="B109" s="30"/>
      <c r="C109" s="18" t="s">
        <v>165</v>
      </c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47" s="2" customFormat="1" ht="6.95" customHeigh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2" customFormat="1" ht="12" customHeight="1">
      <c r="A111" s="29"/>
      <c r="B111" s="30"/>
      <c r="C111" s="24" t="s">
        <v>14</v>
      </c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47" s="2" customFormat="1" ht="16.5" customHeight="1">
      <c r="A112" s="29"/>
      <c r="B112" s="30"/>
      <c r="C112" s="29"/>
      <c r="D112" s="29"/>
      <c r="E112" s="387" t="str">
        <f>E7</f>
        <v>Topoľčianky, Centrálny logistický sklad - rekonštrukcia tepelného hospodárstva</v>
      </c>
      <c r="F112" s="388"/>
      <c r="G112" s="388"/>
      <c r="H112" s="388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1" customFormat="1" ht="12" customHeight="1">
      <c r="B113" s="17"/>
      <c r="C113" s="24" t="s">
        <v>130</v>
      </c>
      <c r="L113" s="17"/>
    </row>
    <row r="114" spans="1:65" s="2" customFormat="1" ht="16.5" customHeight="1">
      <c r="A114" s="29"/>
      <c r="B114" s="30"/>
      <c r="C114" s="29"/>
      <c r="D114" s="29"/>
      <c r="E114" s="387" t="s">
        <v>131</v>
      </c>
      <c r="F114" s="386"/>
      <c r="G114" s="386"/>
      <c r="H114" s="386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2" customHeight="1">
      <c r="A115" s="29"/>
      <c r="B115" s="30"/>
      <c r="C115" s="24" t="s">
        <v>132</v>
      </c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6.5" customHeight="1">
      <c r="A116" s="29"/>
      <c r="B116" s="30"/>
      <c r="C116" s="29"/>
      <c r="D116" s="29"/>
      <c r="E116" s="382" t="str">
        <f>E11</f>
        <v>E1.6-4 - ELI + MaR - PRIS4.1</v>
      </c>
      <c r="F116" s="386"/>
      <c r="G116" s="386"/>
      <c r="H116" s="386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2" customHeight="1">
      <c r="A118" s="29"/>
      <c r="B118" s="30"/>
      <c r="C118" s="24" t="s">
        <v>17</v>
      </c>
      <c r="D118" s="29"/>
      <c r="E118" s="29"/>
      <c r="F118" s="22" t="str">
        <f>F14</f>
        <v xml:space="preserve"> </v>
      </c>
      <c r="G118" s="29"/>
      <c r="H118" s="29"/>
      <c r="I118" s="24" t="s">
        <v>19</v>
      </c>
      <c r="J118" s="55">
        <f>IF(J14="","",J14)</f>
        <v>45945</v>
      </c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5.2" customHeight="1">
      <c r="A120" s="29"/>
      <c r="B120" s="30"/>
      <c r="C120" s="24" t="s">
        <v>20</v>
      </c>
      <c r="D120" s="29"/>
      <c r="E120" s="29"/>
      <c r="F120" s="22" t="str">
        <f>E17</f>
        <v xml:space="preserve"> </v>
      </c>
      <c r="G120" s="29"/>
      <c r="H120" s="29"/>
      <c r="I120" s="24" t="s">
        <v>25</v>
      </c>
      <c r="J120" s="27" t="str">
        <f>E23</f>
        <v xml:space="preserve"> </v>
      </c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5.2" customHeight="1">
      <c r="A121" s="29"/>
      <c r="B121" s="30"/>
      <c r="C121" s="24" t="s">
        <v>23</v>
      </c>
      <c r="D121" s="29"/>
      <c r="E121" s="29"/>
      <c r="F121" s="22" t="str">
        <f>IF(E20="","",E20)</f>
        <v>Vyplň údaj</v>
      </c>
      <c r="G121" s="29"/>
      <c r="H121" s="29"/>
      <c r="I121" s="24" t="s">
        <v>26</v>
      </c>
      <c r="J121" s="27" t="str">
        <f>E26</f>
        <v xml:space="preserve"> </v>
      </c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10.35" customHeight="1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11" customFormat="1" ht="29.25" customHeight="1">
      <c r="A123" s="128"/>
      <c r="B123" s="129"/>
      <c r="C123" s="130" t="s">
        <v>166</v>
      </c>
      <c r="D123" s="131" t="s">
        <v>54</v>
      </c>
      <c r="E123" s="131" t="s">
        <v>50</v>
      </c>
      <c r="F123" s="131" t="s">
        <v>51</v>
      </c>
      <c r="G123" s="131" t="s">
        <v>167</v>
      </c>
      <c r="H123" s="131" t="s">
        <v>168</v>
      </c>
      <c r="I123" s="131" t="s">
        <v>169</v>
      </c>
      <c r="J123" s="132" t="s">
        <v>136</v>
      </c>
      <c r="K123" s="133" t="s">
        <v>170</v>
      </c>
      <c r="L123" s="134"/>
      <c r="M123" s="62" t="s">
        <v>1</v>
      </c>
      <c r="N123" s="63" t="s">
        <v>33</v>
      </c>
      <c r="O123" s="63" t="s">
        <v>171</v>
      </c>
      <c r="P123" s="63" t="s">
        <v>172</v>
      </c>
      <c r="Q123" s="63" t="s">
        <v>173</v>
      </c>
      <c r="R123" s="63" t="s">
        <v>174</v>
      </c>
      <c r="S123" s="63" t="s">
        <v>175</v>
      </c>
      <c r="T123" s="64" t="s">
        <v>176</v>
      </c>
      <c r="U123" s="128"/>
      <c r="V123" s="128"/>
      <c r="W123" s="128"/>
      <c r="X123" s="128"/>
      <c r="Y123" s="128"/>
      <c r="Z123" s="128"/>
      <c r="AA123" s="128"/>
      <c r="AB123" s="128"/>
      <c r="AC123" s="128"/>
      <c r="AD123" s="128"/>
      <c r="AE123" s="128"/>
    </row>
    <row r="124" spans="1:65" s="2" customFormat="1" ht="22.9" customHeight="1">
      <c r="A124" s="29"/>
      <c r="B124" s="30"/>
      <c r="C124" s="69" t="s">
        <v>137</v>
      </c>
      <c r="D124" s="29"/>
      <c r="E124" s="29"/>
      <c r="F124" s="29"/>
      <c r="G124" s="29"/>
      <c r="H124" s="29"/>
      <c r="I124" s="29"/>
      <c r="J124" s="135">
        <v>0</v>
      </c>
      <c r="K124" s="29"/>
      <c r="L124" s="30"/>
      <c r="M124" s="65"/>
      <c r="N124" s="56"/>
      <c r="O124" s="66"/>
      <c r="P124" s="136">
        <f>P125+P133</f>
        <v>0</v>
      </c>
      <c r="Q124" s="66"/>
      <c r="R124" s="136">
        <f>R125+R133</f>
        <v>0</v>
      </c>
      <c r="S124" s="66"/>
      <c r="T124" s="137">
        <f>T125+T133</f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T124" s="14" t="s">
        <v>68</v>
      </c>
      <c r="AU124" s="14" t="s">
        <v>138</v>
      </c>
      <c r="BK124" s="138">
        <f>BK125+BK133</f>
        <v>0</v>
      </c>
    </row>
    <row r="125" spans="1:65" s="12" customFormat="1" ht="25.9" customHeight="1">
      <c r="B125" s="139"/>
      <c r="D125" s="140" t="s">
        <v>68</v>
      </c>
      <c r="E125" s="141" t="s">
        <v>2090</v>
      </c>
      <c r="F125" s="141" t="s">
        <v>2090</v>
      </c>
      <c r="I125" s="142"/>
      <c r="J125" s="143">
        <v>0</v>
      </c>
      <c r="L125" s="139"/>
      <c r="M125" s="144"/>
      <c r="N125" s="145"/>
      <c r="O125" s="145"/>
      <c r="P125" s="146">
        <f>P126+P128</f>
        <v>0</v>
      </c>
      <c r="Q125" s="145"/>
      <c r="R125" s="146">
        <f>R126+R128</f>
        <v>0</v>
      </c>
      <c r="S125" s="145"/>
      <c r="T125" s="147">
        <f>T126+T128</f>
        <v>0</v>
      </c>
      <c r="AR125" s="140" t="s">
        <v>76</v>
      </c>
      <c r="AT125" s="148" t="s">
        <v>68</v>
      </c>
      <c r="AU125" s="148" t="s">
        <v>69</v>
      </c>
      <c r="AY125" s="140" t="s">
        <v>179</v>
      </c>
      <c r="BK125" s="149">
        <f>BK126+BK128</f>
        <v>0</v>
      </c>
    </row>
    <row r="126" spans="1:65" s="12" customFormat="1" ht="22.9" customHeight="1">
      <c r="B126" s="139"/>
      <c r="D126" s="140" t="s">
        <v>68</v>
      </c>
      <c r="E126" s="150" t="s">
        <v>1376</v>
      </c>
      <c r="F126" s="150" t="s">
        <v>2091</v>
      </c>
      <c r="I126" s="142"/>
      <c r="J126" s="151">
        <v>0</v>
      </c>
      <c r="L126" s="139"/>
      <c r="M126" s="144"/>
      <c r="N126" s="145"/>
      <c r="O126" s="145"/>
      <c r="P126" s="146">
        <f>P127</f>
        <v>0</v>
      </c>
      <c r="Q126" s="145"/>
      <c r="R126" s="146">
        <f>R127</f>
        <v>0</v>
      </c>
      <c r="S126" s="145"/>
      <c r="T126" s="147">
        <f>T127</f>
        <v>0</v>
      </c>
      <c r="AR126" s="140" t="s">
        <v>76</v>
      </c>
      <c r="AT126" s="148" t="s">
        <v>68</v>
      </c>
      <c r="AU126" s="148" t="s">
        <v>76</v>
      </c>
      <c r="AY126" s="140" t="s">
        <v>179</v>
      </c>
      <c r="BK126" s="149">
        <f>BK127</f>
        <v>0</v>
      </c>
    </row>
    <row r="127" spans="1:65" s="2" customFormat="1" ht="37.9" customHeight="1">
      <c r="A127" s="29"/>
      <c r="B127" s="152"/>
      <c r="C127" s="153" t="s">
        <v>76</v>
      </c>
      <c r="D127" s="153" t="s">
        <v>181</v>
      </c>
      <c r="E127" s="154" t="s">
        <v>2092</v>
      </c>
      <c r="F127" s="155" t="s">
        <v>2093</v>
      </c>
      <c r="G127" s="156" t="s">
        <v>217</v>
      </c>
      <c r="H127" s="157">
        <v>1</v>
      </c>
      <c r="I127" s="158"/>
      <c r="J127" s="151">
        <v>0</v>
      </c>
      <c r="K127" s="160"/>
      <c r="L127" s="30"/>
      <c r="M127" s="161" t="s">
        <v>1</v>
      </c>
      <c r="N127" s="162" t="s">
        <v>35</v>
      </c>
      <c r="O127" s="58"/>
      <c r="P127" s="163">
        <f>O127*H127</f>
        <v>0</v>
      </c>
      <c r="Q127" s="163">
        <v>0</v>
      </c>
      <c r="R127" s="163">
        <f>Q127*H127</f>
        <v>0</v>
      </c>
      <c r="S127" s="163">
        <v>0</v>
      </c>
      <c r="T127" s="164">
        <f>S127*H127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65" t="s">
        <v>185</v>
      </c>
      <c r="AT127" s="165" t="s">
        <v>181</v>
      </c>
      <c r="AU127" s="165" t="s">
        <v>82</v>
      </c>
      <c r="AY127" s="14" t="s">
        <v>179</v>
      </c>
      <c r="BE127" s="166">
        <f>IF(N127="základná",J127,0)</f>
        <v>0</v>
      </c>
      <c r="BF127" s="166">
        <f>IF(N127="znížená",J127,0)</f>
        <v>0</v>
      </c>
      <c r="BG127" s="166">
        <f>IF(N127="zákl. prenesená",J127,0)</f>
        <v>0</v>
      </c>
      <c r="BH127" s="166">
        <f>IF(N127="zníž. prenesená",J127,0)</f>
        <v>0</v>
      </c>
      <c r="BI127" s="166">
        <f>IF(N127="nulová",J127,0)</f>
        <v>0</v>
      </c>
      <c r="BJ127" s="14" t="s">
        <v>82</v>
      </c>
      <c r="BK127" s="166">
        <f>ROUND(I127*H127,2)</f>
        <v>0</v>
      </c>
      <c r="BL127" s="14" t="s">
        <v>185</v>
      </c>
      <c r="BM127" s="165" t="s">
        <v>185</v>
      </c>
    </row>
    <row r="128" spans="1:65" s="12" customFormat="1" ht="22.9" customHeight="1">
      <c r="B128" s="139"/>
      <c r="D128" s="140" t="s">
        <v>68</v>
      </c>
      <c r="E128" s="150" t="s">
        <v>1389</v>
      </c>
      <c r="F128" s="150" t="s">
        <v>2094</v>
      </c>
      <c r="I128" s="142"/>
      <c r="J128" s="151">
        <v>0</v>
      </c>
      <c r="L128" s="139"/>
      <c r="M128" s="144"/>
      <c r="N128" s="145"/>
      <c r="O128" s="145"/>
      <c r="P128" s="146">
        <f>SUM(P129:P132)</f>
        <v>0</v>
      </c>
      <c r="Q128" s="145"/>
      <c r="R128" s="146">
        <f>SUM(R129:R132)</f>
        <v>0</v>
      </c>
      <c r="S128" s="145"/>
      <c r="T128" s="147">
        <f>SUM(T129:T132)</f>
        <v>0</v>
      </c>
      <c r="AR128" s="140" t="s">
        <v>76</v>
      </c>
      <c r="AT128" s="148" t="s">
        <v>68</v>
      </c>
      <c r="AU128" s="148" t="s">
        <v>76</v>
      </c>
      <c r="AY128" s="140" t="s">
        <v>179</v>
      </c>
      <c r="BK128" s="149">
        <f>SUM(BK129:BK132)</f>
        <v>0</v>
      </c>
    </row>
    <row r="129" spans="1:65" s="2" customFormat="1" ht="16.5" customHeight="1">
      <c r="A129" s="29"/>
      <c r="B129" s="152"/>
      <c r="C129" s="153" t="s">
        <v>82</v>
      </c>
      <c r="D129" s="153" t="s">
        <v>181</v>
      </c>
      <c r="E129" s="154" t="s">
        <v>2095</v>
      </c>
      <c r="F129" s="155" t="s">
        <v>2096</v>
      </c>
      <c r="G129" s="156" t="s">
        <v>217</v>
      </c>
      <c r="H129" s="157">
        <v>3</v>
      </c>
      <c r="I129" s="158"/>
      <c r="J129" s="151">
        <v>0</v>
      </c>
      <c r="K129" s="160"/>
      <c r="L129" s="30"/>
      <c r="M129" s="161" t="s">
        <v>1</v>
      </c>
      <c r="N129" s="162" t="s">
        <v>35</v>
      </c>
      <c r="O129" s="58"/>
      <c r="P129" s="163">
        <f>O129*H129</f>
        <v>0</v>
      </c>
      <c r="Q129" s="163">
        <v>0</v>
      </c>
      <c r="R129" s="163">
        <f>Q129*H129</f>
        <v>0</v>
      </c>
      <c r="S129" s="163">
        <v>0</v>
      </c>
      <c r="T129" s="164">
        <f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5" t="s">
        <v>185</v>
      </c>
      <c r="AT129" s="165" t="s">
        <v>181</v>
      </c>
      <c r="AU129" s="165" t="s">
        <v>82</v>
      </c>
      <c r="AY129" s="14" t="s">
        <v>179</v>
      </c>
      <c r="BE129" s="166">
        <f>IF(N129="základná",J129,0)</f>
        <v>0</v>
      </c>
      <c r="BF129" s="166">
        <f>IF(N129="znížená",J129,0)</f>
        <v>0</v>
      </c>
      <c r="BG129" s="166">
        <f>IF(N129="zákl. prenesená",J129,0)</f>
        <v>0</v>
      </c>
      <c r="BH129" s="166">
        <f>IF(N129="zníž. prenesená",J129,0)</f>
        <v>0</v>
      </c>
      <c r="BI129" s="166">
        <f>IF(N129="nulová",J129,0)</f>
        <v>0</v>
      </c>
      <c r="BJ129" s="14" t="s">
        <v>82</v>
      </c>
      <c r="BK129" s="166">
        <f>ROUND(I129*H129,2)</f>
        <v>0</v>
      </c>
      <c r="BL129" s="14" t="s">
        <v>185</v>
      </c>
      <c r="BM129" s="165" t="s">
        <v>192</v>
      </c>
    </row>
    <row r="130" spans="1:65" s="2" customFormat="1" ht="16.5" customHeight="1">
      <c r="A130" s="29"/>
      <c r="B130" s="152"/>
      <c r="C130" s="153" t="s">
        <v>188</v>
      </c>
      <c r="D130" s="153" t="s">
        <v>181</v>
      </c>
      <c r="E130" s="154" t="s">
        <v>2097</v>
      </c>
      <c r="F130" s="155" t="s">
        <v>2098</v>
      </c>
      <c r="G130" s="156" t="s">
        <v>217</v>
      </c>
      <c r="H130" s="157">
        <v>3</v>
      </c>
      <c r="I130" s="158"/>
      <c r="J130" s="151">
        <v>0</v>
      </c>
      <c r="K130" s="160"/>
      <c r="L130" s="30"/>
      <c r="M130" s="161" t="s">
        <v>1</v>
      </c>
      <c r="N130" s="162" t="s">
        <v>35</v>
      </c>
      <c r="O130" s="58"/>
      <c r="P130" s="163">
        <f>O130*H130</f>
        <v>0</v>
      </c>
      <c r="Q130" s="163">
        <v>0</v>
      </c>
      <c r="R130" s="163">
        <f>Q130*H130</f>
        <v>0</v>
      </c>
      <c r="S130" s="163">
        <v>0</v>
      </c>
      <c r="T130" s="164">
        <f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5" t="s">
        <v>185</v>
      </c>
      <c r="AT130" s="165" t="s">
        <v>181</v>
      </c>
      <c r="AU130" s="165" t="s">
        <v>82</v>
      </c>
      <c r="AY130" s="14" t="s">
        <v>179</v>
      </c>
      <c r="BE130" s="166">
        <f>IF(N130="základná",J130,0)</f>
        <v>0</v>
      </c>
      <c r="BF130" s="166">
        <f>IF(N130="znížená",J130,0)</f>
        <v>0</v>
      </c>
      <c r="BG130" s="166">
        <f>IF(N130="zákl. prenesená",J130,0)</f>
        <v>0</v>
      </c>
      <c r="BH130" s="166">
        <f>IF(N130="zníž. prenesená",J130,0)</f>
        <v>0</v>
      </c>
      <c r="BI130" s="166">
        <f>IF(N130="nulová",J130,0)</f>
        <v>0</v>
      </c>
      <c r="BJ130" s="14" t="s">
        <v>82</v>
      </c>
      <c r="BK130" s="166">
        <f>ROUND(I130*H130,2)</f>
        <v>0</v>
      </c>
      <c r="BL130" s="14" t="s">
        <v>185</v>
      </c>
      <c r="BM130" s="165" t="s">
        <v>197</v>
      </c>
    </row>
    <row r="131" spans="1:65" s="2" customFormat="1" ht="16.5" customHeight="1">
      <c r="A131" s="29"/>
      <c r="B131" s="152"/>
      <c r="C131" s="153" t="s">
        <v>185</v>
      </c>
      <c r="D131" s="153" t="s">
        <v>181</v>
      </c>
      <c r="E131" s="154" t="s">
        <v>2099</v>
      </c>
      <c r="F131" s="155" t="s">
        <v>2100</v>
      </c>
      <c r="G131" s="156" t="s">
        <v>217</v>
      </c>
      <c r="H131" s="157">
        <v>3</v>
      </c>
      <c r="I131" s="158"/>
      <c r="J131" s="151">
        <v>0</v>
      </c>
      <c r="K131" s="160"/>
      <c r="L131" s="30"/>
      <c r="M131" s="161" t="s">
        <v>1</v>
      </c>
      <c r="N131" s="162" t="s">
        <v>35</v>
      </c>
      <c r="O131" s="58"/>
      <c r="P131" s="163">
        <f>O131*H131</f>
        <v>0</v>
      </c>
      <c r="Q131" s="163">
        <v>0</v>
      </c>
      <c r="R131" s="163">
        <f>Q131*H131</f>
        <v>0</v>
      </c>
      <c r="S131" s="163">
        <v>0</v>
      </c>
      <c r="T131" s="164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5" t="s">
        <v>185</v>
      </c>
      <c r="AT131" s="165" t="s">
        <v>181</v>
      </c>
      <c r="AU131" s="165" t="s">
        <v>82</v>
      </c>
      <c r="AY131" s="14" t="s">
        <v>179</v>
      </c>
      <c r="BE131" s="166">
        <f>IF(N131="základná",J131,0)</f>
        <v>0</v>
      </c>
      <c r="BF131" s="166">
        <f>IF(N131="znížená",J131,0)</f>
        <v>0</v>
      </c>
      <c r="BG131" s="166">
        <f>IF(N131="zákl. prenesená",J131,0)</f>
        <v>0</v>
      </c>
      <c r="BH131" s="166">
        <f>IF(N131="zníž. prenesená",J131,0)</f>
        <v>0</v>
      </c>
      <c r="BI131" s="166">
        <f>IF(N131="nulová",J131,0)</f>
        <v>0</v>
      </c>
      <c r="BJ131" s="14" t="s">
        <v>82</v>
      </c>
      <c r="BK131" s="166">
        <f>ROUND(I131*H131,2)</f>
        <v>0</v>
      </c>
      <c r="BL131" s="14" t="s">
        <v>185</v>
      </c>
      <c r="BM131" s="165" t="s">
        <v>201</v>
      </c>
    </row>
    <row r="132" spans="1:65" s="2" customFormat="1" ht="16.5" customHeight="1">
      <c r="A132" s="29"/>
      <c r="B132" s="152"/>
      <c r="C132" s="153" t="s">
        <v>198</v>
      </c>
      <c r="D132" s="153" t="s">
        <v>181</v>
      </c>
      <c r="E132" s="154" t="s">
        <v>2101</v>
      </c>
      <c r="F132" s="155" t="s">
        <v>2102</v>
      </c>
      <c r="G132" s="156" t="s">
        <v>217</v>
      </c>
      <c r="H132" s="157">
        <v>3</v>
      </c>
      <c r="I132" s="158"/>
      <c r="J132" s="151">
        <v>0</v>
      </c>
      <c r="K132" s="160"/>
      <c r="L132" s="30"/>
      <c r="M132" s="161" t="s">
        <v>1</v>
      </c>
      <c r="N132" s="162" t="s">
        <v>35</v>
      </c>
      <c r="O132" s="58"/>
      <c r="P132" s="163">
        <f>O132*H132</f>
        <v>0</v>
      </c>
      <c r="Q132" s="163">
        <v>0</v>
      </c>
      <c r="R132" s="163">
        <f>Q132*H132</f>
        <v>0</v>
      </c>
      <c r="S132" s="163">
        <v>0</v>
      </c>
      <c r="T132" s="164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5" t="s">
        <v>185</v>
      </c>
      <c r="AT132" s="165" t="s">
        <v>181</v>
      </c>
      <c r="AU132" s="165" t="s">
        <v>82</v>
      </c>
      <c r="AY132" s="14" t="s">
        <v>179</v>
      </c>
      <c r="BE132" s="166">
        <f>IF(N132="základná",J132,0)</f>
        <v>0</v>
      </c>
      <c r="BF132" s="166">
        <f>IF(N132="znížená",J132,0)</f>
        <v>0</v>
      </c>
      <c r="BG132" s="166">
        <f>IF(N132="zákl. prenesená",J132,0)</f>
        <v>0</v>
      </c>
      <c r="BH132" s="166">
        <f>IF(N132="zníž. prenesená",J132,0)</f>
        <v>0</v>
      </c>
      <c r="BI132" s="166">
        <f>IF(N132="nulová",J132,0)</f>
        <v>0</v>
      </c>
      <c r="BJ132" s="14" t="s">
        <v>82</v>
      </c>
      <c r="BK132" s="166">
        <f>ROUND(I132*H132,2)</f>
        <v>0</v>
      </c>
      <c r="BL132" s="14" t="s">
        <v>185</v>
      </c>
      <c r="BM132" s="165" t="s">
        <v>205</v>
      </c>
    </row>
    <row r="133" spans="1:65" s="12" customFormat="1" ht="25.9" customHeight="1">
      <c r="B133" s="139"/>
      <c r="D133" s="140" t="s">
        <v>68</v>
      </c>
      <c r="E133" s="141" t="s">
        <v>2103</v>
      </c>
      <c r="F133" s="141" t="s">
        <v>2103</v>
      </c>
      <c r="I133" s="142"/>
      <c r="J133" s="151">
        <v>0</v>
      </c>
      <c r="L133" s="139"/>
      <c r="M133" s="144"/>
      <c r="N133" s="145"/>
      <c r="O133" s="145"/>
      <c r="P133" s="146">
        <f>SUM(P134:P150)</f>
        <v>0</v>
      </c>
      <c r="Q133" s="145"/>
      <c r="R133" s="146">
        <f>SUM(R134:R150)</f>
        <v>0</v>
      </c>
      <c r="S133" s="145"/>
      <c r="T133" s="147">
        <f>SUM(T134:T150)</f>
        <v>0</v>
      </c>
      <c r="AR133" s="140" t="s">
        <v>76</v>
      </c>
      <c r="AT133" s="148" t="s">
        <v>68</v>
      </c>
      <c r="AU133" s="148" t="s">
        <v>69</v>
      </c>
      <c r="AY133" s="140" t="s">
        <v>179</v>
      </c>
      <c r="BK133" s="149">
        <f>SUM(BK134:BK150)</f>
        <v>0</v>
      </c>
    </row>
    <row r="134" spans="1:65" s="2" customFormat="1" ht="24.2" customHeight="1">
      <c r="A134" s="29"/>
      <c r="B134" s="152"/>
      <c r="C134" s="153" t="s">
        <v>192</v>
      </c>
      <c r="D134" s="153" t="s">
        <v>181</v>
      </c>
      <c r="E134" s="154" t="s">
        <v>2104</v>
      </c>
      <c r="F134" s="155" t="s">
        <v>2105</v>
      </c>
      <c r="G134" s="156" t="s">
        <v>293</v>
      </c>
      <c r="H134" s="157">
        <v>5</v>
      </c>
      <c r="I134" s="158"/>
      <c r="J134" s="151">
        <v>0</v>
      </c>
      <c r="K134" s="160"/>
      <c r="L134" s="30"/>
      <c r="M134" s="161" t="s">
        <v>1</v>
      </c>
      <c r="N134" s="162" t="s">
        <v>35</v>
      </c>
      <c r="O134" s="58"/>
      <c r="P134" s="163">
        <f t="shared" ref="P134:P150" si="0">O134*H134</f>
        <v>0</v>
      </c>
      <c r="Q134" s="163">
        <v>0</v>
      </c>
      <c r="R134" s="163">
        <f t="shared" ref="R134:R150" si="1">Q134*H134</f>
        <v>0</v>
      </c>
      <c r="S134" s="163">
        <v>0</v>
      </c>
      <c r="T134" s="164">
        <f t="shared" ref="T134:T150" si="2"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5" t="s">
        <v>185</v>
      </c>
      <c r="AT134" s="165" t="s">
        <v>181</v>
      </c>
      <c r="AU134" s="165" t="s">
        <v>76</v>
      </c>
      <c r="AY134" s="14" t="s">
        <v>179</v>
      </c>
      <c r="BE134" s="166">
        <f t="shared" ref="BE134:BE150" si="3">IF(N134="základná",J134,0)</f>
        <v>0</v>
      </c>
      <c r="BF134" s="166">
        <f t="shared" ref="BF134:BF150" si="4">IF(N134="znížená",J134,0)</f>
        <v>0</v>
      </c>
      <c r="BG134" s="166">
        <f t="shared" ref="BG134:BG150" si="5">IF(N134="zákl. prenesená",J134,0)</f>
        <v>0</v>
      </c>
      <c r="BH134" s="166">
        <f t="shared" ref="BH134:BH150" si="6">IF(N134="zníž. prenesená",J134,0)</f>
        <v>0</v>
      </c>
      <c r="BI134" s="166">
        <f t="shared" ref="BI134:BI150" si="7">IF(N134="nulová",J134,0)</f>
        <v>0</v>
      </c>
      <c r="BJ134" s="14" t="s">
        <v>82</v>
      </c>
      <c r="BK134" s="166">
        <f t="shared" ref="BK134:BK150" si="8">ROUND(I134*H134,2)</f>
        <v>0</v>
      </c>
      <c r="BL134" s="14" t="s">
        <v>185</v>
      </c>
      <c r="BM134" s="165" t="s">
        <v>210</v>
      </c>
    </row>
    <row r="135" spans="1:65" s="2" customFormat="1" ht="24.2" customHeight="1">
      <c r="A135" s="29"/>
      <c r="B135" s="152"/>
      <c r="C135" s="153" t="s">
        <v>207</v>
      </c>
      <c r="D135" s="153" t="s">
        <v>181</v>
      </c>
      <c r="E135" s="154" t="s">
        <v>2106</v>
      </c>
      <c r="F135" s="155" t="s">
        <v>2107</v>
      </c>
      <c r="G135" s="156" t="s">
        <v>293</v>
      </c>
      <c r="H135" s="157">
        <v>260</v>
      </c>
      <c r="I135" s="158"/>
      <c r="J135" s="151">
        <v>0</v>
      </c>
      <c r="K135" s="160"/>
      <c r="L135" s="30"/>
      <c r="M135" s="161" t="s">
        <v>1</v>
      </c>
      <c r="N135" s="162" t="s">
        <v>35</v>
      </c>
      <c r="O135" s="58"/>
      <c r="P135" s="163">
        <f t="shared" si="0"/>
        <v>0</v>
      </c>
      <c r="Q135" s="163">
        <v>0</v>
      </c>
      <c r="R135" s="163">
        <f t="shared" si="1"/>
        <v>0</v>
      </c>
      <c r="S135" s="163">
        <v>0</v>
      </c>
      <c r="T135" s="164">
        <f t="shared" si="2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5" t="s">
        <v>185</v>
      </c>
      <c r="AT135" s="165" t="s">
        <v>181</v>
      </c>
      <c r="AU135" s="165" t="s">
        <v>76</v>
      </c>
      <c r="AY135" s="14" t="s">
        <v>179</v>
      </c>
      <c r="BE135" s="166">
        <f t="shared" si="3"/>
        <v>0</v>
      </c>
      <c r="BF135" s="166">
        <f t="shared" si="4"/>
        <v>0</v>
      </c>
      <c r="BG135" s="166">
        <f t="shared" si="5"/>
        <v>0</v>
      </c>
      <c r="BH135" s="166">
        <f t="shared" si="6"/>
        <v>0</v>
      </c>
      <c r="BI135" s="166">
        <f t="shared" si="7"/>
        <v>0</v>
      </c>
      <c r="BJ135" s="14" t="s">
        <v>82</v>
      </c>
      <c r="BK135" s="166">
        <f t="shared" si="8"/>
        <v>0</v>
      </c>
      <c r="BL135" s="14" t="s">
        <v>185</v>
      </c>
      <c r="BM135" s="165" t="s">
        <v>213</v>
      </c>
    </row>
    <row r="136" spans="1:65" s="2" customFormat="1" ht="55.5" customHeight="1">
      <c r="A136" s="29"/>
      <c r="B136" s="152"/>
      <c r="C136" s="153" t="s">
        <v>197</v>
      </c>
      <c r="D136" s="153" t="s">
        <v>181</v>
      </c>
      <c r="E136" s="154" t="s">
        <v>2108</v>
      </c>
      <c r="F136" s="155" t="s">
        <v>2109</v>
      </c>
      <c r="G136" s="156" t="s">
        <v>293</v>
      </c>
      <c r="H136" s="157">
        <v>55</v>
      </c>
      <c r="I136" s="158"/>
      <c r="J136" s="151">
        <v>0</v>
      </c>
      <c r="K136" s="160"/>
      <c r="L136" s="30"/>
      <c r="M136" s="161" t="s">
        <v>1</v>
      </c>
      <c r="N136" s="162" t="s">
        <v>35</v>
      </c>
      <c r="O136" s="58"/>
      <c r="P136" s="163">
        <f t="shared" si="0"/>
        <v>0</v>
      </c>
      <c r="Q136" s="163">
        <v>0</v>
      </c>
      <c r="R136" s="163">
        <f t="shared" si="1"/>
        <v>0</v>
      </c>
      <c r="S136" s="163">
        <v>0</v>
      </c>
      <c r="T136" s="164">
        <f t="shared" si="2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5" t="s">
        <v>185</v>
      </c>
      <c r="AT136" s="165" t="s">
        <v>181</v>
      </c>
      <c r="AU136" s="165" t="s">
        <v>76</v>
      </c>
      <c r="AY136" s="14" t="s">
        <v>179</v>
      </c>
      <c r="BE136" s="166">
        <f t="shared" si="3"/>
        <v>0</v>
      </c>
      <c r="BF136" s="166">
        <f t="shared" si="4"/>
        <v>0</v>
      </c>
      <c r="BG136" s="166">
        <f t="shared" si="5"/>
        <v>0</v>
      </c>
      <c r="BH136" s="166">
        <f t="shared" si="6"/>
        <v>0</v>
      </c>
      <c r="BI136" s="166">
        <f t="shared" si="7"/>
        <v>0</v>
      </c>
      <c r="BJ136" s="14" t="s">
        <v>82</v>
      </c>
      <c r="BK136" s="166">
        <f t="shared" si="8"/>
        <v>0</v>
      </c>
      <c r="BL136" s="14" t="s">
        <v>185</v>
      </c>
      <c r="BM136" s="165" t="s">
        <v>218</v>
      </c>
    </row>
    <row r="137" spans="1:65" s="2" customFormat="1" ht="16.5" customHeight="1">
      <c r="A137" s="29"/>
      <c r="B137" s="152"/>
      <c r="C137" s="153" t="s">
        <v>214</v>
      </c>
      <c r="D137" s="153" t="s">
        <v>181</v>
      </c>
      <c r="E137" s="154" t="s">
        <v>2110</v>
      </c>
      <c r="F137" s="155" t="s">
        <v>1856</v>
      </c>
      <c r="G137" s="156" t="s">
        <v>217</v>
      </c>
      <c r="H137" s="157">
        <v>6</v>
      </c>
      <c r="I137" s="158"/>
      <c r="J137" s="151">
        <v>0</v>
      </c>
      <c r="K137" s="160"/>
      <c r="L137" s="30"/>
      <c r="M137" s="161" t="s">
        <v>1</v>
      </c>
      <c r="N137" s="162" t="s">
        <v>35</v>
      </c>
      <c r="O137" s="58"/>
      <c r="P137" s="163">
        <f t="shared" si="0"/>
        <v>0</v>
      </c>
      <c r="Q137" s="163">
        <v>0</v>
      </c>
      <c r="R137" s="163">
        <f t="shared" si="1"/>
        <v>0</v>
      </c>
      <c r="S137" s="163">
        <v>0</v>
      </c>
      <c r="T137" s="164">
        <f t="shared" si="2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185</v>
      </c>
      <c r="AT137" s="165" t="s">
        <v>181</v>
      </c>
      <c r="AU137" s="165" t="s">
        <v>76</v>
      </c>
      <c r="AY137" s="14" t="s">
        <v>179</v>
      </c>
      <c r="BE137" s="166">
        <f t="shared" si="3"/>
        <v>0</v>
      </c>
      <c r="BF137" s="166">
        <f t="shared" si="4"/>
        <v>0</v>
      </c>
      <c r="BG137" s="166">
        <f t="shared" si="5"/>
        <v>0</v>
      </c>
      <c r="BH137" s="166">
        <f t="shared" si="6"/>
        <v>0</v>
      </c>
      <c r="BI137" s="166">
        <f t="shared" si="7"/>
        <v>0</v>
      </c>
      <c r="BJ137" s="14" t="s">
        <v>82</v>
      </c>
      <c r="BK137" s="166">
        <f t="shared" si="8"/>
        <v>0</v>
      </c>
      <c r="BL137" s="14" t="s">
        <v>185</v>
      </c>
      <c r="BM137" s="165" t="s">
        <v>221</v>
      </c>
    </row>
    <row r="138" spans="1:65" s="2" customFormat="1" ht="33" customHeight="1">
      <c r="A138" s="29"/>
      <c r="B138" s="152"/>
      <c r="C138" s="153" t="s">
        <v>201</v>
      </c>
      <c r="D138" s="153" t="s">
        <v>181</v>
      </c>
      <c r="E138" s="154" t="s">
        <v>2111</v>
      </c>
      <c r="F138" s="155" t="s">
        <v>1554</v>
      </c>
      <c r="G138" s="156" t="s">
        <v>217</v>
      </c>
      <c r="H138" s="157">
        <v>24</v>
      </c>
      <c r="I138" s="158"/>
      <c r="J138" s="151">
        <v>0</v>
      </c>
      <c r="K138" s="160"/>
      <c r="L138" s="30"/>
      <c r="M138" s="161" t="s">
        <v>1</v>
      </c>
      <c r="N138" s="162" t="s">
        <v>35</v>
      </c>
      <c r="O138" s="58"/>
      <c r="P138" s="163">
        <f t="shared" si="0"/>
        <v>0</v>
      </c>
      <c r="Q138" s="163">
        <v>0</v>
      </c>
      <c r="R138" s="163">
        <f t="shared" si="1"/>
        <v>0</v>
      </c>
      <c r="S138" s="163">
        <v>0</v>
      </c>
      <c r="T138" s="164">
        <f t="shared" si="2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185</v>
      </c>
      <c r="AT138" s="165" t="s">
        <v>181</v>
      </c>
      <c r="AU138" s="165" t="s">
        <v>76</v>
      </c>
      <c r="AY138" s="14" t="s">
        <v>179</v>
      </c>
      <c r="BE138" s="166">
        <f t="shared" si="3"/>
        <v>0</v>
      </c>
      <c r="BF138" s="166">
        <f t="shared" si="4"/>
        <v>0</v>
      </c>
      <c r="BG138" s="166">
        <f t="shared" si="5"/>
        <v>0</v>
      </c>
      <c r="BH138" s="166">
        <f t="shared" si="6"/>
        <v>0</v>
      </c>
      <c r="BI138" s="166">
        <f t="shared" si="7"/>
        <v>0</v>
      </c>
      <c r="BJ138" s="14" t="s">
        <v>82</v>
      </c>
      <c r="BK138" s="166">
        <f t="shared" si="8"/>
        <v>0</v>
      </c>
      <c r="BL138" s="14" t="s">
        <v>185</v>
      </c>
      <c r="BM138" s="165" t="s">
        <v>225</v>
      </c>
    </row>
    <row r="139" spans="1:65" s="2" customFormat="1" ht="33" customHeight="1">
      <c r="A139" s="29"/>
      <c r="B139" s="152"/>
      <c r="C139" s="153" t="s">
        <v>222</v>
      </c>
      <c r="D139" s="153" t="s">
        <v>181</v>
      </c>
      <c r="E139" s="154" t="s">
        <v>2112</v>
      </c>
      <c r="F139" s="155" t="s">
        <v>2113</v>
      </c>
      <c r="G139" s="156" t="s">
        <v>217</v>
      </c>
      <c r="H139" s="157">
        <v>8</v>
      </c>
      <c r="I139" s="158"/>
      <c r="J139" s="151">
        <v>0</v>
      </c>
      <c r="K139" s="160"/>
      <c r="L139" s="30"/>
      <c r="M139" s="161" t="s">
        <v>1</v>
      </c>
      <c r="N139" s="162" t="s">
        <v>35</v>
      </c>
      <c r="O139" s="58"/>
      <c r="P139" s="163">
        <f t="shared" si="0"/>
        <v>0</v>
      </c>
      <c r="Q139" s="163">
        <v>0</v>
      </c>
      <c r="R139" s="163">
        <f t="shared" si="1"/>
        <v>0</v>
      </c>
      <c r="S139" s="163">
        <v>0</v>
      </c>
      <c r="T139" s="164">
        <f t="shared" si="2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185</v>
      </c>
      <c r="AT139" s="165" t="s">
        <v>181</v>
      </c>
      <c r="AU139" s="165" t="s">
        <v>76</v>
      </c>
      <c r="AY139" s="14" t="s">
        <v>179</v>
      </c>
      <c r="BE139" s="166">
        <f t="shared" si="3"/>
        <v>0</v>
      </c>
      <c r="BF139" s="166">
        <f t="shared" si="4"/>
        <v>0</v>
      </c>
      <c r="BG139" s="166">
        <f t="shared" si="5"/>
        <v>0</v>
      </c>
      <c r="BH139" s="166">
        <f t="shared" si="6"/>
        <v>0</v>
      </c>
      <c r="BI139" s="166">
        <f t="shared" si="7"/>
        <v>0</v>
      </c>
      <c r="BJ139" s="14" t="s">
        <v>82</v>
      </c>
      <c r="BK139" s="166">
        <f t="shared" si="8"/>
        <v>0</v>
      </c>
      <c r="BL139" s="14" t="s">
        <v>185</v>
      </c>
      <c r="BM139" s="165" t="s">
        <v>228</v>
      </c>
    </row>
    <row r="140" spans="1:65" s="2" customFormat="1" ht="16.5" customHeight="1">
      <c r="A140" s="29"/>
      <c r="B140" s="152"/>
      <c r="C140" s="153" t="s">
        <v>205</v>
      </c>
      <c r="D140" s="153" t="s">
        <v>181</v>
      </c>
      <c r="E140" s="154" t="s">
        <v>2114</v>
      </c>
      <c r="F140" s="155" t="s">
        <v>1857</v>
      </c>
      <c r="G140" s="156" t="s">
        <v>217</v>
      </c>
      <c r="H140" s="157">
        <v>50</v>
      </c>
      <c r="I140" s="158"/>
      <c r="J140" s="151">
        <v>0</v>
      </c>
      <c r="K140" s="160"/>
      <c r="L140" s="30"/>
      <c r="M140" s="161" t="s">
        <v>1</v>
      </c>
      <c r="N140" s="162" t="s">
        <v>35</v>
      </c>
      <c r="O140" s="58"/>
      <c r="P140" s="163">
        <f t="shared" si="0"/>
        <v>0</v>
      </c>
      <c r="Q140" s="163">
        <v>0</v>
      </c>
      <c r="R140" s="163">
        <f t="shared" si="1"/>
        <v>0</v>
      </c>
      <c r="S140" s="163">
        <v>0</v>
      </c>
      <c r="T140" s="164">
        <f t="shared" si="2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185</v>
      </c>
      <c r="AT140" s="165" t="s">
        <v>181</v>
      </c>
      <c r="AU140" s="165" t="s">
        <v>76</v>
      </c>
      <c r="AY140" s="14" t="s">
        <v>179</v>
      </c>
      <c r="BE140" s="166">
        <f t="shared" si="3"/>
        <v>0</v>
      </c>
      <c r="BF140" s="166">
        <f t="shared" si="4"/>
        <v>0</v>
      </c>
      <c r="BG140" s="166">
        <f t="shared" si="5"/>
        <v>0</v>
      </c>
      <c r="BH140" s="166">
        <f t="shared" si="6"/>
        <v>0</v>
      </c>
      <c r="BI140" s="166">
        <f t="shared" si="7"/>
        <v>0</v>
      </c>
      <c r="BJ140" s="14" t="s">
        <v>82</v>
      </c>
      <c r="BK140" s="166">
        <f t="shared" si="8"/>
        <v>0</v>
      </c>
      <c r="BL140" s="14" t="s">
        <v>185</v>
      </c>
      <c r="BM140" s="165" t="s">
        <v>232</v>
      </c>
    </row>
    <row r="141" spans="1:65" s="2" customFormat="1" ht="16.5" customHeight="1">
      <c r="A141" s="29"/>
      <c r="B141" s="152"/>
      <c r="C141" s="153" t="s">
        <v>229</v>
      </c>
      <c r="D141" s="153" t="s">
        <v>181</v>
      </c>
      <c r="E141" s="154" t="s">
        <v>2115</v>
      </c>
      <c r="F141" s="155" t="s">
        <v>1858</v>
      </c>
      <c r="G141" s="156" t="s">
        <v>217</v>
      </c>
      <c r="H141" s="157">
        <v>50</v>
      </c>
      <c r="I141" s="158"/>
      <c r="J141" s="151">
        <v>0</v>
      </c>
      <c r="K141" s="160"/>
      <c r="L141" s="30"/>
      <c r="M141" s="161" t="s">
        <v>1</v>
      </c>
      <c r="N141" s="162" t="s">
        <v>35</v>
      </c>
      <c r="O141" s="58"/>
      <c r="P141" s="163">
        <f t="shared" si="0"/>
        <v>0</v>
      </c>
      <c r="Q141" s="163">
        <v>0</v>
      </c>
      <c r="R141" s="163">
        <f t="shared" si="1"/>
        <v>0</v>
      </c>
      <c r="S141" s="163">
        <v>0</v>
      </c>
      <c r="T141" s="164">
        <f t="shared" si="2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5" t="s">
        <v>185</v>
      </c>
      <c r="AT141" s="165" t="s">
        <v>181</v>
      </c>
      <c r="AU141" s="165" t="s">
        <v>76</v>
      </c>
      <c r="AY141" s="14" t="s">
        <v>179</v>
      </c>
      <c r="BE141" s="166">
        <f t="shared" si="3"/>
        <v>0</v>
      </c>
      <c r="BF141" s="166">
        <f t="shared" si="4"/>
        <v>0</v>
      </c>
      <c r="BG141" s="166">
        <f t="shared" si="5"/>
        <v>0</v>
      </c>
      <c r="BH141" s="166">
        <f t="shared" si="6"/>
        <v>0</v>
      </c>
      <c r="BI141" s="166">
        <f t="shared" si="7"/>
        <v>0</v>
      </c>
      <c r="BJ141" s="14" t="s">
        <v>82</v>
      </c>
      <c r="BK141" s="166">
        <f t="shared" si="8"/>
        <v>0</v>
      </c>
      <c r="BL141" s="14" t="s">
        <v>185</v>
      </c>
      <c r="BM141" s="165" t="s">
        <v>235</v>
      </c>
    </row>
    <row r="142" spans="1:65" s="2" customFormat="1" ht="24.2" customHeight="1">
      <c r="A142" s="29"/>
      <c r="B142" s="152"/>
      <c r="C142" s="153" t="s">
        <v>210</v>
      </c>
      <c r="D142" s="153" t="s">
        <v>181</v>
      </c>
      <c r="E142" s="154" t="s">
        <v>2116</v>
      </c>
      <c r="F142" s="155" t="s">
        <v>2117</v>
      </c>
      <c r="G142" s="156" t="s">
        <v>293</v>
      </c>
      <c r="H142" s="157">
        <v>280</v>
      </c>
      <c r="I142" s="158"/>
      <c r="J142" s="151">
        <v>0</v>
      </c>
      <c r="K142" s="160"/>
      <c r="L142" s="30"/>
      <c r="M142" s="161" t="s">
        <v>1</v>
      </c>
      <c r="N142" s="162" t="s">
        <v>35</v>
      </c>
      <c r="O142" s="58"/>
      <c r="P142" s="163">
        <f t="shared" si="0"/>
        <v>0</v>
      </c>
      <c r="Q142" s="163">
        <v>0</v>
      </c>
      <c r="R142" s="163">
        <f t="shared" si="1"/>
        <v>0</v>
      </c>
      <c r="S142" s="163">
        <v>0</v>
      </c>
      <c r="T142" s="164">
        <f t="shared" si="2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5" t="s">
        <v>185</v>
      </c>
      <c r="AT142" s="165" t="s">
        <v>181</v>
      </c>
      <c r="AU142" s="165" t="s">
        <v>76</v>
      </c>
      <c r="AY142" s="14" t="s">
        <v>179</v>
      </c>
      <c r="BE142" s="166">
        <f t="shared" si="3"/>
        <v>0</v>
      </c>
      <c r="BF142" s="166">
        <f t="shared" si="4"/>
        <v>0</v>
      </c>
      <c r="BG142" s="166">
        <f t="shared" si="5"/>
        <v>0</v>
      </c>
      <c r="BH142" s="166">
        <f t="shared" si="6"/>
        <v>0</v>
      </c>
      <c r="BI142" s="166">
        <f t="shared" si="7"/>
        <v>0</v>
      </c>
      <c r="BJ142" s="14" t="s">
        <v>82</v>
      </c>
      <c r="BK142" s="166">
        <f t="shared" si="8"/>
        <v>0</v>
      </c>
      <c r="BL142" s="14" t="s">
        <v>185</v>
      </c>
      <c r="BM142" s="165" t="s">
        <v>239</v>
      </c>
    </row>
    <row r="143" spans="1:65" s="2" customFormat="1" ht="16.5" customHeight="1">
      <c r="A143" s="29"/>
      <c r="B143" s="152"/>
      <c r="C143" s="153" t="s">
        <v>236</v>
      </c>
      <c r="D143" s="153" t="s">
        <v>181</v>
      </c>
      <c r="E143" s="154" t="s">
        <v>2118</v>
      </c>
      <c r="F143" s="155" t="s">
        <v>2119</v>
      </c>
      <c r="G143" s="156" t="s">
        <v>293</v>
      </c>
      <c r="H143" s="157">
        <v>280</v>
      </c>
      <c r="I143" s="158"/>
      <c r="J143" s="151">
        <v>0</v>
      </c>
      <c r="K143" s="160"/>
      <c r="L143" s="30"/>
      <c r="M143" s="161" t="s">
        <v>1</v>
      </c>
      <c r="N143" s="162" t="s">
        <v>35</v>
      </c>
      <c r="O143" s="58"/>
      <c r="P143" s="163">
        <f t="shared" si="0"/>
        <v>0</v>
      </c>
      <c r="Q143" s="163">
        <v>0</v>
      </c>
      <c r="R143" s="163">
        <f t="shared" si="1"/>
        <v>0</v>
      </c>
      <c r="S143" s="163">
        <v>0</v>
      </c>
      <c r="T143" s="164">
        <f t="shared" si="2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185</v>
      </c>
      <c r="AT143" s="165" t="s">
        <v>181</v>
      </c>
      <c r="AU143" s="165" t="s">
        <v>76</v>
      </c>
      <c r="AY143" s="14" t="s">
        <v>179</v>
      </c>
      <c r="BE143" s="166">
        <f t="shared" si="3"/>
        <v>0</v>
      </c>
      <c r="BF143" s="166">
        <f t="shared" si="4"/>
        <v>0</v>
      </c>
      <c r="BG143" s="166">
        <f t="shared" si="5"/>
        <v>0</v>
      </c>
      <c r="BH143" s="166">
        <f t="shared" si="6"/>
        <v>0</v>
      </c>
      <c r="BI143" s="166">
        <f t="shared" si="7"/>
        <v>0</v>
      </c>
      <c r="BJ143" s="14" t="s">
        <v>82</v>
      </c>
      <c r="BK143" s="166">
        <f t="shared" si="8"/>
        <v>0</v>
      </c>
      <c r="BL143" s="14" t="s">
        <v>185</v>
      </c>
      <c r="BM143" s="165" t="s">
        <v>242</v>
      </c>
    </row>
    <row r="144" spans="1:65" s="2" customFormat="1" ht="16.5" customHeight="1">
      <c r="A144" s="29"/>
      <c r="B144" s="152"/>
      <c r="C144" s="153" t="s">
        <v>213</v>
      </c>
      <c r="D144" s="153" t="s">
        <v>181</v>
      </c>
      <c r="E144" s="154" t="s">
        <v>2120</v>
      </c>
      <c r="F144" s="155" t="s">
        <v>1867</v>
      </c>
      <c r="G144" s="156" t="s">
        <v>217</v>
      </c>
      <c r="H144" s="157">
        <v>1</v>
      </c>
      <c r="I144" s="158"/>
      <c r="J144" s="151">
        <v>0</v>
      </c>
      <c r="K144" s="160"/>
      <c r="L144" s="30"/>
      <c r="M144" s="161" t="s">
        <v>1</v>
      </c>
      <c r="N144" s="162" t="s">
        <v>35</v>
      </c>
      <c r="O144" s="58"/>
      <c r="P144" s="163">
        <f t="shared" si="0"/>
        <v>0</v>
      </c>
      <c r="Q144" s="163">
        <v>0</v>
      </c>
      <c r="R144" s="163">
        <f t="shared" si="1"/>
        <v>0</v>
      </c>
      <c r="S144" s="163">
        <v>0</v>
      </c>
      <c r="T144" s="164">
        <f t="shared" si="2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5" t="s">
        <v>185</v>
      </c>
      <c r="AT144" s="165" t="s">
        <v>181</v>
      </c>
      <c r="AU144" s="165" t="s">
        <v>76</v>
      </c>
      <c r="AY144" s="14" t="s">
        <v>179</v>
      </c>
      <c r="BE144" s="166">
        <f t="shared" si="3"/>
        <v>0</v>
      </c>
      <c r="BF144" s="166">
        <f t="shared" si="4"/>
        <v>0</v>
      </c>
      <c r="BG144" s="166">
        <f t="shared" si="5"/>
        <v>0</v>
      </c>
      <c r="BH144" s="166">
        <f t="shared" si="6"/>
        <v>0</v>
      </c>
      <c r="BI144" s="166">
        <f t="shared" si="7"/>
        <v>0</v>
      </c>
      <c r="BJ144" s="14" t="s">
        <v>82</v>
      </c>
      <c r="BK144" s="166">
        <f t="shared" si="8"/>
        <v>0</v>
      </c>
      <c r="BL144" s="14" t="s">
        <v>185</v>
      </c>
      <c r="BM144" s="165" t="s">
        <v>246</v>
      </c>
    </row>
    <row r="145" spans="1:65" s="2" customFormat="1" ht="16.5" customHeight="1">
      <c r="A145" s="29"/>
      <c r="B145" s="152"/>
      <c r="C145" s="153" t="s">
        <v>243</v>
      </c>
      <c r="D145" s="153" t="s">
        <v>181</v>
      </c>
      <c r="E145" s="154" t="s">
        <v>2121</v>
      </c>
      <c r="F145" s="155" t="s">
        <v>1874</v>
      </c>
      <c r="G145" s="156" t="s">
        <v>217</v>
      </c>
      <c r="H145" s="157">
        <v>20</v>
      </c>
      <c r="I145" s="158"/>
      <c r="J145" s="151">
        <v>0</v>
      </c>
      <c r="K145" s="160"/>
      <c r="L145" s="30"/>
      <c r="M145" s="161" t="s">
        <v>1</v>
      </c>
      <c r="N145" s="162" t="s">
        <v>35</v>
      </c>
      <c r="O145" s="58"/>
      <c r="P145" s="163">
        <f t="shared" si="0"/>
        <v>0</v>
      </c>
      <c r="Q145" s="163">
        <v>0</v>
      </c>
      <c r="R145" s="163">
        <f t="shared" si="1"/>
        <v>0</v>
      </c>
      <c r="S145" s="163">
        <v>0</v>
      </c>
      <c r="T145" s="164">
        <f t="shared" si="2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5" t="s">
        <v>185</v>
      </c>
      <c r="AT145" s="165" t="s">
        <v>181</v>
      </c>
      <c r="AU145" s="165" t="s">
        <v>76</v>
      </c>
      <c r="AY145" s="14" t="s">
        <v>179</v>
      </c>
      <c r="BE145" s="166">
        <f t="shared" si="3"/>
        <v>0</v>
      </c>
      <c r="BF145" s="166">
        <f t="shared" si="4"/>
        <v>0</v>
      </c>
      <c r="BG145" s="166">
        <f t="shared" si="5"/>
        <v>0</v>
      </c>
      <c r="BH145" s="166">
        <f t="shared" si="6"/>
        <v>0</v>
      </c>
      <c r="BI145" s="166">
        <f t="shared" si="7"/>
        <v>0</v>
      </c>
      <c r="BJ145" s="14" t="s">
        <v>82</v>
      </c>
      <c r="BK145" s="166">
        <f t="shared" si="8"/>
        <v>0</v>
      </c>
      <c r="BL145" s="14" t="s">
        <v>185</v>
      </c>
      <c r="BM145" s="165" t="s">
        <v>250</v>
      </c>
    </row>
    <row r="146" spans="1:65" s="2" customFormat="1" ht="16.5" customHeight="1">
      <c r="A146" s="29"/>
      <c r="B146" s="152"/>
      <c r="C146" s="153" t="s">
        <v>218</v>
      </c>
      <c r="D146" s="153" t="s">
        <v>181</v>
      </c>
      <c r="E146" s="154" t="s">
        <v>2122</v>
      </c>
      <c r="F146" s="155" t="s">
        <v>1889</v>
      </c>
      <c r="G146" s="156" t="s">
        <v>293</v>
      </c>
      <c r="H146" s="157">
        <v>0</v>
      </c>
      <c r="I146" s="158"/>
      <c r="J146" s="151">
        <v>0</v>
      </c>
      <c r="K146" s="160"/>
      <c r="L146" s="30"/>
      <c r="M146" s="161" t="s">
        <v>1</v>
      </c>
      <c r="N146" s="162" t="s">
        <v>35</v>
      </c>
      <c r="O146" s="58"/>
      <c r="P146" s="163">
        <f t="shared" si="0"/>
        <v>0</v>
      </c>
      <c r="Q146" s="163">
        <v>0</v>
      </c>
      <c r="R146" s="163">
        <f t="shared" si="1"/>
        <v>0</v>
      </c>
      <c r="S146" s="163">
        <v>0</v>
      </c>
      <c r="T146" s="164">
        <f t="shared" si="2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5" t="s">
        <v>185</v>
      </c>
      <c r="AT146" s="165" t="s">
        <v>181</v>
      </c>
      <c r="AU146" s="165" t="s">
        <v>76</v>
      </c>
      <c r="AY146" s="14" t="s">
        <v>179</v>
      </c>
      <c r="BE146" s="166">
        <f t="shared" si="3"/>
        <v>0</v>
      </c>
      <c r="BF146" s="166">
        <f t="shared" si="4"/>
        <v>0</v>
      </c>
      <c r="BG146" s="166">
        <f t="shared" si="5"/>
        <v>0</v>
      </c>
      <c r="BH146" s="166">
        <f t="shared" si="6"/>
        <v>0</v>
      </c>
      <c r="BI146" s="166">
        <f t="shared" si="7"/>
        <v>0</v>
      </c>
      <c r="BJ146" s="14" t="s">
        <v>82</v>
      </c>
      <c r="BK146" s="166">
        <f t="shared" si="8"/>
        <v>0</v>
      </c>
      <c r="BL146" s="14" t="s">
        <v>185</v>
      </c>
      <c r="BM146" s="165" t="s">
        <v>254</v>
      </c>
    </row>
    <row r="147" spans="1:65" s="2" customFormat="1" ht="16.5" customHeight="1">
      <c r="A147" s="29"/>
      <c r="B147" s="152"/>
      <c r="C147" s="153" t="s">
        <v>251</v>
      </c>
      <c r="D147" s="153" t="s">
        <v>181</v>
      </c>
      <c r="E147" s="154" t="s">
        <v>2123</v>
      </c>
      <c r="F147" s="155" t="s">
        <v>1745</v>
      </c>
      <c r="G147" s="156" t="s">
        <v>585</v>
      </c>
      <c r="H147" s="178"/>
      <c r="I147" s="158"/>
      <c r="J147" s="151">
        <v>0</v>
      </c>
      <c r="K147" s="160"/>
      <c r="L147" s="30"/>
      <c r="M147" s="161" t="s">
        <v>1</v>
      </c>
      <c r="N147" s="162" t="s">
        <v>35</v>
      </c>
      <c r="O147" s="58"/>
      <c r="P147" s="163">
        <f t="shared" si="0"/>
        <v>0</v>
      </c>
      <c r="Q147" s="163">
        <v>0</v>
      </c>
      <c r="R147" s="163">
        <f t="shared" si="1"/>
        <v>0</v>
      </c>
      <c r="S147" s="163">
        <v>0</v>
      </c>
      <c r="T147" s="164">
        <f t="shared" si="2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5" t="s">
        <v>185</v>
      </c>
      <c r="AT147" s="165" t="s">
        <v>181</v>
      </c>
      <c r="AU147" s="165" t="s">
        <v>76</v>
      </c>
      <c r="AY147" s="14" t="s">
        <v>179</v>
      </c>
      <c r="BE147" s="166">
        <f t="shared" si="3"/>
        <v>0</v>
      </c>
      <c r="BF147" s="166">
        <f t="shared" si="4"/>
        <v>0</v>
      </c>
      <c r="BG147" s="166">
        <f t="shared" si="5"/>
        <v>0</v>
      </c>
      <c r="BH147" s="166">
        <f t="shared" si="6"/>
        <v>0</v>
      </c>
      <c r="BI147" s="166">
        <f t="shared" si="7"/>
        <v>0</v>
      </c>
      <c r="BJ147" s="14" t="s">
        <v>82</v>
      </c>
      <c r="BK147" s="166">
        <f t="shared" si="8"/>
        <v>0</v>
      </c>
      <c r="BL147" s="14" t="s">
        <v>185</v>
      </c>
      <c r="BM147" s="165" t="s">
        <v>257</v>
      </c>
    </row>
    <row r="148" spans="1:65" s="2" customFormat="1" ht="16.5" customHeight="1">
      <c r="A148" s="29"/>
      <c r="B148" s="152"/>
      <c r="C148" s="153" t="s">
        <v>221</v>
      </c>
      <c r="D148" s="153" t="s">
        <v>181</v>
      </c>
      <c r="E148" s="154" t="s">
        <v>2124</v>
      </c>
      <c r="F148" s="155" t="s">
        <v>1770</v>
      </c>
      <c r="G148" s="156" t="s">
        <v>1771</v>
      </c>
      <c r="H148" s="157">
        <v>1</v>
      </c>
      <c r="I148" s="158"/>
      <c r="J148" s="151">
        <v>0</v>
      </c>
      <c r="K148" s="160"/>
      <c r="L148" s="30"/>
      <c r="M148" s="161" t="s">
        <v>1</v>
      </c>
      <c r="N148" s="162" t="s">
        <v>35</v>
      </c>
      <c r="O148" s="58"/>
      <c r="P148" s="163">
        <f t="shared" si="0"/>
        <v>0</v>
      </c>
      <c r="Q148" s="163">
        <v>0</v>
      </c>
      <c r="R148" s="163">
        <f t="shared" si="1"/>
        <v>0</v>
      </c>
      <c r="S148" s="163">
        <v>0</v>
      </c>
      <c r="T148" s="164">
        <f t="shared" si="2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5" t="s">
        <v>185</v>
      </c>
      <c r="AT148" s="165" t="s">
        <v>181</v>
      </c>
      <c r="AU148" s="165" t="s">
        <v>76</v>
      </c>
      <c r="AY148" s="14" t="s">
        <v>179</v>
      </c>
      <c r="BE148" s="166">
        <f t="shared" si="3"/>
        <v>0</v>
      </c>
      <c r="BF148" s="166">
        <f t="shared" si="4"/>
        <v>0</v>
      </c>
      <c r="BG148" s="166">
        <f t="shared" si="5"/>
        <v>0</v>
      </c>
      <c r="BH148" s="166">
        <f t="shared" si="6"/>
        <v>0</v>
      </c>
      <c r="BI148" s="166">
        <f t="shared" si="7"/>
        <v>0</v>
      </c>
      <c r="BJ148" s="14" t="s">
        <v>82</v>
      </c>
      <c r="BK148" s="166">
        <f t="shared" si="8"/>
        <v>0</v>
      </c>
      <c r="BL148" s="14" t="s">
        <v>185</v>
      </c>
      <c r="BM148" s="165" t="s">
        <v>261</v>
      </c>
    </row>
    <row r="149" spans="1:65" s="2" customFormat="1" ht="16.5" customHeight="1">
      <c r="A149" s="29"/>
      <c r="B149" s="152"/>
      <c r="C149" s="153" t="s">
        <v>258</v>
      </c>
      <c r="D149" s="153" t="s">
        <v>181</v>
      </c>
      <c r="E149" s="154" t="s">
        <v>2125</v>
      </c>
      <c r="F149" s="155" t="s">
        <v>1777</v>
      </c>
      <c r="G149" s="156" t="s">
        <v>1771</v>
      </c>
      <c r="H149" s="157">
        <v>1</v>
      </c>
      <c r="I149" s="158"/>
      <c r="J149" s="151">
        <v>0</v>
      </c>
      <c r="K149" s="160"/>
      <c r="L149" s="30"/>
      <c r="M149" s="161" t="s">
        <v>1</v>
      </c>
      <c r="N149" s="162" t="s">
        <v>35</v>
      </c>
      <c r="O149" s="58"/>
      <c r="P149" s="163">
        <f t="shared" si="0"/>
        <v>0</v>
      </c>
      <c r="Q149" s="163">
        <v>0</v>
      </c>
      <c r="R149" s="163">
        <f t="shared" si="1"/>
        <v>0</v>
      </c>
      <c r="S149" s="163">
        <v>0</v>
      </c>
      <c r="T149" s="164">
        <f t="shared" si="2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5" t="s">
        <v>185</v>
      </c>
      <c r="AT149" s="165" t="s">
        <v>181</v>
      </c>
      <c r="AU149" s="165" t="s">
        <v>76</v>
      </c>
      <c r="AY149" s="14" t="s">
        <v>179</v>
      </c>
      <c r="BE149" s="166">
        <f t="shared" si="3"/>
        <v>0</v>
      </c>
      <c r="BF149" s="166">
        <f t="shared" si="4"/>
        <v>0</v>
      </c>
      <c r="BG149" s="166">
        <f t="shared" si="5"/>
        <v>0</v>
      </c>
      <c r="BH149" s="166">
        <f t="shared" si="6"/>
        <v>0</v>
      </c>
      <c r="BI149" s="166">
        <f t="shared" si="7"/>
        <v>0</v>
      </c>
      <c r="BJ149" s="14" t="s">
        <v>82</v>
      </c>
      <c r="BK149" s="166">
        <f t="shared" si="8"/>
        <v>0</v>
      </c>
      <c r="BL149" s="14" t="s">
        <v>185</v>
      </c>
      <c r="BM149" s="165" t="s">
        <v>265</v>
      </c>
    </row>
    <row r="150" spans="1:65" s="2" customFormat="1" ht="16.5" customHeight="1">
      <c r="A150" s="29"/>
      <c r="B150" s="152"/>
      <c r="C150" s="153" t="s">
        <v>225</v>
      </c>
      <c r="D150" s="153" t="s">
        <v>181</v>
      </c>
      <c r="E150" s="154" t="s">
        <v>2126</v>
      </c>
      <c r="F150" s="155" t="s">
        <v>1780</v>
      </c>
      <c r="G150" s="156" t="s">
        <v>1771</v>
      </c>
      <c r="H150" s="157">
        <v>1</v>
      </c>
      <c r="I150" s="158"/>
      <c r="J150" s="151">
        <v>0</v>
      </c>
      <c r="K150" s="160"/>
      <c r="L150" s="30"/>
      <c r="M150" s="179" t="s">
        <v>1</v>
      </c>
      <c r="N150" s="180" t="s">
        <v>35</v>
      </c>
      <c r="O150" s="181"/>
      <c r="P150" s="182">
        <f t="shared" si="0"/>
        <v>0</v>
      </c>
      <c r="Q150" s="182">
        <v>0</v>
      </c>
      <c r="R150" s="182">
        <f t="shared" si="1"/>
        <v>0</v>
      </c>
      <c r="S150" s="182">
        <v>0</v>
      </c>
      <c r="T150" s="183">
        <f t="shared" si="2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5" t="s">
        <v>185</v>
      </c>
      <c r="AT150" s="165" t="s">
        <v>181</v>
      </c>
      <c r="AU150" s="165" t="s">
        <v>76</v>
      </c>
      <c r="AY150" s="14" t="s">
        <v>179</v>
      </c>
      <c r="BE150" s="166">
        <f t="shared" si="3"/>
        <v>0</v>
      </c>
      <c r="BF150" s="166">
        <f t="shared" si="4"/>
        <v>0</v>
      </c>
      <c r="BG150" s="166">
        <f t="shared" si="5"/>
        <v>0</v>
      </c>
      <c r="BH150" s="166">
        <f t="shared" si="6"/>
        <v>0</v>
      </c>
      <c r="BI150" s="166">
        <f t="shared" si="7"/>
        <v>0</v>
      </c>
      <c r="BJ150" s="14" t="s">
        <v>82</v>
      </c>
      <c r="BK150" s="166">
        <f t="shared" si="8"/>
        <v>0</v>
      </c>
      <c r="BL150" s="14" t="s">
        <v>185</v>
      </c>
      <c r="BM150" s="165" t="s">
        <v>268</v>
      </c>
    </row>
    <row r="151" spans="1:65" s="2" customFormat="1" ht="6.95" customHeight="1">
      <c r="A151" s="29"/>
      <c r="B151" s="47"/>
      <c r="C151" s="48"/>
      <c r="D151" s="48"/>
      <c r="E151" s="48"/>
      <c r="F151" s="48"/>
      <c r="G151" s="48"/>
      <c r="H151" s="48"/>
      <c r="I151" s="48"/>
      <c r="J151" s="151"/>
      <c r="K151" s="48"/>
      <c r="L151" s="30"/>
      <c r="M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</row>
  </sheetData>
  <autoFilter ref="C123:K150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BM449"/>
  <sheetViews>
    <sheetView showGridLines="0" topLeftCell="A9" workbookViewId="0">
      <selection activeCell="W48" sqref="W4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0" t="s">
        <v>5</v>
      </c>
      <c r="M2" s="351"/>
      <c r="N2" s="351"/>
      <c r="O2" s="351"/>
      <c r="P2" s="351"/>
      <c r="Q2" s="351"/>
      <c r="R2" s="351"/>
      <c r="S2" s="351"/>
      <c r="T2" s="351"/>
      <c r="U2" s="351"/>
      <c r="V2" s="351"/>
      <c r="AT2" s="14" t="s">
        <v>107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5" customHeight="1">
      <c r="B4" s="17"/>
      <c r="D4" s="18" t="s">
        <v>129</v>
      </c>
      <c r="L4" s="17"/>
      <c r="M4" s="98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387" t="str">
        <f>'Rekapitulácia stavby'!K6</f>
        <v>Topoľčianky, Centrálny logistický sklad - rekonštrukcia tepelného hospodárstva</v>
      </c>
      <c r="F7" s="388"/>
      <c r="G7" s="388"/>
      <c r="H7" s="388"/>
      <c r="L7" s="17"/>
    </row>
    <row r="8" spans="1:46" s="1" customFormat="1" ht="12" customHeight="1">
      <c r="B8" s="17"/>
      <c r="D8" s="24" t="s">
        <v>130</v>
      </c>
      <c r="L8" s="17"/>
    </row>
    <row r="9" spans="1:46" s="2" customFormat="1" ht="16.5" customHeight="1">
      <c r="A9" s="29"/>
      <c r="B9" s="30"/>
      <c r="C9" s="29"/>
      <c r="D9" s="29"/>
      <c r="E9" s="387" t="s">
        <v>131</v>
      </c>
      <c r="F9" s="386"/>
      <c r="G9" s="386"/>
      <c r="H9" s="386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>
      <c r="A10" s="29"/>
      <c r="B10" s="30"/>
      <c r="C10" s="29"/>
      <c r="D10" s="24" t="s">
        <v>132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>
      <c r="A11" s="29"/>
      <c r="B11" s="30"/>
      <c r="C11" s="29"/>
      <c r="D11" s="29"/>
      <c r="E11" s="382" t="s">
        <v>2127</v>
      </c>
      <c r="F11" s="386"/>
      <c r="G11" s="386"/>
      <c r="H11" s="386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>
      <c r="A13" s="29"/>
      <c r="B13" s="30"/>
      <c r="C13" s="29"/>
      <c r="D13" s="24" t="s">
        <v>15</v>
      </c>
      <c r="E13" s="29"/>
      <c r="F13" s="22" t="s">
        <v>1</v>
      </c>
      <c r="G13" s="29"/>
      <c r="H13" s="29"/>
      <c r="I13" s="24" t="s">
        <v>16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17</v>
      </c>
      <c r="E14" s="29"/>
      <c r="F14" s="22" t="s">
        <v>18</v>
      </c>
      <c r="G14" s="29"/>
      <c r="H14" s="29"/>
      <c r="I14" s="24" t="s">
        <v>19</v>
      </c>
      <c r="J14" s="55">
        <f>'Rekapitulácia stavby'!AN8</f>
        <v>45945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>
      <c r="A16" s="29"/>
      <c r="B16" s="30"/>
      <c r="C16" s="29"/>
      <c r="D16" s="24" t="s">
        <v>20</v>
      </c>
      <c r="E16" s="29"/>
      <c r="F16" s="29"/>
      <c r="G16" s="29"/>
      <c r="H16" s="29"/>
      <c r="I16" s="24" t="s">
        <v>21</v>
      </c>
      <c r="J16" s="22" t="str">
        <f>IF('Rekapitulácia stavby'!AN10="","",'Rekapitulácia stavby'!AN10)</f>
        <v/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>
      <c r="A17" s="29"/>
      <c r="B17" s="30"/>
      <c r="C17" s="29"/>
      <c r="D17" s="29"/>
      <c r="E17" s="22" t="str">
        <f>IF('Rekapitulácia stavby'!E11="","",'Rekapitulácia stavby'!E11)</f>
        <v xml:space="preserve"> </v>
      </c>
      <c r="F17" s="29"/>
      <c r="G17" s="29"/>
      <c r="H17" s="29"/>
      <c r="I17" s="24" t="s">
        <v>22</v>
      </c>
      <c r="J17" s="22" t="str">
        <f>IF('Rekapitulácia stavby'!AN11="","",'Rekapitulácia stavby'!AN11)</f>
        <v/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customHeight="1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>
      <c r="A19" s="29"/>
      <c r="B19" s="30"/>
      <c r="C19" s="29"/>
      <c r="D19" s="24" t="s">
        <v>23</v>
      </c>
      <c r="E19" s="29"/>
      <c r="F19" s="29"/>
      <c r="G19" s="29"/>
      <c r="H19" s="29"/>
      <c r="I19" s="24" t="s">
        <v>21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>
      <c r="A20" s="29"/>
      <c r="B20" s="30"/>
      <c r="C20" s="29"/>
      <c r="D20" s="29"/>
      <c r="E20" s="389" t="str">
        <f>'Rekapitulácia stavby'!E14</f>
        <v>Vyplň údaj</v>
      </c>
      <c r="F20" s="390"/>
      <c r="G20" s="390"/>
      <c r="H20" s="390"/>
      <c r="I20" s="24" t="s">
        <v>22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customHeight="1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>
      <c r="A22" s="29"/>
      <c r="B22" s="30"/>
      <c r="C22" s="29"/>
      <c r="D22" s="24" t="s">
        <v>25</v>
      </c>
      <c r="E22" s="29"/>
      <c r="F22" s="29"/>
      <c r="G22" s="29"/>
      <c r="H22" s="29"/>
      <c r="I22" s="24" t="s">
        <v>21</v>
      </c>
      <c r="J22" s="22" t="str">
        <f>IF('Rekapitulácia stavby'!AN16="","",'Rekapitulácia stavby'!AN16)</f>
        <v/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>
      <c r="A23" s="29"/>
      <c r="B23" s="30"/>
      <c r="C23" s="29"/>
      <c r="D23" s="29"/>
      <c r="E23" s="22" t="str">
        <f>IF('Rekapitulácia stavby'!E17="","",'Rekapitulácia stavby'!E17)</f>
        <v xml:space="preserve"> </v>
      </c>
      <c r="F23" s="29"/>
      <c r="G23" s="29"/>
      <c r="H23" s="29"/>
      <c r="I23" s="24" t="s">
        <v>22</v>
      </c>
      <c r="J23" s="22" t="str">
        <f>IF('Rekapitulácia stavby'!AN17="","",'Rekapitulácia stavby'!AN17)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customHeight="1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>
      <c r="A25" s="29"/>
      <c r="B25" s="30"/>
      <c r="C25" s="29"/>
      <c r="D25" s="24" t="s">
        <v>26</v>
      </c>
      <c r="E25" s="29"/>
      <c r="F25" s="29"/>
      <c r="G25" s="29"/>
      <c r="H25" s="29"/>
      <c r="I25" s="24" t="s">
        <v>21</v>
      </c>
      <c r="J25" s="22" t="str">
        <f>IF('Rekapitulácia stavby'!AN19="","",'Rekapitulácia stavby'!AN19)</f>
        <v/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24" t="s">
        <v>22</v>
      </c>
      <c r="J26" s="22" t="str">
        <f>IF('Rekapitulácia stavby'!AN20="","",'Rekapitulácia stavby'!AN20)</f>
        <v/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>
      <c r="A28" s="29"/>
      <c r="B28" s="30"/>
      <c r="C28" s="29"/>
      <c r="D28" s="24" t="s">
        <v>28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>
      <c r="A29" s="99"/>
      <c r="B29" s="100"/>
      <c r="C29" s="99"/>
      <c r="D29" s="99"/>
      <c r="E29" s="378" t="s">
        <v>1</v>
      </c>
      <c r="F29" s="378"/>
      <c r="G29" s="378"/>
      <c r="H29" s="378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102" t="s">
        <v>29</v>
      </c>
      <c r="E32" s="29"/>
      <c r="F32" s="29"/>
      <c r="G32" s="29"/>
      <c r="H32" s="29"/>
      <c r="I32" s="29"/>
      <c r="J32" s="71"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31</v>
      </c>
      <c r="G34" s="29"/>
      <c r="H34" s="29"/>
      <c r="I34" s="33" t="s">
        <v>30</v>
      </c>
      <c r="J34" s="33" t="s">
        <v>32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3" t="s">
        <v>33</v>
      </c>
      <c r="E35" s="35" t="s">
        <v>34</v>
      </c>
      <c r="F35" s="104">
        <f>ROUND((SUM(BE134:BE448)),  2)</f>
        <v>0</v>
      </c>
      <c r="G35" s="105"/>
      <c r="H35" s="105"/>
      <c r="I35" s="106">
        <v>0.23</v>
      </c>
      <c r="J35" s="104">
        <f>ROUND(((SUM(BE134:BE448))*I35),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35</v>
      </c>
      <c r="F36" s="104">
        <f>ROUND((SUM(BF134:BF448)),  2)</f>
        <v>0</v>
      </c>
      <c r="G36" s="105"/>
      <c r="H36" s="105"/>
      <c r="I36" s="106">
        <v>0.23</v>
      </c>
      <c r="J36" s="104">
        <f>ROUND(((SUM(BF134:BF448))*I36),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36</v>
      </c>
      <c r="F37" s="107">
        <f>ROUND((SUM(BG134:BG448)),  2)</f>
        <v>0</v>
      </c>
      <c r="G37" s="29"/>
      <c r="H37" s="29"/>
      <c r="I37" s="108">
        <v>0.23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37</v>
      </c>
      <c r="F38" s="107">
        <f>ROUND((SUM(BH134:BH448)),  2)</f>
        <v>0</v>
      </c>
      <c r="G38" s="29"/>
      <c r="H38" s="29"/>
      <c r="I38" s="108">
        <v>0.23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38</v>
      </c>
      <c r="F39" s="104">
        <f>ROUND((SUM(BI134:BI448)), 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9"/>
      <c r="D41" s="110" t="s">
        <v>39</v>
      </c>
      <c r="E41" s="60"/>
      <c r="F41" s="60"/>
      <c r="G41" s="111" t="s">
        <v>40</v>
      </c>
      <c r="H41" s="112" t="s">
        <v>41</v>
      </c>
      <c r="I41" s="60"/>
      <c r="J41" s="113"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42</v>
      </c>
      <c r="E50" s="44"/>
      <c r="F50" s="44"/>
      <c r="G50" s="43" t="s">
        <v>43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44</v>
      </c>
      <c r="E61" s="32"/>
      <c r="F61" s="115" t="s">
        <v>45</v>
      </c>
      <c r="G61" s="45" t="s">
        <v>44</v>
      </c>
      <c r="H61" s="32"/>
      <c r="I61" s="32"/>
      <c r="J61" s="116" t="s">
        <v>45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46</v>
      </c>
      <c r="E65" s="46"/>
      <c r="F65" s="46"/>
      <c r="G65" s="43" t="s">
        <v>47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44</v>
      </c>
      <c r="E76" s="32"/>
      <c r="F76" s="115" t="s">
        <v>45</v>
      </c>
      <c r="G76" s="45" t="s">
        <v>44</v>
      </c>
      <c r="H76" s="32"/>
      <c r="I76" s="32"/>
      <c r="J76" s="116" t="s">
        <v>45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hidden="1" customHeight="1">
      <c r="A82" s="29"/>
      <c r="B82" s="30"/>
      <c r="C82" s="18" t="s">
        <v>134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hidden="1" customHeight="1">
      <c r="A85" s="29"/>
      <c r="B85" s="30"/>
      <c r="C85" s="29"/>
      <c r="D85" s="29"/>
      <c r="E85" s="387" t="str">
        <f>E7</f>
        <v>Topoľčianky, Centrálny logistický sklad - rekonštrukcia tepelného hospodárstva</v>
      </c>
      <c r="F85" s="388"/>
      <c r="G85" s="388"/>
      <c r="H85" s="388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hidden="1" customHeight="1">
      <c r="B86" s="17"/>
      <c r="C86" s="24" t="s">
        <v>130</v>
      </c>
      <c r="L86" s="17"/>
    </row>
    <row r="87" spans="1:31" s="2" customFormat="1" ht="16.5" hidden="1" customHeight="1">
      <c r="A87" s="29"/>
      <c r="B87" s="30"/>
      <c r="C87" s="29"/>
      <c r="D87" s="29"/>
      <c r="E87" s="387" t="s">
        <v>131</v>
      </c>
      <c r="F87" s="386"/>
      <c r="G87" s="386"/>
      <c r="H87" s="386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hidden="1" customHeight="1">
      <c r="A88" s="29"/>
      <c r="B88" s="30"/>
      <c r="C88" s="24" t="s">
        <v>132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hidden="1" customHeight="1">
      <c r="A89" s="29"/>
      <c r="B89" s="30"/>
      <c r="C89" s="29"/>
      <c r="D89" s="29"/>
      <c r="E89" s="382" t="str">
        <f>E11</f>
        <v>E1.4 - Technologia kotolní a vykurovanie</v>
      </c>
      <c r="F89" s="386"/>
      <c r="G89" s="386"/>
      <c r="H89" s="386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hidden="1" customHeight="1">
      <c r="A91" s="29"/>
      <c r="B91" s="30"/>
      <c r="C91" s="24" t="s">
        <v>17</v>
      </c>
      <c r="D91" s="29"/>
      <c r="E91" s="29"/>
      <c r="F91" s="22" t="str">
        <f>F14</f>
        <v xml:space="preserve"> </v>
      </c>
      <c r="G91" s="29"/>
      <c r="H91" s="29"/>
      <c r="I91" s="24" t="s">
        <v>19</v>
      </c>
      <c r="J91" s="55">
        <f>IF(J14="","",J14)</f>
        <v>45945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hidden="1" customHeight="1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hidden="1" customHeight="1">
      <c r="A93" s="29"/>
      <c r="B93" s="30"/>
      <c r="C93" s="24" t="s">
        <v>20</v>
      </c>
      <c r="D93" s="29"/>
      <c r="E93" s="29"/>
      <c r="F93" s="22" t="str">
        <f>E17</f>
        <v xml:space="preserve"> </v>
      </c>
      <c r="G93" s="29"/>
      <c r="H93" s="29"/>
      <c r="I93" s="24" t="s">
        <v>25</v>
      </c>
      <c r="J93" s="27" t="str">
        <f>E23</f>
        <v xml:space="preserve">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hidden="1" customHeight="1">
      <c r="A94" s="29"/>
      <c r="B94" s="30"/>
      <c r="C94" s="24" t="s">
        <v>23</v>
      </c>
      <c r="D94" s="29"/>
      <c r="E94" s="29"/>
      <c r="F94" s="22" t="str">
        <f>IF(E20="","",E20)</f>
        <v>Vyplň údaj</v>
      </c>
      <c r="G94" s="29"/>
      <c r="H94" s="29"/>
      <c r="I94" s="24" t="s">
        <v>26</v>
      </c>
      <c r="J94" s="27" t="str">
        <f>E26</f>
        <v xml:space="preserve">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hidden="1" customHeight="1">
      <c r="A96" s="29"/>
      <c r="B96" s="30"/>
      <c r="C96" s="117" t="s">
        <v>135</v>
      </c>
      <c r="D96" s="109"/>
      <c r="E96" s="109"/>
      <c r="F96" s="109"/>
      <c r="G96" s="109"/>
      <c r="H96" s="109"/>
      <c r="I96" s="109"/>
      <c r="J96" s="118" t="s">
        <v>136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hidden="1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hidden="1" customHeight="1">
      <c r="A98" s="29"/>
      <c r="B98" s="30"/>
      <c r="C98" s="119" t="s">
        <v>137</v>
      </c>
      <c r="D98" s="29"/>
      <c r="E98" s="29"/>
      <c r="F98" s="29"/>
      <c r="G98" s="29"/>
      <c r="H98" s="29"/>
      <c r="I98" s="29"/>
      <c r="J98" s="71">
        <f>J134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138</v>
      </c>
    </row>
    <row r="99" spans="1:47" s="9" customFormat="1" ht="24.95" hidden="1" customHeight="1">
      <c r="B99" s="120"/>
      <c r="D99" s="121" t="s">
        <v>975</v>
      </c>
      <c r="E99" s="122"/>
      <c r="F99" s="122"/>
      <c r="G99" s="122"/>
      <c r="H99" s="122"/>
      <c r="I99" s="122"/>
      <c r="J99" s="123">
        <f>J135</f>
        <v>0</v>
      </c>
      <c r="L99" s="120"/>
    </row>
    <row r="100" spans="1:47" s="10" customFormat="1" ht="19.899999999999999" hidden="1" customHeight="1">
      <c r="B100" s="124"/>
      <c r="D100" s="125" t="s">
        <v>977</v>
      </c>
      <c r="E100" s="126"/>
      <c r="F100" s="126"/>
      <c r="G100" s="126"/>
      <c r="H100" s="126"/>
      <c r="I100" s="126"/>
      <c r="J100" s="127">
        <f>J136</f>
        <v>0</v>
      </c>
      <c r="L100" s="124"/>
    </row>
    <row r="101" spans="1:47" s="10" customFormat="1" ht="19.899999999999999" hidden="1" customHeight="1">
      <c r="B101" s="124"/>
      <c r="D101" s="125" t="s">
        <v>978</v>
      </c>
      <c r="E101" s="126"/>
      <c r="F101" s="126"/>
      <c r="G101" s="126"/>
      <c r="H101" s="126"/>
      <c r="I101" s="126"/>
      <c r="J101" s="127">
        <f>J138</f>
        <v>0</v>
      </c>
      <c r="L101" s="124"/>
    </row>
    <row r="102" spans="1:47" s="9" customFormat="1" ht="24.95" hidden="1" customHeight="1">
      <c r="B102" s="120"/>
      <c r="D102" s="121" t="s">
        <v>979</v>
      </c>
      <c r="E102" s="122"/>
      <c r="F102" s="122"/>
      <c r="G102" s="122"/>
      <c r="H102" s="122"/>
      <c r="I102" s="122"/>
      <c r="J102" s="123">
        <f>J144</f>
        <v>0</v>
      </c>
      <c r="L102" s="120"/>
    </row>
    <row r="103" spans="1:47" s="10" customFormat="1" ht="19.899999999999999" hidden="1" customHeight="1">
      <c r="B103" s="124"/>
      <c r="D103" s="125" t="s">
        <v>980</v>
      </c>
      <c r="E103" s="126"/>
      <c r="F103" s="126"/>
      <c r="G103" s="126"/>
      <c r="H103" s="126"/>
      <c r="I103" s="126"/>
      <c r="J103" s="127">
        <f>J145</f>
        <v>0</v>
      </c>
      <c r="L103" s="124"/>
    </row>
    <row r="104" spans="1:47" s="10" customFormat="1" ht="19.899999999999999" hidden="1" customHeight="1">
      <c r="B104" s="124"/>
      <c r="D104" s="125" t="s">
        <v>2128</v>
      </c>
      <c r="E104" s="126"/>
      <c r="F104" s="126"/>
      <c r="G104" s="126"/>
      <c r="H104" s="126"/>
      <c r="I104" s="126"/>
      <c r="J104" s="127">
        <f>J167</f>
        <v>0</v>
      </c>
      <c r="L104" s="124"/>
    </row>
    <row r="105" spans="1:47" s="10" customFormat="1" ht="19.899999999999999" hidden="1" customHeight="1">
      <c r="B105" s="124"/>
      <c r="D105" s="125" t="s">
        <v>2129</v>
      </c>
      <c r="E105" s="126"/>
      <c r="F105" s="126"/>
      <c r="G105" s="126"/>
      <c r="H105" s="126"/>
      <c r="I105" s="126"/>
      <c r="J105" s="127">
        <f>J251</f>
        <v>0</v>
      </c>
      <c r="L105" s="124"/>
    </row>
    <row r="106" spans="1:47" s="10" customFormat="1" ht="19.899999999999999" hidden="1" customHeight="1">
      <c r="B106" s="124"/>
      <c r="D106" s="125" t="s">
        <v>2130</v>
      </c>
      <c r="E106" s="126"/>
      <c r="F106" s="126"/>
      <c r="G106" s="126"/>
      <c r="H106" s="126"/>
      <c r="I106" s="126"/>
      <c r="J106" s="127">
        <f>J301</f>
        <v>0</v>
      </c>
      <c r="L106" s="124"/>
    </row>
    <row r="107" spans="1:47" s="10" customFormat="1" ht="19.899999999999999" hidden="1" customHeight="1">
      <c r="B107" s="124"/>
      <c r="D107" s="125" t="s">
        <v>2131</v>
      </c>
      <c r="E107" s="126"/>
      <c r="F107" s="126"/>
      <c r="G107" s="126"/>
      <c r="H107" s="126"/>
      <c r="I107" s="126"/>
      <c r="J107" s="127">
        <f>J327</f>
        <v>0</v>
      </c>
      <c r="L107" s="124"/>
    </row>
    <row r="108" spans="1:47" s="10" customFormat="1" ht="19.899999999999999" hidden="1" customHeight="1">
      <c r="B108" s="124"/>
      <c r="D108" s="125" t="s">
        <v>2132</v>
      </c>
      <c r="E108" s="126"/>
      <c r="F108" s="126"/>
      <c r="G108" s="126"/>
      <c r="H108" s="126"/>
      <c r="I108" s="126"/>
      <c r="J108" s="127">
        <f>J413</f>
        <v>0</v>
      </c>
      <c r="L108" s="124"/>
    </row>
    <row r="109" spans="1:47" s="10" customFormat="1" ht="19.899999999999999" hidden="1" customHeight="1">
      <c r="B109" s="124"/>
      <c r="D109" s="125" t="s">
        <v>984</v>
      </c>
      <c r="E109" s="126"/>
      <c r="F109" s="126"/>
      <c r="G109" s="126"/>
      <c r="H109" s="126"/>
      <c r="I109" s="126"/>
      <c r="J109" s="127">
        <f>J417</f>
        <v>0</v>
      </c>
      <c r="L109" s="124"/>
    </row>
    <row r="110" spans="1:47" s="10" customFormat="1" ht="19.899999999999999" hidden="1" customHeight="1">
      <c r="B110" s="124"/>
      <c r="D110" s="125" t="s">
        <v>2133</v>
      </c>
      <c r="E110" s="126"/>
      <c r="F110" s="126"/>
      <c r="G110" s="126"/>
      <c r="H110" s="126"/>
      <c r="I110" s="126"/>
      <c r="J110" s="127">
        <f>J422</f>
        <v>0</v>
      </c>
      <c r="L110" s="124"/>
    </row>
    <row r="111" spans="1:47" s="10" customFormat="1" ht="19.899999999999999" hidden="1" customHeight="1">
      <c r="B111" s="124"/>
      <c r="D111" s="125" t="s">
        <v>1296</v>
      </c>
      <c r="E111" s="126"/>
      <c r="F111" s="126"/>
      <c r="G111" s="126"/>
      <c r="H111" s="126"/>
      <c r="I111" s="126"/>
      <c r="J111" s="127">
        <f>J442</f>
        <v>0</v>
      </c>
      <c r="L111" s="124"/>
    </row>
    <row r="112" spans="1:47" s="9" customFormat="1" ht="24.95" hidden="1" customHeight="1">
      <c r="B112" s="120"/>
      <c r="D112" s="121" t="s">
        <v>1297</v>
      </c>
      <c r="E112" s="122"/>
      <c r="F112" s="122"/>
      <c r="G112" s="122"/>
      <c r="H112" s="122"/>
      <c r="I112" s="122"/>
      <c r="J112" s="123">
        <f>J447</f>
        <v>0</v>
      </c>
      <c r="L112" s="120"/>
    </row>
    <row r="113" spans="1:31" s="2" customFormat="1" ht="21.75" hidden="1" customHeigh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31" s="2" customFormat="1" ht="6.95" hidden="1" customHeight="1">
      <c r="A114" s="29"/>
      <c r="B114" s="47"/>
      <c r="C114" s="48"/>
      <c r="D114" s="48"/>
      <c r="E114" s="48"/>
      <c r="F114" s="48"/>
      <c r="G114" s="48"/>
      <c r="H114" s="48"/>
      <c r="I114" s="48"/>
      <c r="J114" s="48"/>
      <c r="K114" s="48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31" hidden="1"/>
    <row r="116" spans="1:31" hidden="1"/>
    <row r="117" spans="1:31" hidden="1"/>
    <row r="118" spans="1:31" s="2" customFormat="1" ht="6.95" customHeight="1">
      <c r="A118" s="29"/>
      <c r="B118" s="49"/>
      <c r="C118" s="50"/>
      <c r="D118" s="50"/>
      <c r="E118" s="50"/>
      <c r="F118" s="50"/>
      <c r="G118" s="50"/>
      <c r="H118" s="50"/>
      <c r="I118" s="50"/>
      <c r="J118" s="50"/>
      <c r="K118" s="50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24.95" customHeight="1">
      <c r="A119" s="29"/>
      <c r="B119" s="30"/>
      <c r="C119" s="18" t="s">
        <v>165</v>
      </c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6.9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2" customHeight="1">
      <c r="A121" s="29"/>
      <c r="B121" s="30"/>
      <c r="C121" s="24" t="s">
        <v>14</v>
      </c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6.5" customHeight="1">
      <c r="A122" s="29"/>
      <c r="B122" s="30"/>
      <c r="C122" s="29"/>
      <c r="D122" s="29"/>
      <c r="E122" s="387" t="str">
        <f>E7</f>
        <v>Topoľčianky, Centrálny logistický sklad - rekonštrukcia tepelného hospodárstva</v>
      </c>
      <c r="F122" s="388"/>
      <c r="G122" s="388"/>
      <c r="H122" s="388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1" customFormat="1" ht="12" customHeight="1">
      <c r="B123" s="17"/>
      <c r="C123" s="24" t="s">
        <v>130</v>
      </c>
      <c r="L123" s="17"/>
    </row>
    <row r="124" spans="1:31" s="2" customFormat="1" ht="16.5" customHeight="1">
      <c r="A124" s="29"/>
      <c r="B124" s="30"/>
      <c r="C124" s="29"/>
      <c r="D124" s="29"/>
      <c r="E124" s="387" t="s">
        <v>131</v>
      </c>
      <c r="F124" s="386"/>
      <c r="G124" s="386"/>
      <c r="H124" s="386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2" customHeight="1">
      <c r="A125" s="29"/>
      <c r="B125" s="30"/>
      <c r="C125" s="24" t="s">
        <v>132</v>
      </c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6.5" customHeight="1">
      <c r="A126" s="29"/>
      <c r="B126" s="30"/>
      <c r="C126" s="29"/>
      <c r="D126" s="29"/>
      <c r="E126" s="382" t="str">
        <f>E11</f>
        <v>E1.4 - Technologia kotolní a vykurovanie</v>
      </c>
      <c r="F126" s="386"/>
      <c r="G126" s="386"/>
      <c r="H126" s="386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6.95" customHeight="1">
      <c r="A127" s="29"/>
      <c r="B127" s="30"/>
      <c r="C127" s="29"/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2" customHeight="1">
      <c r="A128" s="29"/>
      <c r="B128" s="30"/>
      <c r="C128" s="24" t="s">
        <v>17</v>
      </c>
      <c r="D128" s="29"/>
      <c r="E128" s="29"/>
      <c r="F128" s="22" t="str">
        <f>F14</f>
        <v xml:space="preserve"> </v>
      </c>
      <c r="G128" s="29"/>
      <c r="H128" s="29"/>
      <c r="I128" s="24" t="s">
        <v>19</v>
      </c>
      <c r="J128" s="55">
        <f>IF(J14="","",J14)</f>
        <v>45945</v>
      </c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6.95" customHeight="1">
      <c r="A129" s="29"/>
      <c r="B129" s="30"/>
      <c r="C129" s="29"/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5.2" customHeight="1">
      <c r="A130" s="29"/>
      <c r="B130" s="30"/>
      <c r="C130" s="24" t="s">
        <v>20</v>
      </c>
      <c r="D130" s="29"/>
      <c r="E130" s="29"/>
      <c r="F130" s="22" t="str">
        <f>E17</f>
        <v xml:space="preserve"> </v>
      </c>
      <c r="G130" s="29"/>
      <c r="H130" s="29"/>
      <c r="I130" s="24" t="s">
        <v>25</v>
      </c>
      <c r="J130" s="27" t="str">
        <f>E23</f>
        <v xml:space="preserve"> </v>
      </c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5.2" customHeight="1">
      <c r="A131" s="29"/>
      <c r="B131" s="30"/>
      <c r="C131" s="24" t="s">
        <v>23</v>
      </c>
      <c r="D131" s="29"/>
      <c r="E131" s="29"/>
      <c r="F131" s="22" t="str">
        <f>IF(E20="","",E20)</f>
        <v>Vyplň údaj</v>
      </c>
      <c r="G131" s="29"/>
      <c r="H131" s="29"/>
      <c r="I131" s="24" t="s">
        <v>26</v>
      </c>
      <c r="J131" s="27" t="str">
        <f>E26</f>
        <v xml:space="preserve"> </v>
      </c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0.35" customHeight="1">
      <c r="A132" s="29"/>
      <c r="B132" s="30"/>
      <c r="C132" s="29"/>
      <c r="D132" s="29"/>
      <c r="E132" s="29"/>
      <c r="F132" s="29"/>
      <c r="G132" s="29"/>
      <c r="H132" s="29"/>
      <c r="I132" s="29"/>
      <c r="J132" s="29"/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11" customFormat="1" ht="29.25" customHeight="1">
      <c r="A133" s="128"/>
      <c r="B133" s="129"/>
      <c r="C133" s="130" t="s">
        <v>166</v>
      </c>
      <c r="D133" s="131" t="s">
        <v>54</v>
      </c>
      <c r="E133" s="131" t="s">
        <v>50</v>
      </c>
      <c r="F133" s="131" t="s">
        <v>51</v>
      </c>
      <c r="G133" s="131" t="s">
        <v>167</v>
      </c>
      <c r="H133" s="131" t="s">
        <v>168</v>
      </c>
      <c r="I133" s="131" t="s">
        <v>169</v>
      </c>
      <c r="J133" s="132" t="s">
        <v>136</v>
      </c>
      <c r="K133" s="133" t="s">
        <v>170</v>
      </c>
      <c r="L133" s="134"/>
      <c r="M133" s="62" t="s">
        <v>1</v>
      </c>
      <c r="N133" s="63" t="s">
        <v>33</v>
      </c>
      <c r="O133" s="63" t="s">
        <v>171</v>
      </c>
      <c r="P133" s="63" t="s">
        <v>172</v>
      </c>
      <c r="Q133" s="63" t="s">
        <v>173</v>
      </c>
      <c r="R133" s="63" t="s">
        <v>174</v>
      </c>
      <c r="S133" s="63" t="s">
        <v>175</v>
      </c>
      <c r="T133" s="64" t="s">
        <v>176</v>
      </c>
      <c r="U133" s="128"/>
      <c r="V133" s="128"/>
      <c r="W133" s="128"/>
      <c r="X133" s="128"/>
      <c r="Y133" s="128"/>
      <c r="Z133" s="128"/>
      <c r="AA133" s="128"/>
      <c r="AB133" s="128"/>
      <c r="AC133" s="128"/>
      <c r="AD133" s="128"/>
      <c r="AE133" s="128"/>
    </row>
    <row r="134" spans="1:65" s="2" customFormat="1" ht="22.9" customHeight="1">
      <c r="A134" s="29"/>
      <c r="B134" s="30"/>
      <c r="C134" s="69" t="s">
        <v>137</v>
      </c>
      <c r="D134" s="29"/>
      <c r="E134" s="29"/>
      <c r="F134" s="29"/>
      <c r="G134" s="29"/>
      <c r="H134" s="29"/>
      <c r="I134" s="29"/>
      <c r="J134" s="135">
        <v>0</v>
      </c>
      <c r="K134" s="29"/>
      <c r="L134" s="30"/>
      <c r="M134" s="65"/>
      <c r="N134" s="56"/>
      <c r="O134" s="66"/>
      <c r="P134" s="136">
        <f>P135+P144+P447</f>
        <v>0</v>
      </c>
      <c r="Q134" s="66"/>
      <c r="R134" s="136">
        <f>R135+R144+R447</f>
        <v>57.997690000000013</v>
      </c>
      <c r="S134" s="66"/>
      <c r="T134" s="137">
        <f>T135+T144+T447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T134" s="14" t="s">
        <v>68</v>
      </c>
      <c r="AU134" s="14" t="s">
        <v>138</v>
      </c>
      <c r="BK134" s="138">
        <f>BK135+BK144+BK447</f>
        <v>0</v>
      </c>
    </row>
    <row r="135" spans="1:65" s="12" customFormat="1" ht="25.9" customHeight="1">
      <c r="B135" s="139"/>
      <c r="D135" s="140" t="s">
        <v>68</v>
      </c>
      <c r="E135" s="141" t="s">
        <v>177</v>
      </c>
      <c r="F135" s="141" t="s">
        <v>985</v>
      </c>
      <c r="I135" s="142"/>
      <c r="J135" s="143">
        <v>0</v>
      </c>
      <c r="L135" s="139"/>
      <c r="M135" s="144"/>
      <c r="N135" s="145"/>
      <c r="O135" s="145"/>
      <c r="P135" s="146">
        <f>P136+P138</f>
        <v>0</v>
      </c>
      <c r="Q135" s="145"/>
      <c r="R135" s="146">
        <f>R136+R138</f>
        <v>0.59101999999999999</v>
      </c>
      <c r="S135" s="145"/>
      <c r="T135" s="147">
        <f>T136+T138</f>
        <v>0</v>
      </c>
      <c r="AR135" s="140" t="s">
        <v>76</v>
      </c>
      <c r="AT135" s="148" t="s">
        <v>68</v>
      </c>
      <c r="AU135" s="148" t="s">
        <v>69</v>
      </c>
      <c r="AY135" s="140" t="s">
        <v>179</v>
      </c>
      <c r="BK135" s="149">
        <f>BK136+BK138</f>
        <v>0</v>
      </c>
    </row>
    <row r="136" spans="1:65" s="12" customFormat="1" ht="22.9" customHeight="1">
      <c r="B136" s="139"/>
      <c r="D136" s="140" t="s">
        <v>68</v>
      </c>
      <c r="E136" s="150" t="s">
        <v>185</v>
      </c>
      <c r="F136" s="150" t="s">
        <v>1007</v>
      </c>
      <c r="I136" s="142"/>
      <c r="J136" s="151">
        <v>0</v>
      </c>
      <c r="L136" s="139"/>
      <c r="M136" s="144"/>
      <c r="N136" s="145"/>
      <c r="O136" s="145"/>
      <c r="P136" s="146">
        <f>P137</f>
        <v>0</v>
      </c>
      <c r="Q136" s="145"/>
      <c r="R136" s="146">
        <f>R137</f>
        <v>0.59101999999999999</v>
      </c>
      <c r="S136" s="145"/>
      <c r="T136" s="147">
        <f>T137</f>
        <v>0</v>
      </c>
      <c r="AR136" s="140" t="s">
        <v>76</v>
      </c>
      <c r="AT136" s="148" t="s">
        <v>68</v>
      </c>
      <c r="AU136" s="148" t="s">
        <v>76</v>
      </c>
      <c r="AY136" s="140" t="s">
        <v>179</v>
      </c>
      <c r="BK136" s="149">
        <f>BK137</f>
        <v>0</v>
      </c>
    </row>
    <row r="137" spans="1:65" s="2" customFormat="1" ht="37.9" customHeight="1">
      <c r="A137" s="29"/>
      <c r="B137" s="152"/>
      <c r="C137" s="153" t="s">
        <v>76</v>
      </c>
      <c r="D137" s="153" t="s">
        <v>181</v>
      </c>
      <c r="E137" s="154" t="s">
        <v>2134</v>
      </c>
      <c r="F137" s="155" t="s">
        <v>2135</v>
      </c>
      <c r="G137" s="156" t="s">
        <v>184</v>
      </c>
      <c r="H137" s="157">
        <v>1</v>
      </c>
      <c r="I137" s="158"/>
      <c r="J137" s="151">
        <v>0</v>
      </c>
      <c r="K137" s="160"/>
      <c r="L137" s="30"/>
      <c r="M137" s="161" t="s">
        <v>1</v>
      </c>
      <c r="N137" s="162" t="s">
        <v>35</v>
      </c>
      <c r="O137" s="58"/>
      <c r="P137" s="163">
        <f>O137*H137</f>
        <v>0</v>
      </c>
      <c r="Q137" s="163">
        <v>0.59101999999999999</v>
      </c>
      <c r="R137" s="163">
        <f>Q137*H137</f>
        <v>0.59101999999999999</v>
      </c>
      <c r="S137" s="163">
        <v>0</v>
      </c>
      <c r="T137" s="164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185</v>
      </c>
      <c r="AT137" s="165" t="s">
        <v>181</v>
      </c>
      <c r="AU137" s="165" t="s">
        <v>82</v>
      </c>
      <c r="AY137" s="14" t="s">
        <v>179</v>
      </c>
      <c r="BE137" s="166">
        <f>IF(N137="základná",J137,0)</f>
        <v>0</v>
      </c>
      <c r="BF137" s="166">
        <f>IF(N137="znížená",J137,0)</f>
        <v>0</v>
      </c>
      <c r="BG137" s="166">
        <f>IF(N137="zákl. prenesená",J137,0)</f>
        <v>0</v>
      </c>
      <c r="BH137" s="166">
        <f>IF(N137="zníž. prenesená",J137,0)</f>
        <v>0</v>
      </c>
      <c r="BI137" s="166">
        <f>IF(N137="nulová",J137,0)</f>
        <v>0</v>
      </c>
      <c r="BJ137" s="14" t="s">
        <v>82</v>
      </c>
      <c r="BK137" s="166">
        <f>ROUND(I137*H137,2)</f>
        <v>0</v>
      </c>
      <c r="BL137" s="14" t="s">
        <v>185</v>
      </c>
      <c r="BM137" s="165" t="s">
        <v>82</v>
      </c>
    </row>
    <row r="138" spans="1:65" s="12" customFormat="1" ht="22.9" customHeight="1">
      <c r="B138" s="139"/>
      <c r="D138" s="140" t="s">
        <v>68</v>
      </c>
      <c r="E138" s="150" t="s">
        <v>214</v>
      </c>
      <c r="F138" s="150" t="s">
        <v>1010</v>
      </c>
      <c r="I138" s="142"/>
      <c r="J138" s="151">
        <v>0</v>
      </c>
      <c r="L138" s="139"/>
      <c r="M138" s="144"/>
      <c r="N138" s="145"/>
      <c r="O138" s="145"/>
      <c r="P138" s="146">
        <f>SUM(P139:P143)</f>
        <v>0</v>
      </c>
      <c r="Q138" s="145"/>
      <c r="R138" s="146">
        <f>SUM(R139:R143)</f>
        <v>0</v>
      </c>
      <c r="S138" s="145"/>
      <c r="T138" s="147">
        <f>SUM(T139:T143)</f>
        <v>0</v>
      </c>
      <c r="AR138" s="140" t="s">
        <v>76</v>
      </c>
      <c r="AT138" s="148" t="s">
        <v>68</v>
      </c>
      <c r="AU138" s="148" t="s">
        <v>76</v>
      </c>
      <c r="AY138" s="140" t="s">
        <v>179</v>
      </c>
      <c r="BK138" s="149">
        <f>SUM(BK139:BK143)</f>
        <v>0</v>
      </c>
    </row>
    <row r="139" spans="1:65" s="2" customFormat="1" ht="24.2" customHeight="1">
      <c r="A139" s="29"/>
      <c r="B139" s="152"/>
      <c r="C139" s="153" t="s">
        <v>82</v>
      </c>
      <c r="D139" s="153" t="s">
        <v>181</v>
      </c>
      <c r="E139" s="154" t="s">
        <v>2136</v>
      </c>
      <c r="F139" s="155" t="s">
        <v>2137</v>
      </c>
      <c r="G139" s="156" t="s">
        <v>217</v>
      </c>
      <c r="H139" s="157">
        <v>2</v>
      </c>
      <c r="I139" s="158"/>
      <c r="J139" s="151">
        <v>0</v>
      </c>
      <c r="K139" s="160"/>
      <c r="L139" s="30"/>
      <c r="M139" s="161" t="s">
        <v>1</v>
      </c>
      <c r="N139" s="162" t="s">
        <v>35</v>
      </c>
      <c r="O139" s="58"/>
      <c r="P139" s="163">
        <f>O139*H139</f>
        <v>0</v>
      </c>
      <c r="Q139" s="163">
        <v>0</v>
      </c>
      <c r="R139" s="163">
        <f>Q139*H139</f>
        <v>0</v>
      </c>
      <c r="S139" s="163">
        <v>0</v>
      </c>
      <c r="T139" s="164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185</v>
      </c>
      <c r="AT139" s="165" t="s">
        <v>181</v>
      </c>
      <c r="AU139" s="165" t="s">
        <v>82</v>
      </c>
      <c r="AY139" s="14" t="s">
        <v>179</v>
      </c>
      <c r="BE139" s="166">
        <f>IF(N139="základná",J139,0)</f>
        <v>0</v>
      </c>
      <c r="BF139" s="166">
        <f>IF(N139="znížená",J139,0)</f>
        <v>0</v>
      </c>
      <c r="BG139" s="166">
        <f>IF(N139="zákl. prenesená",J139,0)</f>
        <v>0</v>
      </c>
      <c r="BH139" s="166">
        <f>IF(N139="zníž. prenesená",J139,0)</f>
        <v>0</v>
      </c>
      <c r="BI139" s="166">
        <f>IF(N139="nulová",J139,0)</f>
        <v>0</v>
      </c>
      <c r="BJ139" s="14" t="s">
        <v>82</v>
      </c>
      <c r="BK139" s="166">
        <f>ROUND(I139*H139,2)</f>
        <v>0</v>
      </c>
      <c r="BL139" s="14" t="s">
        <v>185</v>
      </c>
      <c r="BM139" s="165" t="s">
        <v>185</v>
      </c>
    </row>
    <row r="140" spans="1:65" s="2" customFormat="1" ht="21.75" customHeight="1">
      <c r="A140" s="29"/>
      <c r="B140" s="152"/>
      <c r="C140" s="153" t="s">
        <v>188</v>
      </c>
      <c r="D140" s="153" t="s">
        <v>181</v>
      </c>
      <c r="E140" s="154" t="s">
        <v>2138</v>
      </c>
      <c r="F140" s="155" t="s">
        <v>1019</v>
      </c>
      <c r="G140" s="156" t="s">
        <v>191</v>
      </c>
      <c r="H140" s="157">
        <v>0.26400000000000001</v>
      </c>
      <c r="I140" s="158"/>
      <c r="J140" s="151">
        <v>0</v>
      </c>
      <c r="K140" s="160"/>
      <c r="L140" s="30"/>
      <c r="M140" s="161" t="s">
        <v>1</v>
      </c>
      <c r="N140" s="162" t="s">
        <v>35</v>
      </c>
      <c r="O140" s="58"/>
      <c r="P140" s="163">
        <f>O140*H140</f>
        <v>0</v>
      </c>
      <c r="Q140" s="163">
        <v>0</v>
      </c>
      <c r="R140" s="163">
        <f>Q140*H140</f>
        <v>0</v>
      </c>
      <c r="S140" s="163">
        <v>0</v>
      </c>
      <c r="T140" s="164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185</v>
      </c>
      <c r="AT140" s="165" t="s">
        <v>181</v>
      </c>
      <c r="AU140" s="165" t="s">
        <v>82</v>
      </c>
      <c r="AY140" s="14" t="s">
        <v>179</v>
      </c>
      <c r="BE140" s="166">
        <f>IF(N140="základná",J140,0)</f>
        <v>0</v>
      </c>
      <c r="BF140" s="166">
        <f>IF(N140="znížená",J140,0)</f>
        <v>0</v>
      </c>
      <c r="BG140" s="166">
        <f>IF(N140="zákl. prenesená",J140,0)</f>
        <v>0</v>
      </c>
      <c r="BH140" s="166">
        <f>IF(N140="zníž. prenesená",J140,0)</f>
        <v>0</v>
      </c>
      <c r="BI140" s="166">
        <f>IF(N140="nulová",J140,0)</f>
        <v>0</v>
      </c>
      <c r="BJ140" s="14" t="s">
        <v>82</v>
      </c>
      <c r="BK140" s="166">
        <f>ROUND(I140*H140,2)</f>
        <v>0</v>
      </c>
      <c r="BL140" s="14" t="s">
        <v>185</v>
      </c>
      <c r="BM140" s="165" t="s">
        <v>192</v>
      </c>
    </row>
    <row r="141" spans="1:65" s="2" customFormat="1" ht="24.2" customHeight="1">
      <c r="A141" s="29"/>
      <c r="B141" s="152"/>
      <c r="C141" s="153" t="s">
        <v>185</v>
      </c>
      <c r="D141" s="153" t="s">
        <v>181</v>
      </c>
      <c r="E141" s="154" t="s">
        <v>2139</v>
      </c>
      <c r="F141" s="155" t="s">
        <v>2140</v>
      </c>
      <c r="G141" s="156" t="s">
        <v>191</v>
      </c>
      <c r="H141" s="157">
        <v>0.26400000000000001</v>
      </c>
      <c r="I141" s="158"/>
      <c r="J141" s="151">
        <v>0</v>
      </c>
      <c r="K141" s="160"/>
      <c r="L141" s="30"/>
      <c r="M141" s="161" t="s">
        <v>1</v>
      </c>
      <c r="N141" s="162" t="s">
        <v>35</v>
      </c>
      <c r="O141" s="58"/>
      <c r="P141" s="163">
        <f>O141*H141</f>
        <v>0</v>
      </c>
      <c r="Q141" s="163">
        <v>0</v>
      </c>
      <c r="R141" s="163">
        <f>Q141*H141</f>
        <v>0</v>
      </c>
      <c r="S141" s="163">
        <v>0</v>
      </c>
      <c r="T141" s="164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5" t="s">
        <v>185</v>
      </c>
      <c r="AT141" s="165" t="s">
        <v>181</v>
      </c>
      <c r="AU141" s="165" t="s">
        <v>82</v>
      </c>
      <c r="AY141" s="14" t="s">
        <v>179</v>
      </c>
      <c r="BE141" s="166">
        <f>IF(N141="základná",J141,0)</f>
        <v>0</v>
      </c>
      <c r="BF141" s="166">
        <f>IF(N141="znížená",J141,0)</f>
        <v>0</v>
      </c>
      <c r="BG141" s="166">
        <f>IF(N141="zákl. prenesená",J141,0)</f>
        <v>0</v>
      </c>
      <c r="BH141" s="166">
        <f>IF(N141="zníž. prenesená",J141,0)</f>
        <v>0</v>
      </c>
      <c r="BI141" s="166">
        <f>IF(N141="nulová",J141,0)</f>
        <v>0</v>
      </c>
      <c r="BJ141" s="14" t="s">
        <v>82</v>
      </c>
      <c r="BK141" s="166">
        <f>ROUND(I141*H141,2)</f>
        <v>0</v>
      </c>
      <c r="BL141" s="14" t="s">
        <v>185</v>
      </c>
      <c r="BM141" s="165" t="s">
        <v>197</v>
      </c>
    </row>
    <row r="142" spans="1:65" s="2" customFormat="1" ht="24.2" customHeight="1">
      <c r="A142" s="29"/>
      <c r="B142" s="152"/>
      <c r="C142" s="153" t="s">
        <v>198</v>
      </c>
      <c r="D142" s="153" t="s">
        <v>181</v>
      </c>
      <c r="E142" s="154" t="s">
        <v>525</v>
      </c>
      <c r="F142" s="155" t="s">
        <v>526</v>
      </c>
      <c r="G142" s="156" t="s">
        <v>191</v>
      </c>
      <c r="H142" s="157">
        <v>0.26400000000000001</v>
      </c>
      <c r="I142" s="158"/>
      <c r="J142" s="151">
        <v>0</v>
      </c>
      <c r="K142" s="160"/>
      <c r="L142" s="30"/>
      <c r="M142" s="161" t="s">
        <v>1</v>
      </c>
      <c r="N142" s="162" t="s">
        <v>35</v>
      </c>
      <c r="O142" s="58"/>
      <c r="P142" s="163">
        <f>O142*H142</f>
        <v>0</v>
      </c>
      <c r="Q142" s="163">
        <v>0</v>
      </c>
      <c r="R142" s="163">
        <f>Q142*H142</f>
        <v>0</v>
      </c>
      <c r="S142" s="163">
        <v>0</v>
      </c>
      <c r="T142" s="164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5" t="s">
        <v>185</v>
      </c>
      <c r="AT142" s="165" t="s">
        <v>181</v>
      </c>
      <c r="AU142" s="165" t="s">
        <v>82</v>
      </c>
      <c r="AY142" s="14" t="s">
        <v>179</v>
      </c>
      <c r="BE142" s="166">
        <f>IF(N142="základná",J142,0)</f>
        <v>0</v>
      </c>
      <c r="BF142" s="166">
        <f>IF(N142="znížená",J142,0)</f>
        <v>0</v>
      </c>
      <c r="BG142" s="166">
        <f>IF(N142="zákl. prenesená",J142,0)</f>
        <v>0</v>
      </c>
      <c r="BH142" s="166">
        <f>IF(N142="zníž. prenesená",J142,0)</f>
        <v>0</v>
      </c>
      <c r="BI142" s="166">
        <f>IF(N142="nulová",J142,0)</f>
        <v>0</v>
      </c>
      <c r="BJ142" s="14" t="s">
        <v>82</v>
      </c>
      <c r="BK142" s="166">
        <f>ROUND(I142*H142,2)</f>
        <v>0</v>
      </c>
      <c r="BL142" s="14" t="s">
        <v>185</v>
      </c>
      <c r="BM142" s="165" t="s">
        <v>201</v>
      </c>
    </row>
    <row r="143" spans="1:65" s="2" customFormat="1" ht="37.9" customHeight="1">
      <c r="A143" s="29"/>
      <c r="B143" s="152"/>
      <c r="C143" s="153" t="s">
        <v>192</v>
      </c>
      <c r="D143" s="153" t="s">
        <v>181</v>
      </c>
      <c r="E143" s="154" t="s">
        <v>2141</v>
      </c>
      <c r="F143" s="155" t="s">
        <v>2142</v>
      </c>
      <c r="G143" s="156" t="s">
        <v>191</v>
      </c>
      <c r="H143" s="157">
        <v>0.26400000000000001</v>
      </c>
      <c r="I143" s="158"/>
      <c r="J143" s="151">
        <v>0</v>
      </c>
      <c r="K143" s="160"/>
      <c r="L143" s="30"/>
      <c r="M143" s="161" t="s">
        <v>1</v>
      </c>
      <c r="N143" s="162" t="s">
        <v>35</v>
      </c>
      <c r="O143" s="58"/>
      <c r="P143" s="163">
        <f>O143*H143</f>
        <v>0</v>
      </c>
      <c r="Q143" s="163">
        <v>0</v>
      </c>
      <c r="R143" s="163">
        <f>Q143*H143</f>
        <v>0</v>
      </c>
      <c r="S143" s="163">
        <v>0</v>
      </c>
      <c r="T143" s="164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185</v>
      </c>
      <c r="AT143" s="165" t="s">
        <v>181</v>
      </c>
      <c r="AU143" s="165" t="s">
        <v>82</v>
      </c>
      <c r="AY143" s="14" t="s">
        <v>179</v>
      </c>
      <c r="BE143" s="166">
        <f>IF(N143="základná",J143,0)</f>
        <v>0</v>
      </c>
      <c r="BF143" s="166">
        <f>IF(N143="znížená",J143,0)</f>
        <v>0</v>
      </c>
      <c r="BG143" s="166">
        <f>IF(N143="zákl. prenesená",J143,0)</f>
        <v>0</v>
      </c>
      <c r="BH143" s="166">
        <f>IF(N143="zníž. prenesená",J143,0)</f>
        <v>0</v>
      </c>
      <c r="BI143" s="166">
        <f>IF(N143="nulová",J143,0)</f>
        <v>0</v>
      </c>
      <c r="BJ143" s="14" t="s">
        <v>82</v>
      </c>
      <c r="BK143" s="166">
        <f>ROUND(I143*H143,2)</f>
        <v>0</v>
      </c>
      <c r="BL143" s="14" t="s">
        <v>185</v>
      </c>
      <c r="BM143" s="165" t="s">
        <v>205</v>
      </c>
    </row>
    <row r="144" spans="1:65" s="12" customFormat="1" ht="25.9" customHeight="1">
      <c r="B144" s="139"/>
      <c r="D144" s="140" t="s">
        <v>68</v>
      </c>
      <c r="E144" s="141" t="s">
        <v>554</v>
      </c>
      <c r="F144" s="141" t="s">
        <v>1026</v>
      </c>
      <c r="I144" s="142"/>
      <c r="J144" s="151">
        <v>0</v>
      </c>
      <c r="L144" s="139"/>
      <c r="M144" s="144"/>
      <c r="N144" s="145"/>
      <c r="O144" s="145"/>
      <c r="P144" s="146">
        <f>P145+P167+P251+P301+P327+P413+P417+P422+P442</f>
        <v>0</v>
      </c>
      <c r="Q144" s="145"/>
      <c r="R144" s="146">
        <f>R145+R167+R251+R301+R327+R413+R417+R422+R442</f>
        <v>57.406670000000013</v>
      </c>
      <c r="S144" s="145"/>
      <c r="T144" s="147">
        <f>T145+T167+T251+T301+T327+T413+T417+T422+T442</f>
        <v>0</v>
      </c>
      <c r="AR144" s="140" t="s">
        <v>82</v>
      </c>
      <c r="AT144" s="148" t="s">
        <v>68</v>
      </c>
      <c r="AU144" s="148" t="s">
        <v>69</v>
      </c>
      <c r="AY144" s="140" t="s">
        <v>179</v>
      </c>
      <c r="BK144" s="149">
        <f>BK145+BK167+BK251+BK301+BK327+BK413+BK417+BK422+BK442</f>
        <v>0</v>
      </c>
    </row>
    <row r="145" spans="1:65" s="12" customFormat="1" ht="22.9" customHeight="1">
      <c r="B145" s="139"/>
      <c r="D145" s="140" t="s">
        <v>68</v>
      </c>
      <c r="E145" s="150" t="s">
        <v>600</v>
      </c>
      <c r="F145" s="150" t="s">
        <v>1027</v>
      </c>
      <c r="I145" s="142"/>
      <c r="J145" s="151">
        <v>0</v>
      </c>
      <c r="L145" s="139"/>
      <c r="M145" s="144"/>
      <c r="N145" s="145"/>
      <c r="O145" s="145"/>
      <c r="P145" s="146">
        <f>SUM(P146:P166)</f>
        <v>0</v>
      </c>
      <c r="Q145" s="145"/>
      <c r="R145" s="146">
        <f>SUM(R146:R166)</f>
        <v>0.68933000000000011</v>
      </c>
      <c r="S145" s="145"/>
      <c r="T145" s="147">
        <f>SUM(T146:T166)</f>
        <v>0</v>
      </c>
      <c r="AR145" s="140" t="s">
        <v>82</v>
      </c>
      <c r="AT145" s="148" t="s">
        <v>68</v>
      </c>
      <c r="AU145" s="148" t="s">
        <v>76</v>
      </c>
      <c r="AY145" s="140" t="s">
        <v>179</v>
      </c>
      <c r="BK145" s="149">
        <f>SUM(BK146:BK166)</f>
        <v>0</v>
      </c>
    </row>
    <row r="146" spans="1:65" s="2" customFormat="1" ht="33" customHeight="1">
      <c r="A146" s="29"/>
      <c r="B146" s="152"/>
      <c r="C146" s="153" t="s">
        <v>207</v>
      </c>
      <c r="D146" s="153" t="s">
        <v>181</v>
      </c>
      <c r="E146" s="154" t="s">
        <v>2143</v>
      </c>
      <c r="F146" s="155" t="s">
        <v>2144</v>
      </c>
      <c r="G146" s="156" t="s">
        <v>184</v>
      </c>
      <c r="H146" s="157">
        <v>221</v>
      </c>
      <c r="I146" s="158"/>
      <c r="J146" s="151">
        <v>0</v>
      </c>
      <c r="K146" s="160"/>
      <c r="L146" s="30"/>
      <c r="M146" s="161" t="s">
        <v>1</v>
      </c>
      <c r="N146" s="162" t="s">
        <v>35</v>
      </c>
      <c r="O146" s="58"/>
      <c r="P146" s="163">
        <f t="shared" ref="P146:P166" si="0">O146*H146</f>
        <v>0</v>
      </c>
      <c r="Q146" s="163">
        <v>0</v>
      </c>
      <c r="R146" s="163">
        <f t="shared" ref="R146:R166" si="1">Q146*H146</f>
        <v>0</v>
      </c>
      <c r="S146" s="163">
        <v>0</v>
      </c>
      <c r="T146" s="164">
        <f t="shared" ref="T146:T166" si="2"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5" t="s">
        <v>213</v>
      </c>
      <c r="AT146" s="165" t="s">
        <v>181</v>
      </c>
      <c r="AU146" s="165" t="s">
        <v>82</v>
      </c>
      <c r="AY146" s="14" t="s">
        <v>179</v>
      </c>
      <c r="BE146" s="166">
        <f t="shared" ref="BE146:BE166" si="3">IF(N146="základná",J146,0)</f>
        <v>0</v>
      </c>
      <c r="BF146" s="166">
        <f t="shared" ref="BF146:BF166" si="4">IF(N146="znížená",J146,0)</f>
        <v>0</v>
      </c>
      <c r="BG146" s="166">
        <f t="shared" ref="BG146:BG166" si="5">IF(N146="zákl. prenesená",J146,0)</f>
        <v>0</v>
      </c>
      <c r="BH146" s="166">
        <f t="shared" ref="BH146:BH166" si="6">IF(N146="zníž. prenesená",J146,0)</f>
        <v>0</v>
      </c>
      <c r="BI146" s="166">
        <f t="shared" ref="BI146:BI166" si="7">IF(N146="nulová",J146,0)</f>
        <v>0</v>
      </c>
      <c r="BJ146" s="14" t="s">
        <v>82</v>
      </c>
      <c r="BK146" s="166">
        <f t="shared" ref="BK146:BK166" si="8">ROUND(I146*H146,2)</f>
        <v>0</v>
      </c>
      <c r="BL146" s="14" t="s">
        <v>213</v>
      </c>
      <c r="BM146" s="165" t="s">
        <v>210</v>
      </c>
    </row>
    <row r="147" spans="1:65" s="2" customFormat="1" ht="16.5" customHeight="1">
      <c r="A147" s="29"/>
      <c r="B147" s="152"/>
      <c r="C147" s="153" t="s">
        <v>197</v>
      </c>
      <c r="D147" s="153" t="s">
        <v>181</v>
      </c>
      <c r="E147" s="154" t="s">
        <v>1028</v>
      </c>
      <c r="F147" s="155" t="s">
        <v>2145</v>
      </c>
      <c r="G147" s="156" t="s">
        <v>293</v>
      </c>
      <c r="H147" s="157">
        <v>17</v>
      </c>
      <c r="I147" s="158"/>
      <c r="J147" s="151">
        <v>0</v>
      </c>
      <c r="K147" s="160"/>
      <c r="L147" s="30"/>
      <c r="M147" s="161" t="s">
        <v>1</v>
      </c>
      <c r="N147" s="162" t="s">
        <v>35</v>
      </c>
      <c r="O147" s="58"/>
      <c r="P147" s="163">
        <f t="shared" si="0"/>
        <v>0</v>
      </c>
      <c r="Q147" s="163">
        <v>1.0000000000000001E-5</v>
      </c>
      <c r="R147" s="163">
        <f t="shared" si="1"/>
        <v>1.7000000000000001E-4</v>
      </c>
      <c r="S147" s="163">
        <v>0</v>
      </c>
      <c r="T147" s="164">
        <f t="shared" si="2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5" t="s">
        <v>213</v>
      </c>
      <c r="AT147" s="165" t="s">
        <v>181</v>
      </c>
      <c r="AU147" s="165" t="s">
        <v>82</v>
      </c>
      <c r="AY147" s="14" t="s">
        <v>179</v>
      </c>
      <c r="BE147" s="166">
        <f t="shared" si="3"/>
        <v>0</v>
      </c>
      <c r="BF147" s="166">
        <f t="shared" si="4"/>
        <v>0</v>
      </c>
      <c r="BG147" s="166">
        <f t="shared" si="5"/>
        <v>0</v>
      </c>
      <c r="BH147" s="166">
        <f t="shared" si="6"/>
        <v>0</v>
      </c>
      <c r="BI147" s="166">
        <f t="shared" si="7"/>
        <v>0</v>
      </c>
      <c r="BJ147" s="14" t="s">
        <v>82</v>
      </c>
      <c r="BK147" s="166">
        <f t="shared" si="8"/>
        <v>0</v>
      </c>
      <c r="BL147" s="14" t="s">
        <v>213</v>
      </c>
      <c r="BM147" s="165" t="s">
        <v>213</v>
      </c>
    </row>
    <row r="148" spans="1:65" s="2" customFormat="1" ht="33" customHeight="1">
      <c r="A148" s="29"/>
      <c r="B148" s="152"/>
      <c r="C148" s="167" t="s">
        <v>214</v>
      </c>
      <c r="D148" s="167" t="s">
        <v>202</v>
      </c>
      <c r="E148" s="168" t="s">
        <v>2146</v>
      </c>
      <c r="F148" s="338" t="s">
        <v>3422</v>
      </c>
      <c r="G148" s="170" t="s">
        <v>293</v>
      </c>
      <c r="H148" s="171">
        <v>6</v>
      </c>
      <c r="I148" s="172"/>
      <c r="J148" s="151">
        <v>0</v>
      </c>
      <c r="K148" s="174"/>
      <c r="L148" s="175"/>
      <c r="M148" s="176" t="s">
        <v>1</v>
      </c>
      <c r="N148" s="177" t="s">
        <v>35</v>
      </c>
      <c r="O148" s="58"/>
      <c r="P148" s="163">
        <f t="shared" si="0"/>
        <v>0</v>
      </c>
      <c r="Q148" s="163">
        <v>6.9999999999999994E-5</v>
      </c>
      <c r="R148" s="163">
        <f t="shared" si="1"/>
        <v>4.1999999999999996E-4</v>
      </c>
      <c r="S148" s="163">
        <v>0</v>
      </c>
      <c r="T148" s="164">
        <f t="shared" si="2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5" t="s">
        <v>242</v>
      </c>
      <c r="AT148" s="165" t="s">
        <v>202</v>
      </c>
      <c r="AU148" s="165" t="s">
        <v>82</v>
      </c>
      <c r="AY148" s="14" t="s">
        <v>179</v>
      </c>
      <c r="BE148" s="166">
        <f t="shared" si="3"/>
        <v>0</v>
      </c>
      <c r="BF148" s="166">
        <f t="shared" si="4"/>
        <v>0</v>
      </c>
      <c r="BG148" s="166">
        <f t="shared" si="5"/>
        <v>0</v>
      </c>
      <c r="BH148" s="166">
        <f t="shared" si="6"/>
        <v>0</v>
      </c>
      <c r="BI148" s="166">
        <f t="shared" si="7"/>
        <v>0</v>
      </c>
      <c r="BJ148" s="14" t="s">
        <v>82</v>
      </c>
      <c r="BK148" s="166">
        <f t="shared" si="8"/>
        <v>0</v>
      </c>
      <c r="BL148" s="14" t="s">
        <v>213</v>
      </c>
      <c r="BM148" s="165" t="s">
        <v>218</v>
      </c>
    </row>
    <row r="149" spans="1:65" s="2" customFormat="1" ht="33" customHeight="1">
      <c r="A149" s="29"/>
      <c r="B149" s="152"/>
      <c r="C149" s="167" t="s">
        <v>201</v>
      </c>
      <c r="D149" s="167" t="s">
        <v>202</v>
      </c>
      <c r="E149" s="168" t="s">
        <v>2147</v>
      </c>
      <c r="F149" s="338" t="s">
        <v>3423</v>
      </c>
      <c r="G149" s="170" t="s">
        <v>293</v>
      </c>
      <c r="H149" s="171">
        <v>11</v>
      </c>
      <c r="I149" s="172"/>
      <c r="J149" s="151">
        <v>0</v>
      </c>
      <c r="K149" s="174"/>
      <c r="L149" s="175"/>
      <c r="M149" s="176" t="s">
        <v>1</v>
      </c>
      <c r="N149" s="177" t="s">
        <v>35</v>
      </c>
      <c r="O149" s="58"/>
      <c r="P149" s="163">
        <f t="shared" si="0"/>
        <v>0</v>
      </c>
      <c r="Q149" s="163">
        <v>6.9999999999999994E-5</v>
      </c>
      <c r="R149" s="163">
        <f t="shared" si="1"/>
        <v>7.6999999999999996E-4</v>
      </c>
      <c r="S149" s="163">
        <v>0</v>
      </c>
      <c r="T149" s="164">
        <f t="shared" si="2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5" t="s">
        <v>242</v>
      </c>
      <c r="AT149" s="165" t="s">
        <v>202</v>
      </c>
      <c r="AU149" s="165" t="s">
        <v>82</v>
      </c>
      <c r="AY149" s="14" t="s">
        <v>179</v>
      </c>
      <c r="BE149" s="166">
        <f t="shared" si="3"/>
        <v>0</v>
      </c>
      <c r="BF149" s="166">
        <f t="shared" si="4"/>
        <v>0</v>
      </c>
      <c r="BG149" s="166">
        <f t="shared" si="5"/>
        <v>0</v>
      </c>
      <c r="BH149" s="166">
        <f t="shared" si="6"/>
        <v>0</v>
      </c>
      <c r="BI149" s="166">
        <f t="shared" si="7"/>
        <v>0</v>
      </c>
      <c r="BJ149" s="14" t="s">
        <v>82</v>
      </c>
      <c r="BK149" s="166">
        <f t="shared" si="8"/>
        <v>0</v>
      </c>
      <c r="BL149" s="14" t="s">
        <v>213</v>
      </c>
      <c r="BM149" s="165" t="s">
        <v>221</v>
      </c>
    </row>
    <row r="150" spans="1:65" s="2" customFormat="1" ht="16.5" customHeight="1">
      <c r="A150" s="29"/>
      <c r="B150" s="152"/>
      <c r="C150" s="153" t="s">
        <v>222</v>
      </c>
      <c r="D150" s="153" t="s">
        <v>181</v>
      </c>
      <c r="E150" s="154" t="s">
        <v>1038</v>
      </c>
      <c r="F150" s="155" t="s">
        <v>2148</v>
      </c>
      <c r="G150" s="156" t="s">
        <v>293</v>
      </c>
      <c r="H150" s="157">
        <v>717</v>
      </c>
      <c r="I150" s="158"/>
      <c r="J150" s="151">
        <v>0</v>
      </c>
      <c r="K150" s="160"/>
      <c r="L150" s="30"/>
      <c r="M150" s="161" t="s">
        <v>1</v>
      </c>
      <c r="N150" s="162" t="s">
        <v>35</v>
      </c>
      <c r="O150" s="58"/>
      <c r="P150" s="163">
        <f t="shared" si="0"/>
        <v>0</v>
      </c>
      <c r="Q150" s="163">
        <v>8.9958158995815894E-6</v>
      </c>
      <c r="R150" s="163">
        <f t="shared" si="1"/>
        <v>6.45E-3</v>
      </c>
      <c r="S150" s="163">
        <v>0</v>
      </c>
      <c r="T150" s="164">
        <f t="shared" si="2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5" t="s">
        <v>213</v>
      </c>
      <c r="AT150" s="165" t="s">
        <v>181</v>
      </c>
      <c r="AU150" s="165" t="s">
        <v>82</v>
      </c>
      <c r="AY150" s="14" t="s">
        <v>179</v>
      </c>
      <c r="BE150" s="166">
        <f t="shared" si="3"/>
        <v>0</v>
      </c>
      <c r="BF150" s="166">
        <f t="shared" si="4"/>
        <v>0</v>
      </c>
      <c r="BG150" s="166">
        <f t="shared" si="5"/>
        <v>0</v>
      </c>
      <c r="BH150" s="166">
        <f t="shared" si="6"/>
        <v>0</v>
      </c>
      <c r="BI150" s="166">
        <f t="shared" si="7"/>
        <v>0</v>
      </c>
      <c r="BJ150" s="14" t="s">
        <v>82</v>
      </c>
      <c r="BK150" s="166">
        <f t="shared" si="8"/>
        <v>0</v>
      </c>
      <c r="BL150" s="14" t="s">
        <v>213</v>
      </c>
      <c r="BM150" s="165" t="s">
        <v>225</v>
      </c>
    </row>
    <row r="151" spans="1:65" s="2" customFormat="1" ht="33" customHeight="1">
      <c r="A151" s="29"/>
      <c r="B151" s="152"/>
      <c r="C151" s="167" t="s">
        <v>205</v>
      </c>
      <c r="D151" s="167" t="s">
        <v>202</v>
      </c>
      <c r="E151" s="168" t="s">
        <v>2149</v>
      </c>
      <c r="F151" s="338" t="s">
        <v>3424</v>
      </c>
      <c r="G151" s="170" t="s">
        <v>293</v>
      </c>
      <c r="H151" s="171">
        <v>10</v>
      </c>
      <c r="I151" s="172"/>
      <c r="J151" s="151">
        <v>0</v>
      </c>
      <c r="K151" s="174"/>
      <c r="L151" s="175"/>
      <c r="M151" s="176" t="s">
        <v>1</v>
      </c>
      <c r="N151" s="177" t="s">
        <v>35</v>
      </c>
      <c r="O151" s="58"/>
      <c r="P151" s="163">
        <f t="shared" si="0"/>
        <v>0</v>
      </c>
      <c r="Q151" s="163">
        <v>6.9999999999999994E-5</v>
      </c>
      <c r="R151" s="163">
        <f t="shared" si="1"/>
        <v>6.9999999999999988E-4</v>
      </c>
      <c r="S151" s="163">
        <v>0</v>
      </c>
      <c r="T151" s="164">
        <f t="shared" si="2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5" t="s">
        <v>242</v>
      </c>
      <c r="AT151" s="165" t="s">
        <v>202</v>
      </c>
      <c r="AU151" s="165" t="s">
        <v>82</v>
      </c>
      <c r="AY151" s="14" t="s">
        <v>179</v>
      </c>
      <c r="BE151" s="166">
        <f t="shared" si="3"/>
        <v>0</v>
      </c>
      <c r="BF151" s="166">
        <f t="shared" si="4"/>
        <v>0</v>
      </c>
      <c r="BG151" s="166">
        <f t="shared" si="5"/>
        <v>0</v>
      </c>
      <c r="BH151" s="166">
        <f t="shared" si="6"/>
        <v>0</v>
      </c>
      <c r="BI151" s="166">
        <f t="shared" si="7"/>
        <v>0</v>
      </c>
      <c r="BJ151" s="14" t="s">
        <v>82</v>
      </c>
      <c r="BK151" s="166">
        <f t="shared" si="8"/>
        <v>0</v>
      </c>
      <c r="BL151" s="14" t="s">
        <v>213</v>
      </c>
      <c r="BM151" s="165" t="s">
        <v>228</v>
      </c>
    </row>
    <row r="152" spans="1:65" s="2" customFormat="1" ht="33" customHeight="1">
      <c r="A152" s="29"/>
      <c r="B152" s="152"/>
      <c r="C152" s="167" t="s">
        <v>229</v>
      </c>
      <c r="D152" s="167" t="s">
        <v>202</v>
      </c>
      <c r="E152" s="168" t="s">
        <v>2150</v>
      </c>
      <c r="F152" s="338" t="s">
        <v>3425</v>
      </c>
      <c r="G152" s="170" t="s">
        <v>293</v>
      </c>
      <c r="H152" s="171">
        <v>102</v>
      </c>
      <c r="I152" s="172"/>
      <c r="J152" s="151">
        <v>0</v>
      </c>
      <c r="K152" s="174"/>
      <c r="L152" s="175"/>
      <c r="M152" s="176" t="s">
        <v>1</v>
      </c>
      <c r="N152" s="177" t="s">
        <v>35</v>
      </c>
      <c r="O152" s="58"/>
      <c r="P152" s="163">
        <f t="shared" si="0"/>
        <v>0</v>
      </c>
      <c r="Q152" s="163">
        <v>6.9999999999999994E-5</v>
      </c>
      <c r="R152" s="163">
        <f t="shared" si="1"/>
        <v>7.1399999999999996E-3</v>
      </c>
      <c r="S152" s="163">
        <v>0</v>
      </c>
      <c r="T152" s="164">
        <f t="shared" si="2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5" t="s">
        <v>242</v>
      </c>
      <c r="AT152" s="165" t="s">
        <v>202</v>
      </c>
      <c r="AU152" s="165" t="s">
        <v>82</v>
      </c>
      <c r="AY152" s="14" t="s">
        <v>179</v>
      </c>
      <c r="BE152" s="166">
        <f t="shared" si="3"/>
        <v>0</v>
      </c>
      <c r="BF152" s="166">
        <f t="shared" si="4"/>
        <v>0</v>
      </c>
      <c r="BG152" s="166">
        <f t="shared" si="5"/>
        <v>0</v>
      </c>
      <c r="BH152" s="166">
        <f t="shared" si="6"/>
        <v>0</v>
      </c>
      <c r="BI152" s="166">
        <f t="shared" si="7"/>
        <v>0</v>
      </c>
      <c r="BJ152" s="14" t="s">
        <v>82</v>
      </c>
      <c r="BK152" s="166">
        <f t="shared" si="8"/>
        <v>0</v>
      </c>
      <c r="BL152" s="14" t="s">
        <v>213</v>
      </c>
      <c r="BM152" s="165" t="s">
        <v>232</v>
      </c>
    </row>
    <row r="153" spans="1:65" s="2" customFormat="1" ht="33" customHeight="1">
      <c r="A153" s="29"/>
      <c r="B153" s="152"/>
      <c r="C153" s="167" t="s">
        <v>210</v>
      </c>
      <c r="D153" s="167" t="s">
        <v>202</v>
      </c>
      <c r="E153" s="168" t="s">
        <v>2151</v>
      </c>
      <c r="F153" s="338" t="s">
        <v>3426</v>
      </c>
      <c r="G153" s="170" t="s">
        <v>293</v>
      </c>
      <c r="H153" s="171">
        <v>156</v>
      </c>
      <c r="I153" s="172"/>
      <c r="J153" s="151">
        <v>0</v>
      </c>
      <c r="K153" s="174"/>
      <c r="L153" s="175"/>
      <c r="M153" s="176" t="s">
        <v>1</v>
      </c>
      <c r="N153" s="177" t="s">
        <v>35</v>
      </c>
      <c r="O153" s="58"/>
      <c r="P153" s="163">
        <f t="shared" si="0"/>
        <v>0</v>
      </c>
      <c r="Q153" s="163">
        <v>1.7000000000000001E-4</v>
      </c>
      <c r="R153" s="163">
        <f t="shared" si="1"/>
        <v>2.6520000000000002E-2</v>
      </c>
      <c r="S153" s="163">
        <v>0</v>
      </c>
      <c r="T153" s="164">
        <f t="shared" si="2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5" t="s">
        <v>242</v>
      </c>
      <c r="AT153" s="165" t="s">
        <v>202</v>
      </c>
      <c r="AU153" s="165" t="s">
        <v>82</v>
      </c>
      <c r="AY153" s="14" t="s">
        <v>179</v>
      </c>
      <c r="BE153" s="166">
        <f t="shared" si="3"/>
        <v>0</v>
      </c>
      <c r="BF153" s="166">
        <f t="shared" si="4"/>
        <v>0</v>
      </c>
      <c r="BG153" s="166">
        <f t="shared" si="5"/>
        <v>0</v>
      </c>
      <c r="BH153" s="166">
        <f t="shared" si="6"/>
        <v>0</v>
      </c>
      <c r="BI153" s="166">
        <f t="shared" si="7"/>
        <v>0</v>
      </c>
      <c r="BJ153" s="14" t="s">
        <v>82</v>
      </c>
      <c r="BK153" s="166">
        <f t="shared" si="8"/>
        <v>0</v>
      </c>
      <c r="BL153" s="14" t="s">
        <v>213</v>
      </c>
      <c r="BM153" s="165" t="s">
        <v>235</v>
      </c>
    </row>
    <row r="154" spans="1:65" s="2" customFormat="1" ht="33" customHeight="1">
      <c r="A154" s="29"/>
      <c r="B154" s="152"/>
      <c r="C154" s="167" t="s">
        <v>236</v>
      </c>
      <c r="D154" s="167" t="s">
        <v>202</v>
      </c>
      <c r="E154" s="168" t="s">
        <v>2152</v>
      </c>
      <c r="F154" s="338" t="s">
        <v>3427</v>
      </c>
      <c r="G154" s="170" t="s">
        <v>293</v>
      </c>
      <c r="H154" s="171">
        <v>78</v>
      </c>
      <c r="I154" s="172"/>
      <c r="J154" s="151">
        <v>0</v>
      </c>
      <c r="K154" s="174"/>
      <c r="L154" s="175"/>
      <c r="M154" s="176" t="s">
        <v>1</v>
      </c>
      <c r="N154" s="177" t="s">
        <v>35</v>
      </c>
      <c r="O154" s="58"/>
      <c r="P154" s="163">
        <f t="shared" si="0"/>
        <v>0</v>
      </c>
      <c r="Q154" s="163">
        <v>1.7000000000000001E-4</v>
      </c>
      <c r="R154" s="163">
        <f t="shared" si="1"/>
        <v>1.3260000000000001E-2</v>
      </c>
      <c r="S154" s="163">
        <v>0</v>
      </c>
      <c r="T154" s="164">
        <f t="shared" si="2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5" t="s">
        <v>242</v>
      </c>
      <c r="AT154" s="165" t="s">
        <v>202</v>
      </c>
      <c r="AU154" s="165" t="s">
        <v>82</v>
      </c>
      <c r="AY154" s="14" t="s">
        <v>179</v>
      </c>
      <c r="BE154" s="166">
        <f t="shared" si="3"/>
        <v>0</v>
      </c>
      <c r="BF154" s="166">
        <f t="shared" si="4"/>
        <v>0</v>
      </c>
      <c r="BG154" s="166">
        <f t="shared" si="5"/>
        <v>0</v>
      </c>
      <c r="BH154" s="166">
        <f t="shared" si="6"/>
        <v>0</v>
      </c>
      <c r="BI154" s="166">
        <f t="shared" si="7"/>
        <v>0</v>
      </c>
      <c r="BJ154" s="14" t="s">
        <v>82</v>
      </c>
      <c r="BK154" s="166">
        <f t="shared" si="8"/>
        <v>0</v>
      </c>
      <c r="BL154" s="14" t="s">
        <v>213</v>
      </c>
      <c r="BM154" s="165" t="s">
        <v>239</v>
      </c>
    </row>
    <row r="155" spans="1:65" s="2" customFormat="1" ht="33" customHeight="1">
      <c r="A155" s="29"/>
      <c r="B155" s="152"/>
      <c r="C155" s="167" t="s">
        <v>213</v>
      </c>
      <c r="D155" s="167" t="s">
        <v>202</v>
      </c>
      <c r="E155" s="168" t="s">
        <v>2153</v>
      </c>
      <c r="F155" s="338" t="s">
        <v>3428</v>
      </c>
      <c r="G155" s="170" t="s">
        <v>293</v>
      </c>
      <c r="H155" s="171">
        <v>180</v>
      </c>
      <c r="I155" s="172"/>
      <c r="J155" s="151">
        <v>0</v>
      </c>
      <c r="K155" s="174"/>
      <c r="L155" s="175"/>
      <c r="M155" s="176" t="s">
        <v>1</v>
      </c>
      <c r="N155" s="177" t="s">
        <v>35</v>
      </c>
      <c r="O155" s="58"/>
      <c r="P155" s="163">
        <f t="shared" si="0"/>
        <v>0</v>
      </c>
      <c r="Q155" s="163">
        <v>6.9999999999999994E-5</v>
      </c>
      <c r="R155" s="163">
        <f t="shared" si="1"/>
        <v>1.2599999999999998E-2</v>
      </c>
      <c r="S155" s="163">
        <v>0</v>
      </c>
      <c r="T155" s="164">
        <f t="shared" si="2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5" t="s">
        <v>242</v>
      </c>
      <c r="AT155" s="165" t="s">
        <v>202</v>
      </c>
      <c r="AU155" s="165" t="s">
        <v>82</v>
      </c>
      <c r="AY155" s="14" t="s">
        <v>179</v>
      </c>
      <c r="BE155" s="166">
        <f t="shared" si="3"/>
        <v>0</v>
      </c>
      <c r="BF155" s="166">
        <f t="shared" si="4"/>
        <v>0</v>
      </c>
      <c r="BG155" s="166">
        <f t="shared" si="5"/>
        <v>0</v>
      </c>
      <c r="BH155" s="166">
        <f t="shared" si="6"/>
        <v>0</v>
      </c>
      <c r="BI155" s="166">
        <f t="shared" si="7"/>
        <v>0</v>
      </c>
      <c r="BJ155" s="14" t="s">
        <v>82</v>
      </c>
      <c r="BK155" s="166">
        <f t="shared" si="8"/>
        <v>0</v>
      </c>
      <c r="BL155" s="14" t="s">
        <v>213</v>
      </c>
      <c r="BM155" s="165" t="s">
        <v>242</v>
      </c>
    </row>
    <row r="156" spans="1:65" s="2" customFormat="1" ht="33" customHeight="1">
      <c r="A156" s="29"/>
      <c r="B156" s="152"/>
      <c r="C156" s="167" t="s">
        <v>243</v>
      </c>
      <c r="D156" s="167" t="s">
        <v>202</v>
      </c>
      <c r="E156" s="168" t="s">
        <v>2154</v>
      </c>
      <c r="F156" s="338" t="s">
        <v>3429</v>
      </c>
      <c r="G156" s="170" t="s">
        <v>293</v>
      </c>
      <c r="H156" s="171">
        <v>158</v>
      </c>
      <c r="I156" s="172"/>
      <c r="J156" s="151">
        <v>0</v>
      </c>
      <c r="K156" s="174"/>
      <c r="L156" s="175"/>
      <c r="M156" s="176" t="s">
        <v>1</v>
      </c>
      <c r="N156" s="177" t="s">
        <v>35</v>
      </c>
      <c r="O156" s="58"/>
      <c r="P156" s="163">
        <f t="shared" si="0"/>
        <v>0</v>
      </c>
      <c r="Q156" s="163">
        <v>2.7E-4</v>
      </c>
      <c r="R156" s="163">
        <f t="shared" si="1"/>
        <v>4.2660000000000003E-2</v>
      </c>
      <c r="S156" s="163">
        <v>0</v>
      </c>
      <c r="T156" s="164">
        <f t="shared" si="2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5" t="s">
        <v>242</v>
      </c>
      <c r="AT156" s="165" t="s">
        <v>202</v>
      </c>
      <c r="AU156" s="165" t="s">
        <v>82</v>
      </c>
      <c r="AY156" s="14" t="s">
        <v>179</v>
      </c>
      <c r="BE156" s="166">
        <f t="shared" si="3"/>
        <v>0</v>
      </c>
      <c r="BF156" s="166">
        <f t="shared" si="4"/>
        <v>0</v>
      </c>
      <c r="BG156" s="166">
        <f t="shared" si="5"/>
        <v>0</v>
      </c>
      <c r="BH156" s="166">
        <f t="shared" si="6"/>
        <v>0</v>
      </c>
      <c r="BI156" s="166">
        <f t="shared" si="7"/>
        <v>0</v>
      </c>
      <c r="BJ156" s="14" t="s">
        <v>82</v>
      </c>
      <c r="BK156" s="166">
        <f t="shared" si="8"/>
        <v>0</v>
      </c>
      <c r="BL156" s="14" t="s">
        <v>213</v>
      </c>
      <c r="BM156" s="165" t="s">
        <v>246</v>
      </c>
    </row>
    <row r="157" spans="1:65" s="2" customFormat="1" ht="33" customHeight="1">
      <c r="A157" s="29"/>
      <c r="B157" s="152"/>
      <c r="C157" s="167" t="s">
        <v>218</v>
      </c>
      <c r="D157" s="167" t="s">
        <v>202</v>
      </c>
      <c r="E157" s="168" t="s">
        <v>2155</v>
      </c>
      <c r="F157" s="338" t="s">
        <v>3430</v>
      </c>
      <c r="G157" s="170" t="s">
        <v>293</v>
      </c>
      <c r="H157" s="171">
        <v>33</v>
      </c>
      <c r="I157" s="172"/>
      <c r="J157" s="151">
        <v>0</v>
      </c>
      <c r="K157" s="174"/>
      <c r="L157" s="175"/>
      <c r="M157" s="176" t="s">
        <v>1</v>
      </c>
      <c r="N157" s="177" t="s">
        <v>35</v>
      </c>
      <c r="O157" s="58"/>
      <c r="P157" s="163">
        <f t="shared" si="0"/>
        <v>0</v>
      </c>
      <c r="Q157" s="163">
        <v>2.7E-4</v>
      </c>
      <c r="R157" s="163">
        <f t="shared" si="1"/>
        <v>8.9099999999999995E-3</v>
      </c>
      <c r="S157" s="163">
        <v>0</v>
      </c>
      <c r="T157" s="164">
        <f t="shared" si="2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5" t="s">
        <v>242</v>
      </c>
      <c r="AT157" s="165" t="s">
        <v>202</v>
      </c>
      <c r="AU157" s="165" t="s">
        <v>82</v>
      </c>
      <c r="AY157" s="14" t="s">
        <v>179</v>
      </c>
      <c r="BE157" s="166">
        <f t="shared" si="3"/>
        <v>0</v>
      </c>
      <c r="BF157" s="166">
        <f t="shared" si="4"/>
        <v>0</v>
      </c>
      <c r="BG157" s="166">
        <f t="shared" si="5"/>
        <v>0</v>
      </c>
      <c r="BH157" s="166">
        <f t="shared" si="6"/>
        <v>0</v>
      </c>
      <c r="BI157" s="166">
        <f t="shared" si="7"/>
        <v>0</v>
      </c>
      <c r="BJ157" s="14" t="s">
        <v>82</v>
      </c>
      <c r="BK157" s="166">
        <f t="shared" si="8"/>
        <v>0</v>
      </c>
      <c r="BL157" s="14" t="s">
        <v>213</v>
      </c>
      <c r="BM157" s="165" t="s">
        <v>250</v>
      </c>
    </row>
    <row r="158" spans="1:65" s="2" customFormat="1" ht="16.5" customHeight="1">
      <c r="A158" s="29"/>
      <c r="B158" s="152"/>
      <c r="C158" s="153" t="s">
        <v>251</v>
      </c>
      <c r="D158" s="153" t="s">
        <v>181</v>
      </c>
      <c r="E158" s="154" t="s">
        <v>2156</v>
      </c>
      <c r="F158" s="155" t="s">
        <v>2157</v>
      </c>
      <c r="G158" s="156" t="s">
        <v>184</v>
      </c>
      <c r="H158" s="157">
        <v>150</v>
      </c>
      <c r="I158" s="158"/>
      <c r="J158" s="151">
        <v>0</v>
      </c>
      <c r="K158" s="160"/>
      <c r="L158" s="30"/>
      <c r="M158" s="161" t="s">
        <v>1</v>
      </c>
      <c r="N158" s="162" t="s">
        <v>35</v>
      </c>
      <c r="O158" s="58"/>
      <c r="P158" s="163">
        <f t="shared" si="0"/>
        <v>0</v>
      </c>
      <c r="Q158" s="163">
        <v>2.9999999999999997E-4</v>
      </c>
      <c r="R158" s="163">
        <f t="shared" si="1"/>
        <v>4.4999999999999998E-2</v>
      </c>
      <c r="S158" s="163">
        <v>0</v>
      </c>
      <c r="T158" s="164">
        <f t="shared" si="2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5" t="s">
        <v>213</v>
      </c>
      <c r="AT158" s="165" t="s">
        <v>181</v>
      </c>
      <c r="AU158" s="165" t="s">
        <v>82</v>
      </c>
      <c r="AY158" s="14" t="s">
        <v>179</v>
      </c>
      <c r="BE158" s="166">
        <f t="shared" si="3"/>
        <v>0</v>
      </c>
      <c r="BF158" s="166">
        <f t="shared" si="4"/>
        <v>0</v>
      </c>
      <c r="BG158" s="166">
        <f t="shared" si="5"/>
        <v>0</v>
      </c>
      <c r="BH158" s="166">
        <f t="shared" si="6"/>
        <v>0</v>
      </c>
      <c r="BI158" s="166">
        <f t="shared" si="7"/>
        <v>0</v>
      </c>
      <c r="BJ158" s="14" t="s">
        <v>82</v>
      </c>
      <c r="BK158" s="166">
        <f t="shared" si="8"/>
        <v>0</v>
      </c>
      <c r="BL158" s="14" t="s">
        <v>213</v>
      </c>
      <c r="BM158" s="165" t="s">
        <v>254</v>
      </c>
    </row>
    <row r="159" spans="1:65" s="2" customFormat="1" ht="37.9" customHeight="1">
      <c r="A159" s="29"/>
      <c r="B159" s="152"/>
      <c r="C159" s="167" t="s">
        <v>221</v>
      </c>
      <c r="D159" s="167" t="s">
        <v>202</v>
      </c>
      <c r="E159" s="168" t="s">
        <v>2158</v>
      </c>
      <c r="F159" s="169" t="s">
        <v>2159</v>
      </c>
      <c r="G159" s="170" t="s">
        <v>184</v>
      </c>
      <c r="H159" s="171">
        <v>52</v>
      </c>
      <c r="I159" s="172"/>
      <c r="J159" s="151">
        <v>0</v>
      </c>
      <c r="K159" s="174"/>
      <c r="L159" s="175"/>
      <c r="M159" s="176" t="s">
        <v>1</v>
      </c>
      <c r="N159" s="177" t="s">
        <v>35</v>
      </c>
      <c r="O159" s="58"/>
      <c r="P159" s="163">
        <f t="shared" si="0"/>
        <v>0</v>
      </c>
      <c r="Q159" s="163">
        <v>2.9E-4</v>
      </c>
      <c r="R159" s="163">
        <f t="shared" si="1"/>
        <v>1.508E-2</v>
      </c>
      <c r="S159" s="163">
        <v>0</v>
      </c>
      <c r="T159" s="164">
        <f t="shared" si="2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5" t="s">
        <v>242</v>
      </c>
      <c r="AT159" s="165" t="s">
        <v>202</v>
      </c>
      <c r="AU159" s="165" t="s">
        <v>82</v>
      </c>
      <c r="AY159" s="14" t="s">
        <v>179</v>
      </c>
      <c r="BE159" s="166">
        <f t="shared" si="3"/>
        <v>0</v>
      </c>
      <c r="BF159" s="166">
        <f t="shared" si="4"/>
        <v>0</v>
      </c>
      <c r="BG159" s="166">
        <f t="shared" si="5"/>
        <v>0</v>
      </c>
      <c r="BH159" s="166">
        <f t="shared" si="6"/>
        <v>0</v>
      </c>
      <c r="BI159" s="166">
        <f t="shared" si="7"/>
        <v>0</v>
      </c>
      <c r="BJ159" s="14" t="s">
        <v>82</v>
      </c>
      <c r="BK159" s="166">
        <f t="shared" si="8"/>
        <v>0</v>
      </c>
      <c r="BL159" s="14" t="s">
        <v>213</v>
      </c>
      <c r="BM159" s="165" t="s">
        <v>257</v>
      </c>
    </row>
    <row r="160" spans="1:65" s="2" customFormat="1" ht="37.9" customHeight="1">
      <c r="A160" s="29"/>
      <c r="B160" s="152"/>
      <c r="C160" s="167" t="s">
        <v>258</v>
      </c>
      <c r="D160" s="167" t="s">
        <v>202</v>
      </c>
      <c r="E160" s="168" t="s">
        <v>2160</v>
      </c>
      <c r="F160" s="169" t="s">
        <v>2161</v>
      </c>
      <c r="G160" s="170" t="s">
        <v>184</v>
      </c>
      <c r="H160" s="171">
        <v>98</v>
      </c>
      <c r="I160" s="172"/>
      <c r="J160" s="151">
        <v>0</v>
      </c>
      <c r="K160" s="174"/>
      <c r="L160" s="175"/>
      <c r="M160" s="176" t="s">
        <v>1</v>
      </c>
      <c r="N160" s="177" t="s">
        <v>35</v>
      </c>
      <c r="O160" s="58"/>
      <c r="P160" s="163">
        <f t="shared" si="0"/>
        <v>0</v>
      </c>
      <c r="Q160" s="163">
        <v>5.4000000000000001E-4</v>
      </c>
      <c r="R160" s="163">
        <f t="shared" si="1"/>
        <v>5.2920000000000002E-2</v>
      </c>
      <c r="S160" s="163">
        <v>0</v>
      </c>
      <c r="T160" s="164">
        <f t="shared" si="2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5" t="s">
        <v>242</v>
      </c>
      <c r="AT160" s="165" t="s">
        <v>202</v>
      </c>
      <c r="AU160" s="165" t="s">
        <v>82</v>
      </c>
      <c r="AY160" s="14" t="s">
        <v>179</v>
      </c>
      <c r="BE160" s="166">
        <f t="shared" si="3"/>
        <v>0</v>
      </c>
      <c r="BF160" s="166">
        <f t="shared" si="4"/>
        <v>0</v>
      </c>
      <c r="BG160" s="166">
        <f t="shared" si="5"/>
        <v>0</v>
      </c>
      <c r="BH160" s="166">
        <f t="shared" si="6"/>
        <v>0</v>
      </c>
      <c r="BI160" s="166">
        <f t="shared" si="7"/>
        <v>0</v>
      </c>
      <c r="BJ160" s="14" t="s">
        <v>82</v>
      </c>
      <c r="BK160" s="166">
        <f t="shared" si="8"/>
        <v>0</v>
      </c>
      <c r="BL160" s="14" t="s">
        <v>213</v>
      </c>
      <c r="BM160" s="165" t="s">
        <v>261</v>
      </c>
    </row>
    <row r="161" spans="1:65" s="2" customFormat="1" ht="24.2" customHeight="1">
      <c r="A161" s="29"/>
      <c r="B161" s="152"/>
      <c r="C161" s="153" t="s">
        <v>225</v>
      </c>
      <c r="D161" s="153" t="s">
        <v>181</v>
      </c>
      <c r="E161" s="154" t="s">
        <v>2162</v>
      </c>
      <c r="F161" s="155" t="s">
        <v>2163</v>
      </c>
      <c r="G161" s="156" t="s">
        <v>184</v>
      </c>
      <c r="H161" s="157">
        <v>563</v>
      </c>
      <c r="I161" s="158"/>
      <c r="J161" s="151">
        <v>0</v>
      </c>
      <c r="K161" s="160"/>
      <c r="L161" s="30"/>
      <c r="M161" s="161" t="s">
        <v>1</v>
      </c>
      <c r="N161" s="162" t="s">
        <v>35</v>
      </c>
      <c r="O161" s="58"/>
      <c r="P161" s="163">
        <f t="shared" si="0"/>
        <v>0</v>
      </c>
      <c r="Q161" s="163">
        <v>2.9999999999999997E-4</v>
      </c>
      <c r="R161" s="163">
        <f t="shared" si="1"/>
        <v>0.16889999999999999</v>
      </c>
      <c r="S161" s="163">
        <v>0</v>
      </c>
      <c r="T161" s="164">
        <f t="shared" si="2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5" t="s">
        <v>213</v>
      </c>
      <c r="AT161" s="165" t="s">
        <v>181</v>
      </c>
      <c r="AU161" s="165" t="s">
        <v>82</v>
      </c>
      <c r="AY161" s="14" t="s">
        <v>179</v>
      </c>
      <c r="BE161" s="166">
        <f t="shared" si="3"/>
        <v>0</v>
      </c>
      <c r="BF161" s="166">
        <f t="shared" si="4"/>
        <v>0</v>
      </c>
      <c r="BG161" s="166">
        <f t="shared" si="5"/>
        <v>0</v>
      </c>
      <c r="BH161" s="166">
        <f t="shared" si="6"/>
        <v>0</v>
      </c>
      <c r="BI161" s="166">
        <f t="shared" si="7"/>
        <v>0</v>
      </c>
      <c r="BJ161" s="14" t="s">
        <v>82</v>
      </c>
      <c r="BK161" s="166">
        <f t="shared" si="8"/>
        <v>0</v>
      </c>
      <c r="BL161" s="14" t="s">
        <v>213</v>
      </c>
      <c r="BM161" s="165" t="s">
        <v>265</v>
      </c>
    </row>
    <row r="162" spans="1:65" s="2" customFormat="1" ht="49.15" customHeight="1">
      <c r="A162" s="29"/>
      <c r="B162" s="152"/>
      <c r="C162" s="167" t="s">
        <v>7</v>
      </c>
      <c r="D162" s="167" t="s">
        <v>202</v>
      </c>
      <c r="E162" s="168" t="s">
        <v>2164</v>
      </c>
      <c r="F162" s="169" t="s">
        <v>2165</v>
      </c>
      <c r="G162" s="170" t="s">
        <v>184</v>
      </c>
      <c r="H162" s="171">
        <v>563</v>
      </c>
      <c r="I162" s="172"/>
      <c r="J162" s="151">
        <v>0</v>
      </c>
      <c r="K162" s="174"/>
      <c r="L162" s="175"/>
      <c r="M162" s="176" t="s">
        <v>1</v>
      </c>
      <c r="N162" s="177" t="s">
        <v>35</v>
      </c>
      <c r="O162" s="58"/>
      <c r="P162" s="163">
        <f t="shared" si="0"/>
        <v>0</v>
      </c>
      <c r="Q162" s="163">
        <v>2.9E-4</v>
      </c>
      <c r="R162" s="163">
        <f t="shared" si="1"/>
        <v>0.16327</v>
      </c>
      <c r="S162" s="163">
        <v>0</v>
      </c>
      <c r="T162" s="164">
        <f t="shared" si="2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5" t="s">
        <v>242</v>
      </c>
      <c r="AT162" s="165" t="s">
        <v>202</v>
      </c>
      <c r="AU162" s="165" t="s">
        <v>82</v>
      </c>
      <c r="AY162" s="14" t="s">
        <v>179</v>
      </c>
      <c r="BE162" s="166">
        <f t="shared" si="3"/>
        <v>0</v>
      </c>
      <c r="BF162" s="166">
        <f t="shared" si="4"/>
        <v>0</v>
      </c>
      <c r="BG162" s="166">
        <f t="shared" si="5"/>
        <v>0</v>
      </c>
      <c r="BH162" s="166">
        <f t="shared" si="6"/>
        <v>0</v>
      </c>
      <c r="BI162" s="166">
        <f t="shared" si="7"/>
        <v>0</v>
      </c>
      <c r="BJ162" s="14" t="s">
        <v>82</v>
      </c>
      <c r="BK162" s="166">
        <f t="shared" si="8"/>
        <v>0</v>
      </c>
      <c r="BL162" s="14" t="s">
        <v>213</v>
      </c>
      <c r="BM162" s="165" t="s">
        <v>268</v>
      </c>
    </row>
    <row r="163" spans="1:65" s="2" customFormat="1" ht="24.2" customHeight="1">
      <c r="A163" s="29"/>
      <c r="B163" s="152"/>
      <c r="C163" s="153" t="s">
        <v>228</v>
      </c>
      <c r="D163" s="153" t="s">
        <v>181</v>
      </c>
      <c r="E163" s="154" t="s">
        <v>2166</v>
      </c>
      <c r="F163" s="155" t="s">
        <v>2167</v>
      </c>
      <c r="G163" s="156" t="s">
        <v>184</v>
      </c>
      <c r="H163" s="157">
        <v>133.6</v>
      </c>
      <c r="I163" s="158"/>
      <c r="J163" s="151">
        <v>0</v>
      </c>
      <c r="K163" s="160"/>
      <c r="L163" s="30"/>
      <c r="M163" s="161" t="s">
        <v>1</v>
      </c>
      <c r="N163" s="162" t="s">
        <v>35</v>
      </c>
      <c r="O163" s="58"/>
      <c r="P163" s="163">
        <f t="shared" si="0"/>
        <v>0</v>
      </c>
      <c r="Q163" s="163">
        <v>2.9999999999999997E-4</v>
      </c>
      <c r="R163" s="163">
        <f t="shared" si="1"/>
        <v>4.0079999999999998E-2</v>
      </c>
      <c r="S163" s="163">
        <v>0</v>
      </c>
      <c r="T163" s="164">
        <f t="shared" si="2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5" t="s">
        <v>213</v>
      </c>
      <c r="AT163" s="165" t="s">
        <v>181</v>
      </c>
      <c r="AU163" s="165" t="s">
        <v>82</v>
      </c>
      <c r="AY163" s="14" t="s">
        <v>179</v>
      </c>
      <c r="BE163" s="166">
        <f t="shared" si="3"/>
        <v>0</v>
      </c>
      <c r="BF163" s="166">
        <f t="shared" si="4"/>
        <v>0</v>
      </c>
      <c r="BG163" s="166">
        <f t="shared" si="5"/>
        <v>0</v>
      </c>
      <c r="BH163" s="166">
        <f t="shared" si="6"/>
        <v>0</v>
      </c>
      <c r="BI163" s="166">
        <f t="shared" si="7"/>
        <v>0</v>
      </c>
      <c r="BJ163" s="14" t="s">
        <v>82</v>
      </c>
      <c r="BK163" s="166">
        <f t="shared" si="8"/>
        <v>0</v>
      </c>
      <c r="BL163" s="14" t="s">
        <v>213</v>
      </c>
      <c r="BM163" s="165" t="s">
        <v>271</v>
      </c>
    </row>
    <row r="164" spans="1:65" s="2" customFormat="1" ht="16.5" customHeight="1">
      <c r="A164" s="29"/>
      <c r="B164" s="152"/>
      <c r="C164" s="167" t="s">
        <v>272</v>
      </c>
      <c r="D164" s="167" t="s">
        <v>202</v>
      </c>
      <c r="E164" s="168" t="s">
        <v>2168</v>
      </c>
      <c r="F164" s="169" t="s">
        <v>2169</v>
      </c>
      <c r="G164" s="170" t="s">
        <v>184</v>
      </c>
      <c r="H164" s="171">
        <v>133.6</v>
      </c>
      <c r="I164" s="172"/>
      <c r="J164" s="151">
        <v>0</v>
      </c>
      <c r="K164" s="174"/>
      <c r="L164" s="175"/>
      <c r="M164" s="176" t="s">
        <v>1</v>
      </c>
      <c r="N164" s="177" t="s">
        <v>35</v>
      </c>
      <c r="O164" s="58"/>
      <c r="P164" s="163">
        <f t="shared" si="0"/>
        <v>0</v>
      </c>
      <c r="Q164" s="163">
        <v>2.8997005988024E-4</v>
      </c>
      <c r="R164" s="163">
        <f t="shared" si="1"/>
        <v>3.8740000000000059E-2</v>
      </c>
      <c r="S164" s="163">
        <v>0</v>
      </c>
      <c r="T164" s="164">
        <f t="shared" si="2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5" t="s">
        <v>242</v>
      </c>
      <c r="AT164" s="165" t="s">
        <v>202</v>
      </c>
      <c r="AU164" s="165" t="s">
        <v>82</v>
      </c>
      <c r="AY164" s="14" t="s">
        <v>179</v>
      </c>
      <c r="BE164" s="166">
        <f t="shared" si="3"/>
        <v>0</v>
      </c>
      <c r="BF164" s="166">
        <f t="shared" si="4"/>
        <v>0</v>
      </c>
      <c r="BG164" s="166">
        <f t="shared" si="5"/>
        <v>0</v>
      </c>
      <c r="BH164" s="166">
        <f t="shared" si="6"/>
        <v>0</v>
      </c>
      <c r="BI164" s="166">
        <f t="shared" si="7"/>
        <v>0</v>
      </c>
      <c r="BJ164" s="14" t="s">
        <v>82</v>
      </c>
      <c r="BK164" s="166">
        <f t="shared" si="8"/>
        <v>0</v>
      </c>
      <c r="BL164" s="14" t="s">
        <v>213</v>
      </c>
      <c r="BM164" s="165" t="s">
        <v>275</v>
      </c>
    </row>
    <row r="165" spans="1:65" s="2" customFormat="1" ht="37.9" customHeight="1">
      <c r="A165" s="29"/>
      <c r="B165" s="152"/>
      <c r="C165" s="153" t="s">
        <v>232</v>
      </c>
      <c r="D165" s="153" t="s">
        <v>181</v>
      </c>
      <c r="E165" s="154" t="s">
        <v>2170</v>
      </c>
      <c r="F165" s="155" t="s">
        <v>2171</v>
      </c>
      <c r="G165" s="156" t="s">
        <v>217</v>
      </c>
      <c r="H165" s="157">
        <v>18</v>
      </c>
      <c r="I165" s="158"/>
      <c r="J165" s="151">
        <v>0</v>
      </c>
      <c r="K165" s="160"/>
      <c r="L165" s="30"/>
      <c r="M165" s="161" t="s">
        <v>1</v>
      </c>
      <c r="N165" s="162" t="s">
        <v>35</v>
      </c>
      <c r="O165" s="58"/>
      <c r="P165" s="163">
        <f t="shared" si="0"/>
        <v>0</v>
      </c>
      <c r="Q165" s="163">
        <v>2.5411111111111099E-3</v>
      </c>
      <c r="R165" s="163">
        <f t="shared" si="1"/>
        <v>4.5739999999999975E-2</v>
      </c>
      <c r="S165" s="163">
        <v>0</v>
      </c>
      <c r="T165" s="164">
        <f t="shared" si="2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5" t="s">
        <v>213</v>
      </c>
      <c r="AT165" s="165" t="s">
        <v>181</v>
      </c>
      <c r="AU165" s="165" t="s">
        <v>82</v>
      </c>
      <c r="AY165" s="14" t="s">
        <v>179</v>
      </c>
      <c r="BE165" s="166">
        <f t="shared" si="3"/>
        <v>0</v>
      </c>
      <c r="BF165" s="166">
        <f t="shared" si="4"/>
        <v>0</v>
      </c>
      <c r="BG165" s="166">
        <f t="shared" si="5"/>
        <v>0</v>
      </c>
      <c r="BH165" s="166">
        <f t="shared" si="6"/>
        <v>0</v>
      </c>
      <c r="BI165" s="166">
        <f t="shared" si="7"/>
        <v>0</v>
      </c>
      <c r="BJ165" s="14" t="s">
        <v>82</v>
      </c>
      <c r="BK165" s="166">
        <f t="shared" si="8"/>
        <v>0</v>
      </c>
      <c r="BL165" s="14" t="s">
        <v>213</v>
      </c>
      <c r="BM165" s="165" t="s">
        <v>279</v>
      </c>
    </row>
    <row r="166" spans="1:65" s="2" customFormat="1" ht="24.2" customHeight="1">
      <c r="A166" s="29"/>
      <c r="B166" s="152"/>
      <c r="C166" s="153" t="s">
        <v>280</v>
      </c>
      <c r="D166" s="153" t="s">
        <v>181</v>
      </c>
      <c r="E166" s="154" t="s">
        <v>609</v>
      </c>
      <c r="F166" s="155" t="s">
        <v>610</v>
      </c>
      <c r="G166" s="156" t="s">
        <v>585</v>
      </c>
      <c r="H166" s="178"/>
      <c r="I166" s="158"/>
      <c r="J166" s="151">
        <v>0</v>
      </c>
      <c r="K166" s="160"/>
      <c r="L166" s="30"/>
      <c r="M166" s="161" t="s">
        <v>1</v>
      </c>
      <c r="N166" s="162" t="s">
        <v>35</v>
      </c>
      <c r="O166" s="58"/>
      <c r="P166" s="163">
        <f t="shared" si="0"/>
        <v>0</v>
      </c>
      <c r="Q166" s="163">
        <v>0</v>
      </c>
      <c r="R166" s="163">
        <f t="shared" si="1"/>
        <v>0</v>
      </c>
      <c r="S166" s="163">
        <v>0</v>
      </c>
      <c r="T166" s="164">
        <f t="shared" si="2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5" t="s">
        <v>213</v>
      </c>
      <c r="AT166" s="165" t="s">
        <v>181</v>
      </c>
      <c r="AU166" s="165" t="s">
        <v>82</v>
      </c>
      <c r="AY166" s="14" t="s">
        <v>179</v>
      </c>
      <c r="BE166" s="166">
        <f t="shared" si="3"/>
        <v>0</v>
      </c>
      <c r="BF166" s="166">
        <f t="shared" si="4"/>
        <v>0</v>
      </c>
      <c r="BG166" s="166">
        <f t="shared" si="5"/>
        <v>0</v>
      </c>
      <c r="BH166" s="166">
        <f t="shared" si="6"/>
        <v>0</v>
      </c>
      <c r="BI166" s="166">
        <f t="shared" si="7"/>
        <v>0</v>
      </c>
      <c r="BJ166" s="14" t="s">
        <v>82</v>
      </c>
      <c r="BK166" s="166">
        <f t="shared" si="8"/>
        <v>0</v>
      </c>
      <c r="BL166" s="14" t="s">
        <v>213</v>
      </c>
      <c r="BM166" s="165" t="s">
        <v>283</v>
      </c>
    </row>
    <row r="167" spans="1:65" s="12" customFormat="1" ht="22.9" customHeight="1">
      <c r="B167" s="139"/>
      <c r="D167" s="140" t="s">
        <v>68</v>
      </c>
      <c r="E167" s="150" t="s">
        <v>2172</v>
      </c>
      <c r="F167" s="150" t="s">
        <v>2173</v>
      </c>
      <c r="I167" s="142"/>
      <c r="J167" s="151">
        <v>0</v>
      </c>
      <c r="L167" s="139"/>
      <c r="M167" s="144"/>
      <c r="N167" s="145"/>
      <c r="O167" s="145"/>
      <c r="P167" s="146">
        <f>SUM(P168:P250)</f>
        <v>0</v>
      </c>
      <c r="Q167" s="145"/>
      <c r="R167" s="146">
        <f>SUM(R168:R250)</f>
        <v>36.641950000000023</v>
      </c>
      <c r="S167" s="145"/>
      <c r="T167" s="147">
        <f>SUM(T168:T250)</f>
        <v>0</v>
      </c>
      <c r="AR167" s="140" t="s">
        <v>82</v>
      </c>
      <c r="AT167" s="148" t="s">
        <v>68</v>
      </c>
      <c r="AU167" s="148" t="s">
        <v>76</v>
      </c>
      <c r="AY167" s="140" t="s">
        <v>179</v>
      </c>
      <c r="BK167" s="149">
        <f>SUM(BK168:BK250)</f>
        <v>0</v>
      </c>
    </row>
    <row r="168" spans="1:65" s="2" customFormat="1" ht="24.2" customHeight="1">
      <c r="A168" s="29"/>
      <c r="B168" s="152"/>
      <c r="C168" s="153" t="s">
        <v>235</v>
      </c>
      <c r="D168" s="153" t="s">
        <v>181</v>
      </c>
      <c r="E168" s="154" t="s">
        <v>2174</v>
      </c>
      <c r="F168" s="155" t="s">
        <v>2175</v>
      </c>
      <c r="G168" s="156" t="s">
        <v>217</v>
      </c>
      <c r="H168" s="157">
        <v>1</v>
      </c>
      <c r="I168" s="158"/>
      <c r="J168" s="151">
        <v>0</v>
      </c>
      <c r="K168" s="160"/>
      <c r="L168" s="30"/>
      <c r="M168" s="161" t="s">
        <v>1</v>
      </c>
      <c r="N168" s="162" t="s">
        <v>35</v>
      </c>
      <c r="O168" s="58"/>
      <c r="P168" s="163">
        <f t="shared" ref="P168:P199" si="9">O168*H168</f>
        <v>0</v>
      </c>
      <c r="Q168" s="163">
        <v>5.9800000000000001E-3</v>
      </c>
      <c r="R168" s="163">
        <f t="shared" ref="R168:R199" si="10">Q168*H168</f>
        <v>5.9800000000000001E-3</v>
      </c>
      <c r="S168" s="163">
        <v>0</v>
      </c>
      <c r="T168" s="164">
        <f t="shared" ref="T168:T199" si="11"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5" t="s">
        <v>213</v>
      </c>
      <c r="AT168" s="165" t="s">
        <v>181</v>
      </c>
      <c r="AU168" s="165" t="s">
        <v>82</v>
      </c>
      <c r="AY168" s="14" t="s">
        <v>179</v>
      </c>
      <c r="BE168" s="166">
        <f t="shared" ref="BE168:BE199" si="12">IF(N168="základná",J168,0)</f>
        <v>0</v>
      </c>
      <c r="BF168" s="166">
        <f t="shared" ref="BF168:BF199" si="13">IF(N168="znížená",J168,0)</f>
        <v>0</v>
      </c>
      <c r="BG168" s="166">
        <f t="shared" ref="BG168:BG199" si="14">IF(N168="zákl. prenesená",J168,0)</f>
        <v>0</v>
      </c>
      <c r="BH168" s="166">
        <f t="shared" ref="BH168:BH199" si="15">IF(N168="zníž. prenesená",J168,0)</f>
        <v>0</v>
      </c>
      <c r="BI168" s="166">
        <f t="shared" ref="BI168:BI199" si="16">IF(N168="nulová",J168,0)</f>
        <v>0</v>
      </c>
      <c r="BJ168" s="14" t="s">
        <v>82</v>
      </c>
      <c r="BK168" s="166">
        <f t="shared" ref="BK168:BK199" si="17">ROUND(I168*H168,2)</f>
        <v>0</v>
      </c>
      <c r="BL168" s="14" t="s">
        <v>213</v>
      </c>
      <c r="BM168" s="165" t="s">
        <v>286</v>
      </c>
    </row>
    <row r="169" spans="1:65" s="2" customFormat="1" ht="24.2" customHeight="1">
      <c r="A169" s="29"/>
      <c r="B169" s="152"/>
      <c r="C169" s="153" t="s">
        <v>287</v>
      </c>
      <c r="D169" s="153" t="s">
        <v>181</v>
      </c>
      <c r="E169" s="154" t="s">
        <v>2176</v>
      </c>
      <c r="F169" s="155" t="s">
        <v>2177</v>
      </c>
      <c r="G169" s="156" t="s">
        <v>217</v>
      </c>
      <c r="H169" s="157">
        <v>1</v>
      </c>
      <c r="I169" s="158"/>
      <c r="J169" s="151">
        <v>0</v>
      </c>
      <c r="K169" s="160"/>
      <c r="L169" s="30"/>
      <c r="M169" s="161" t="s">
        <v>1</v>
      </c>
      <c r="N169" s="162" t="s">
        <v>35</v>
      </c>
      <c r="O169" s="58"/>
      <c r="P169" s="163">
        <f t="shared" si="9"/>
        <v>0</v>
      </c>
      <c r="Q169" s="163">
        <v>5.9800000000000001E-3</v>
      </c>
      <c r="R169" s="163">
        <f t="shared" si="10"/>
        <v>5.9800000000000001E-3</v>
      </c>
      <c r="S169" s="163">
        <v>0</v>
      </c>
      <c r="T169" s="164">
        <f t="shared" si="11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5" t="s">
        <v>213</v>
      </c>
      <c r="AT169" s="165" t="s">
        <v>181</v>
      </c>
      <c r="AU169" s="165" t="s">
        <v>82</v>
      </c>
      <c r="AY169" s="14" t="s">
        <v>179</v>
      </c>
      <c r="BE169" s="166">
        <f t="shared" si="12"/>
        <v>0</v>
      </c>
      <c r="BF169" s="166">
        <f t="shared" si="13"/>
        <v>0</v>
      </c>
      <c r="BG169" s="166">
        <f t="shared" si="14"/>
        <v>0</v>
      </c>
      <c r="BH169" s="166">
        <f t="shared" si="15"/>
        <v>0</v>
      </c>
      <c r="BI169" s="166">
        <f t="shared" si="16"/>
        <v>0</v>
      </c>
      <c r="BJ169" s="14" t="s">
        <v>82</v>
      </c>
      <c r="BK169" s="166">
        <f t="shared" si="17"/>
        <v>0</v>
      </c>
      <c r="BL169" s="14" t="s">
        <v>213</v>
      </c>
      <c r="BM169" s="165" t="s">
        <v>290</v>
      </c>
    </row>
    <row r="170" spans="1:65" s="2" customFormat="1" ht="33" customHeight="1">
      <c r="A170" s="29"/>
      <c r="B170" s="152"/>
      <c r="C170" s="153" t="s">
        <v>239</v>
      </c>
      <c r="D170" s="153" t="s">
        <v>181</v>
      </c>
      <c r="E170" s="154" t="s">
        <v>2178</v>
      </c>
      <c r="F170" s="155" t="s">
        <v>2179</v>
      </c>
      <c r="G170" s="156" t="s">
        <v>217</v>
      </c>
      <c r="H170" s="157">
        <v>2</v>
      </c>
      <c r="I170" s="158"/>
      <c r="J170" s="151">
        <v>0</v>
      </c>
      <c r="K170" s="160"/>
      <c r="L170" s="30"/>
      <c r="M170" s="161" t="s">
        <v>1</v>
      </c>
      <c r="N170" s="162" t="s">
        <v>35</v>
      </c>
      <c r="O170" s="58"/>
      <c r="P170" s="163">
        <f t="shared" si="9"/>
        <v>0</v>
      </c>
      <c r="Q170" s="163">
        <v>8.9599999999999992E-3</v>
      </c>
      <c r="R170" s="163">
        <f t="shared" si="10"/>
        <v>1.7919999999999998E-2</v>
      </c>
      <c r="S170" s="163">
        <v>0</v>
      </c>
      <c r="T170" s="164">
        <f t="shared" si="11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5" t="s">
        <v>213</v>
      </c>
      <c r="AT170" s="165" t="s">
        <v>181</v>
      </c>
      <c r="AU170" s="165" t="s">
        <v>82</v>
      </c>
      <c r="AY170" s="14" t="s">
        <v>179</v>
      </c>
      <c r="BE170" s="166">
        <f t="shared" si="12"/>
        <v>0</v>
      </c>
      <c r="BF170" s="166">
        <f t="shared" si="13"/>
        <v>0</v>
      </c>
      <c r="BG170" s="166">
        <f t="shared" si="14"/>
        <v>0</v>
      </c>
      <c r="BH170" s="166">
        <f t="shared" si="15"/>
        <v>0</v>
      </c>
      <c r="BI170" s="166">
        <f t="shared" si="16"/>
        <v>0</v>
      </c>
      <c r="BJ170" s="14" t="s">
        <v>82</v>
      </c>
      <c r="BK170" s="166">
        <f t="shared" si="17"/>
        <v>0</v>
      </c>
      <c r="BL170" s="14" t="s">
        <v>213</v>
      </c>
      <c r="BM170" s="165" t="s">
        <v>294</v>
      </c>
    </row>
    <row r="171" spans="1:65" s="2" customFormat="1" ht="37.9" customHeight="1">
      <c r="A171" s="29"/>
      <c r="B171" s="152"/>
      <c r="C171" s="153" t="s">
        <v>295</v>
      </c>
      <c r="D171" s="153" t="s">
        <v>181</v>
      </c>
      <c r="E171" s="154" t="s">
        <v>2180</v>
      </c>
      <c r="F171" s="155" t="s">
        <v>2181</v>
      </c>
      <c r="G171" s="156" t="s">
        <v>217</v>
      </c>
      <c r="H171" s="157">
        <v>2</v>
      </c>
      <c r="I171" s="158"/>
      <c r="J171" s="151">
        <v>0</v>
      </c>
      <c r="K171" s="160"/>
      <c r="L171" s="30"/>
      <c r="M171" s="161" t="s">
        <v>1</v>
      </c>
      <c r="N171" s="162" t="s">
        <v>35</v>
      </c>
      <c r="O171" s="58"/>
      <c r="P171" s="163">
        <f t="shared" si="9"/>
        <v>0</v>
      </c>
      <c r="Q171" s="163">
        <v>8.9599999999999992E-3</v>
      </c>
      <c r="R171" s="163">
        <f t="shared" si="10"/>
        <v>1.7919999999999998E-2</v>
      </c>
      <c r="S171" s="163">
        <v>0</v>
      </c>
      <c r="T171" s="164">
        <f t="shared" si="11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5" t="s">
        <v>213</v>
      </c>
      <c r="AT171" s="165" t="s">
        <v>181</v>
      </c>
      <c r="AU171" s="165" t="s">
        <v>82</v>
      </c>
      <c r="AY171" s="14" t="s">
        <v>179</v>
      </c>
      <c r="BE171" s="166">
        <f t="shared" si="12"/>
        <v>0</v>
      </c>
      <c r="BF171" s="166">
        <f t="shared" si="13"/>
        <v>0</v>
      </c>
      <c r="BG171" s="166">
        <f t="shared" si="14"/>
        <v>0</v>
      </c>
      <c r="BH171" s="166">
        <f t="shared" si="15"/>
        <v>0</v>
      </c>
      <c r="BI171" s="166">
        <f t="shared" si="16"/>
        <v>0</v>
      </c>
      <c r="BJ171" s="14" t="s">
        <v>82</v>
      </c>
      <c r="BK171" s="166">
        <f t="shared" si="17"/>
        <v>0</v>
      </c>
      <c r="BL171" s="14" t="s">
        <v>213</v>
      </c>
      <c r="BM171" s="165" t="s">
        <v>298</v>
      </c>
    </row>
    <row r="172" spans="1:65" s="2" customFormat="1" ht="24.2" customHeight="1">
      <c r="A172" s="29"/>
      <c r="B172" s="152"/>
      <c r="C172" s="153" t="s">
        <v>242</v>
      </c>
      <c r="D172" s="153" t="s">
        <v>181</v>
      </c>
      <c r="E172" s="154" t="s">
        <v>2182</v>
      </c>
      <c r="F172" s="155" t="s">
        <v>2183</v>
      </c>
      <c r="G172" s="156" t="s">
        <v>217</v>
      </c>
      <c r="H172" s="157">
        <v>1</v>
      </c>
      <c r="I172" s="158"/>
      <c r="J172" s="151">
        <v>0</v>
      </c>
      <c r="K172" s="160"/>
      <c r="L172" s="30"/>
      <c r="M172" s="161" t="s">
        <v>1</v>
      </c>
      <c r="N172" s="162" t="s">
        <v>35</v>
      </c>
      <c r="O172" s="58"/>
      <c r="P172" s="163">
        <f t="shared" si="9"/>
        <v>0</v>
      </c>
      <c r="Q172" s="163">
        <v>1.524E-2</v>
      </c>
      <c r="R172" s="163">
        <f t="shared" si="10"/>
        <v>1.524E-2</v>
      </c>
      <c r="S172" s="163">
        <v>0</v>
      </c>
      <c r="T172" s="164">
        <f t="shared" si="11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5" t="s">
        <v>213</v>
      </c>
      <c r="AT172" s="165" t="s">
        <v>181</v>
      </c>
      <c r="AU172" s="165" t="s">
        <v>82</v>
      </c>
      <c r="AY172" s="14" t="s">
        <v>179</v>
      </c>
      <c r="BE172" s="166">
        <f t="shared" si="12"/>
        <v>0</v>
      </c>
      <c r="BF172" s="166">
        <f t="shared" si="13"/>
        <v>0</v>
      </c>
      <c r="BG172" s="166">
        <f t="shared" si="14"/>
        <v>0</v>
      </c>
      <c r="BH172" s="166">
        <f t="shared" si="15"/>
        <v>0</v>
      </c>
      <c r="BI172" s="166">
        <f t="shared" si="16"/>
        <v>0</v>
      </c>
      <c r="BJ172" s="14" t="s">
        <v>82</v>
      </c>
      <c r="BK172" s="166">
        <f t="shared" si="17"/>
        <v>0</v>
      </c>
      <c r="BL172" s="14" t="s">
        <v>213</v>
      </c>
      <c r="BM172" s="165" t="s">
        <v>301</v>
      </c>
    </row>
    <row r="173" spans="1:65" s="2" customFormat="1" ht="24.2" customHeight="1">
      <c r="A173" s="29"/>
      <c r="B173" s="152"/>
      <c r="C173" s="153" t="s">
        <v>302</v>
      </c>
      <c r="D173" s="153" t="s">
        <v>181</v>
      </c>
      <c r="E173" s="154" t="s">
        <v>2184</v>
      </c>
      <c r="F173" s="155" t="s">
        <v>2185</v>
      </c>
      <c r="G173" s="156" t="s">
        <v>217</v>
      </c>
      <c r="H173" s="157">
        <v>2</v>
      </c>
      <c r="I173" s="158"/>
      <c r="J173" s="151">
        <v>0</v>
      </c>
      <c r="K173" s="160"/>
      <c r="L173" s="30"/>
      <c r="M173" s="161" t="s">
        <v>1</v>
      </c>
      <c r="N173" s="162" t="s">
        <v>35</v>
      </c>
      <c r="O173" s="58"/>
      <c r="P173" s="163">
        <f t="shared" si="9"/>
        <v>0</v>
      </c>
      <c r="Q173" s="163">
        <v>1.9054999999999999E-2</v>
      </c>
      <c r="R173" s="163">
        <f t="shared" si="10"/>
        <v>3.8109999999999998E-2</v>
      </c>
      <c r="S173" s="163">
        <v>0</v>
      </c>
      <c r="T173" s="164">
        <f t="shared" si="11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5" t="s">
        <v>213</v>
      </c>
      <c r="AT173" s="165" t="s">
        <v>181</v>
      </c>
      <c r="AU173" s="165" t="s">
        <v>82</v>
      </c>
      <c r="AY173" s="14" t="s">
        <v>179</v>
      </c>
      <c r="BE173" s="166">
        <f t="shared" si="12"/>
        <v>0</v>
      </c>
      <c r="BF173" s="166">
        <f t="shared" si="13"/>
        <v>0</v>
      </c>
      <c r="BG173" s="166">
        <f t="shared" si="14"/>
        <v>0</v>
      </c>
      <c r="BH173" s="166">
        <f t="shared" si="15"/>
        <v>0</v>
      </c>
      <c r="BI173" s="166">
        <f t="shared" si="16"/>
        <v>0</v>
      </c>
      <c r="BJ173" s="14" t="s">
        <v>82</v>
      </c>
      <c r="BK173" s="166">
        <f t="shared" si="17"/>
        <v>0</v>
      </c>
      <c r="BL173" s="14" t="s">
        <v>213</v>
      </c>
      <c r="BM173" s="165" t="s">
        <v>305</v>
      </c>
    </row>
    <row r="174" spans="1:65" s="2" customFormat="1" ht="24.2" customHeight="1">
      <c r="A174" s="29"/>
      <c r="B174" s="152"/>
      <c r="C174" s="153" t="s">
        <v>246</v>
      </c>
      <c r="D174" s="153" t="s">
        <v>181</v>
      </c>
      <c r="E174" s="154" t="s">
        <v>2186</v>
      </c>
      <c r="F174" s="155" t="s">
        <v>2187</v>
      </c>
      <c r="G174" s="156" t="s">
        <v>217</v>
      </c>
      <c r="H174" s="157">
        <v>1</v>
      </c>
      <c r="I174" s="158"/>
      <c r="J174" s="151">
        <v>0</v>
      </c>
      <c r="K174" s="160"/>
      <c r="L174" s="30"/>
      <c r="M174" s="161" t="s">
        <v>1</v>
      </c>
      <c r="N174" s="162" t="s">
        <v>35</v>
      </c>
      <c r="O174" s="58"/>
      <c r="P174" s="163">
        <f t="shared" si="9"/>
        <v>0</v>
      </c>
      <c r="Q174" s="163">
        <v>2.1100000000000001E-2</v>
      </c>
      <c r="R174" s="163">
        <f t="shared" si="10"/>
        <v>2.1100000000000001E-2</v>
      </c>
      <c r="S174" s="163">
        <v>0</v>
      </c>
      <c r="T174" s="164">
        <f t="shared" si="11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5" t="s">
        <v>213</v>
      </c>
      <c r="AT174" s="165" t="s">
        <v>181</v>
      </c>
      <c r="AU174" s="165" t="s">
        <v>82</v>
      </c>
      <c r="AY174" s="14" t="s">
        <v>179</v>
      </c>
      <c r="BE174" s="166">
        <f t="shared" si="12"/>
        <v>0</v>
      </c>
      <c r="BF174" s="166">
        <f t="shared" si="13"/>
        <v>0</v>
      </c>
      <c r="BG174" s="166">
        <f t="shared" si="14"/>
        <v>0</v>
      </c>
      <c r="BH174" s="166">
        <f t="shared" si="15"/>
        <v>0</v>
      </c>
      <c r="BI174" s="166">
        <f t="shared" si="16"/>
        <v>0</v>
      </c>
      <c r="BJ174" s="14" t="s">
        <v>82</v>
      </c>
      <c r="BK174" s="166">
        <f t="shared" si="17"/>
        <v>0</v>
      </c>
      <c r="BL174" s="14" t="s">
        <v>213</v>
      </c>
      <c r="BM174" s="165" t="s">
        <v>308</v>
      </c>
    </row>
    <row r="175" spans="1:65" s="2" customFormat="1" ht="24.2" customHeight="1">
      <c r="A175" s="29"/>
      <c r="B175" s="152"/>
      <c r="C175" s="153" t="s">
        <v>309</v>
      </c>
      <c r="D175" s="153" t="s">
        <v>181</v>
      </c>
      <c r="E175" s="154" t="s">
        <v>2188</v>
      </c>
      <c r="F175" s="155" t="s">
        <v>2189</v>
      </c>
      <c r="G175" s="156" t="s">
        <v>217</v>
      </c>
      <c r="H175" s="157">
        <v>2</v>
      </c>
      <c r="I175" s="158"/>
      <c r="J175" s="151">
        <v>0</v>
      </c>
      <c r="K175" s="160"/>
      <c r="L175" s="30"/>
      <c r="M175" s="161" t="s">
        <v>1</v>
      </c>
      <c r="N175" s="162" t="s">
        <v>35</v>
      </c>
      <c r="O175" s="58"/>
      <c r="P175" s="163">
        <f t="shared" si="9"/>
        <v>0</v>
      </c>
      <c r="Q175" s="163">
        <v>3.2140000000000002E-2</v>
      </c>
      <c r="R175" s="163">
        <f t="shared" si="10"/>
        <v>6.4280000000000004E-2</v>
      </c>
      <c r="S175" s="163">
        <v>0</v>
      </c>
      <c r="T175" s="164">
        <f t="shared" si="11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5" t="s">
        <v>213</v>
      </c>
      <c r="AT175" s="165" t="s">
        <v>181</v>
      </c>
      <c r="AU175" s="165" t="s">
        <v>82</v>
      </c>
      <c r="AY175" s="14" t="s">
        <v>179</v>
      </c>
      <c r="BE175" s="166">
        <f t="shared" si="12"/>
        <v>0</v>
      </c>
      <c r="BF175" s="166">
        <f t="shared" si="13"/>
        <v>0</v>
      </c>
      <c r="BG175" s="166">
        <f t="shared" si="14"/>
        <v>0</v>
      </c>
      <c r="BH175" s="166">
        <f t="shared" si="15"/>
        <v>0</v>
      </c>
      <c r="BI175" s="166">
        <f t="shared" si="16"/>
        <v>0</v>
      </c>
      <c r="BJ175" s="14" t="s">
        <v>82</v>
      </c>
      <c r="BK175" s="166">
        <f t="shared" si="17"/>
        <v>0</v>
      </c>
      <c r="BL175" s="14" t="s">
        <v>213</v>
      </c>
      <c r="BM175" s="165" t="s">
        <v>312</v>
      </c>
    </row>
    <row r="176" spans="1:65" s="2" customFormat="1" ht="33" customHeight="1">
      <c r="A176" s="29"/>
      <c r="B176" s="152"/>
      <c r="C176" s="153" t="s">
        <v>250</v>
      </c>
      <c r="D176" s="153" t="s">
        <v>181</v>
      </c>
      <c r="E176" s="154" t="s">
        <v>2190</v>
      </c>
      <c r="F176" s="155" t="s">
        <v>2191</v>
      </c>
      <c r="G176" s="156" t="s">
        <v>217</v>
      </c>
      <c r="H176" s="157">
        <v>3</v>
      </c>
      <c r="I176" s="158"/>
      <c r="J176" s="151">
        <v>0</v>
      </c>
      <c r="K176" s="160"/>
      <c r="L176" s="30"/>
      <c r="M176" s="161" t="s">
        <v>1</v>
      </c>
      <c r="N176" s="162" t="s">
        <v>35</v>
      </c>
      <c r="O176" s="58"/>
      <c r="P176" s="163">
        <f t="shared" si="9"/>
        <v>0</v>
      </c>
      <c r="Q176" s="163">
        <v>2.5999999999999998E-4</v>
      </c>
      <c r="R176" s="163">
        <f t="shared" si="10"/>
        <v>7.7999999999999988E-4</v>
      </c>
      <c r="S176" s="163">
        <v>0</v>
      </c>
      <c r="T176" s="164">
        <f t="shared" si="11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5" t="s">
        <v>213</v>
      </c>
      <c r="AT176" s="165" t="s">
        <v>181</v>
      </c>
      <c r="AU176" s="165" t="s">
        <v>82</v>
      </c>
      <c r="AY176" s="14" t="s">
        <v>179</v>
      </c>
      <c r="BE176" s="166">
        <f t="shared" si="12"/>
        <v>0</v>
      </c>
      <c r="BF176" s="166">
        <f t="shared" si="13"/>
        <v>0</v>
      </c>
      <c r="BG176" s="166">
        <f t="shared" si="14"/>
        <v>0</v>
      </c>
      <c r="BH176" s="166">
        <f t="shared" si="15"/>
        <v>0</v>
      </c>
      <c r="BI176" s="166">
        <f t="shared" si="16"/>
        <v>0</v>
      </c>
      <c r="BJ176" s="14" t="s">
        <v>82</v>
      </c>
      <c r="BK176" s="166">
        <f t="shared" si="17"/>
        <v>0</v>
      </c>
      <c r="BL176" s="14" t="s">
        <v>213</v>
      </c>
      <c r="BM176" s="165" t="s">
        <v>315</v>
      </c>
    </row>
    <row r="177" spans="1:65" s="2" customFormat="1" ht="24.2" customHeight="1">
      <c r="A177" s="29"/>
      <c r="B177" s="152"/>
      <c r="C177" s="153" t="s">
        <v>316</v>
      </c>
      <c r="D177" s="153" t="s">
        <v>181</v>
      </c>
      <c r="E177" s="154" t="s">
        <v>2192</v>
      </c>
      <c r="F177" s="155" t="s">
        <v>2193</v>
      </c>
      <c r="G177" s="156" t="s">
        <v>217</v>
      </c>
      <c r="H177" s="157">
        <v>3</v>
      </c>
      <c r="I177" s="158"/>
      <c r="J177" s="151">
        <v>0</v>
      </c>
      <c r="K177" s="160"/>
      <c r="L177" s="30"/>
      <c r="M177" s="161" t="s">
        <v>1</v>
      </c>
      <c r="N177" s="162" t="s">
        <v>35</v>
      </c>
      <c r="O177" s="58"/>
      <c r="P177" s="163">
        <f t="shared" si="9"/>
        <v>0</v>
      </c>
      <c r="Q177" s="163">
        <v>2.5999999999999998E-4</v>
      </c>
      <c r="R177" s="163">
        <f t="shared" si="10"/>
        <v>7.7999999999999988E-4</v>
      </c>
      <c r="S177" s="163">
        <v>0</v>
      </c>
      <c r="T177" s="164">
        <f t="shared" si="11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5" t="s">
        <v>213</v>
      </c>
      <c r="AT177" s="165" t="s">
        <v>181</v>
      </c>
      <c r="AU177" s="165" t="s">
        <v>82</v>
      </c>
      <c r="AY177" s="14" t="s">
        <v>179</v>
      </c>
      <c r="BE177" s="166">
        <f t="shared" si="12"/>
        <v>0</v>
      </c>
      <c r="BF177" s="166">
        <f t="shared" si="13"/>
        <v>0</v>
      </c>
      <c r="BG177" s="166">
        <f t="shared" si="14"/>
        <v>0</v>
      </c>
      <c r="BH177" s="166">
        <f t="shared" si="15"/>
        <v>0</v>
      </c>
      <c r="BI177" s="166">
        <f t="shared" si="16"/>
        <v>0</v>
      </c>
      <c r="BJ177" s="14" t="s">
        <v>82</v>
      </c>
      <c r="BK177" s="166">
        <f t="shared" si="17"/>
        <v>0</v>
      </c>
      <c r="BL177" s="14" t="s">
        <v>213</v>
      </c>
      <c r="BM177" s="165" t="s">
        <v>319</v>
      </c>
    </row>
    <row r="178" spans="1:65" s="2" customFormat="1" ht="24.2" customHeight="1">
      <c r="A178" s="29"/>
      <c r="B178" s="152"/>
      <c r="C178" s="153" t="s">
        <v>254</v>
      </c>
      <c r="D178" s="153" t="s">
        <v>181</v>
      </c>
      <c r="E178" s="154" t="s">
        <v>2194</v>
      </c>
      <c r="F178" s="155" t="s">
        <v>2195</v>
      </c>
      <c r="G178" s="156" t="s">
        <v>217</v>
      </c>
      <c r="H178" s="157">
        <v>3</v>
      </c>
      <c r="I178" s="158"/>
      <c r="J178" s="151">
        <v>0</v>
      </c>
      <c r="K178" s="160"/>
      <c r="L178" s="30"/>
      <c r="M178" s="161" t="s">
        <v>1</v>
      </c>
      <c r="N178" s="162" t="s">
        <v>35</v>
      </c>
      <c r="O178" s="58"/>
      <c r="P178" s="163">
        <f t="shared" si="9"/>
        <v>0</v>
      </c>
      <c r="Q178" s="163">
        <v>0</v>
      </c>
      <c r="R178" s="163">
        <f t="shared" si="10"/>
        <v>0</v>
      </c>
      <c r="S178" s="163">
        <v>0</v>
      </c>
      <c r="T178" s="164">
        <f t="shared" si="11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5" t="s">
        <v>213</v>
      </c>
      <c r="AT178" s="165" t="s">
        <v>181</v>
      </c>
      <c r="AU178" s="165" t="s">
        <v>82</v>
      </c>
      <c r="AY178" s="14" t="s">
        <v>179</v>
      </c>
      <c r="BE178" s="166">
        <f t="shared" si="12"/>
        <v>0</v>
      </c>
      <c r="BF178" s="166">
        <f t="shared" si="13"/>
        <v>0</v>
      </c>
      <c r="BG178" s="166">
        <f t="shared" si="14"/>
        <v>0</v>
      </c>
      <c r="BH178" s="166">
        <f t="shared" si="15"/>
        <v>0</v>
      </c>
      <c r="BI178" s="166">
        <f t="shared" si="16"/>
        <v>0</v>
      </c>
      <c r="BJ178" s="14" t="s">
        <v>82</v>
      </c>
      <c r="BK178" s="166">
        <f t="shared" si="17"/>
        <v>0</v>
      </c>
      <c r="BL178" s="14" t="s">
        <v>213</v>
      </c>
      <c r="BM178" s="165" t="s">
        <v>322</v>
      </c>
    </row>
    <row r="179" spans="1:65" s="2" customFormat="1" ht="24.2" customHeight="1">
      <c r="A179" s="29"/>
      <c r="B179" s="152"/>
      <c r="C179" s="153" t="s">
        <v>323</v>
      </c>
      <c r="D179" s="153" t="s">
        <v>181</v>
      </c>
      <c r="E179" s="154" t="s">
        <v>2196</v>
      </c>
      <c r="F179" s="155" t="s">
        <v>2197</v>
      </c>
      <c r="G179" s="156" t="s">
        <v>293</v>
      </c>
      <c r="H179" s="157">
        <v>30</v>
      </c>
      <c r="I179" s="158"/>
      <c r="J179" s="151">
        <v>0</v>
      </c>
      <c r="K179" s="160"/>
      <c r="L179" s="30"/>
      <c r="M179" s="161" t="s">
        <v>1</v>
      </c>
      <c r="N179" s="162" t="s">
        <v>35</v>
      </c>
      <c r="O179" s="58"/>
      <c r="P179" s="163">
        <f t="shared" si="9"/>
        <v>0</v>
      </c>
      <c r="Q179" s="163">
        <v>0</v>
      </c>
      <c r="R179" s="163">
        <f t="shared" si="10"/>
        <v>0</v>
      </c>
      <c r="S179" s="163">
        <v>0</v>
      </c>
      <c r="T179" s="164">
        <f t="shared" si="11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5" t="s">
        <v>213</v>
      </c>
      <c r="AT179" s="165" t="s">
        <v>181</v>
      </c>
      <c r="AU179" s="165" t="s">
        <v>82</v>
      </c>
      <c r="AY179" s="14" t="s">
        <v>179</v>
      </c>
      <c r="BE179" s="166">
        <f t="shared" si="12"/>
        <v>0</v>
      </c>
      <c r="BF179" s="166">
        <f t="shared" si="13"/>
        <v>0</v>
      </c>
      <c r="BG179" s="166">
        <f t="shared" si="14"/>
        <v>0</v>
      </c>
      <c r="BH179" s="166">
        <f t="shared" si="15"/>
        <v>0</v>
      </c>
      <c r="BI179" s="166">
        <f t="shared" si="16"/>
        <v>0</v>
      </c>
      <c r="BJ179" s="14" t="s">
        <v>82</v>
      </c>
      <c r="BK179" s="166">
        <f t="shared" si="17"/>
        <v>0</v>
      </c>
      <c r="BL179" s="14" t="s">
        <v>213</v>
      </c>
      <c r="BM179" s="165" t="s">
        <v>326</v>
      </c>
    </row>
    <row r="180" spans="1:65" s="2" customFormat="1" ht="24.2" customHeight="1">
      <c r="A180" s="29"/>
      <c r="B180" s="152"/>
      <c r="C180" s="153" t="s">
        <v>257</v>
      </c>
      <c r="D180" s="153" t="s">
        <v>181</v>
      </c>
      <c r="E180" s="154" t="s">
        <v>2198</v>
      </c>
      <c r="F180" s="155" t="s">
        <v>2199</v>
      </c>
      <c r="G180" s="156" t="s">
        <v>217</v>
      </c>
      <c r="H180" s="157">
        <v>2</v>
      </c>
      <c r="I180" s="158"/>
      <c r="J180" s="151">
        <v>0</v>
      </c>
      <c r="K180" s="160"/>
      <c r="L180" s="30"/>
      <c r="M180" s="161" t="s">
        <v>1</v>
      </c>
      <c r="N180" s="162" t="s">
        <v>35</v>
      </c>
      <c r="O180" s="58"/>
      <c r="P180" s="163">
        <f t="shared" si="9"/>
        <v>0</v>
      </c>
      <c r="Q180" s="163">
        <v>0</v>
      </c>
      <c r="R180" s="163">
        <f t="shared" si="10"/>
        <v>0</v>
      </c>
      <c r="S180" s="163">
        <v>0</v>
      </c>
      <c r="T180" s="164">
        <f t="shared" si="11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5" t="s">
        <v>213</v>
      </c>
      <c r="AT180" s="165" t="s">
        <v>181</v>
      </c>
      <c r="AU180" s="165" t="s">
        <v>82</v>
      </c>
      <c r="AY180" s="14" t="s">
        <v>179</v>
      </c>
      <c r="BE180" s="166">
        <f t="shared" si="12"/>
        <v>0</v>
      </c>
      <c r="BF180" s="166">
        <f t="shared" si="13"/>
        <v>0</v>
      </c>
      <c r="BG180" s="166">
        <f t="shared" si="14"/>
        <v>0</v>
      </c>
      <c r="BH180" s="166">
        <f t="shared" si="15"/>
        <v>0</v>
      </c>
      <c r="BI180" s="166">
        <f t="shared" si="16"/>
        <v>0</v>
      </c>
      <c r="BJ180" s="14" t="s">
        <v>82</v>
      </c>
      <c r="BK180" s="166">
        <f t="shared" si="17"/>
        <v>0</v>
      </c>
      <c r="BL180" s="14" t="s">
        <v>213</v>
      </c>
      <c r="BM180" s="165" t="s">
        <v>329</v>
      </c>
    </row>
    <row r="181" spans="1:65" s="2" customFormat="1" ht="24.2" customHeight="1">
      <c r="A181" s="29"/>
      <c r="B181" s="152"/>
      <c r="C181" s="153" t="s">
        <v>330</v>
      </c>
      <c r="D181" s="153" t="s">
        <v>181</v>
      </c>
      <c r="E181" s="154" t="s">
        <v>2200</v>
      </c>
      <c r="F181" s="155" t="s">
        <v>2201</v>
      </c>
      <c r="G181" s="156" t="s">
        <v>217</v>
      </c>
      <c r="H181" s="157">
        <v>4</v>
      </c>
      <c r="I181" s="158"/>
      <c r="J181" s="151">
        <v>0</v>
      </c>
      <c r="K181" s="160"/>
      <c r="L181" s="30"/>
      <c r="M181" s="161" t="s">
        <v>1</v>
      </c>
      <c r="N181" s="162" t="s">
        <v>35</v>
      </c>
      <c r="O181" s="58"/>
      <c r="P181" s="163">
        <f t="shared" si="9"/>
        <v>0</v>
      </c>
      <c r="Q181" s="163">
        <v>0</v>
      </c>
      <c r="R181" s="163">
        <f t="shared" si="10"/>
        <v>0</v>
      </c>
      <c r="S181" s="163">
        <v>0</v>
      </c>
      <c r="T181" s="164">
        <f t="shared" si="11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5" t="s">
        <v>213</v>
      </c>
      <c r="AT181" s="165" t="s">
        <v>181</v>
      </c>
      <c r="AU181" s="165" t="s">
        <v>82</v>
      </c>
      <c r="AY181" s="14" t="s">
        <v>179</v>
      </c>
      <c r="BE181" s="166">
        <f t="shared" si="12"/>
        <v>0</v>
      </c>
      <c r="BF181" s="166">
        <f t="shared" si="13"/>
        <v>0</v>
      </c>
      <c r="BG181" s="166">
        <f t="shared" si="14"/>
        <v>0</v>
      </c>
      <c r="BH181" s="166">
        <f t="shared" si="15"/>
        <v>0</v>
      </c>
      <c r="BI181" s="166">
        <f t="shared" si="16"/>
        <v>0</v>
      </c>
      <c r="BJ181" s="14" t="s">
        <v>82</v>
      </c>
      <c r="BK181" s="166">
        <f t="shared" si="17"/>
        <v>0</v>
      </c>
      <c r="BL181" s="14" t="s">
        <v>213</v>
      </c>
      <c r="BM181" s="165" t="s">
        <v>333</v>
      </c>
    </row>
    <row r="182" spans="1:65" s="2" customFormat="1" ht="24.2" customHeight="1">
      <c r="A182" s="29"/>
      <c r="B182" s="152"/>
      <c r="C182" s="153" t="s">
        <v>261</v>
      </c>
      <c r="D182" s="153" t="s">
        <v>181</v>
      </c>
      <c r="E182" s="154" t="s">
        <v>2202</v>
      </c>
      <c r="F182" s="155" t="s">
        <v>2203</v>
      </c>
      <c r="G182" s="156" t="s">
        <v>217</v>
      </c>
      <c r="H182" s="157">
        <v>3</v>
      </c>
      <c r="I182" s="158"/>
      <c r="J182" s="151">
        <v>0</v>
      </c>
      <c r="K182" s="160"/>
      <c r="L182" s="30"/>
      <c r="M182" s="161" t="s">
        <v>1</v>
      </c>
      <c r="N182" s="162" t="s">
        <v>35</v>
      </c>
      <c r="O182" s="58"/>
      <c r="P182" s="163">
        <f t="shared" si="9"/>
        <v>0</v>
      </c>
      <c r="Q182" s="163">
        <v>0</v>
      </c>
      <c r="R182" s="163">
        <f t="shared" si="10"/>
        <v>0</v>
      </c>
      <c r="S182" s="163">
        <v>0</v>
      </c>
      <c r="T182" s="164">
        <f t="shared" si="11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65" t="s">
        <v>213</v>
      </c>
      <c r="AT182" s="165" t="s">
        <v>181</v>
      </c>
      <c r="AU182" s="165" t="s">
        <v>82</v>
      </c>
      <c r="AY182" s="14" t="s">
        <v>179</v>
      </c>
      <c r="BE182" s="166">
        <f t="shared" si="12"/>
        <v>0</v>
      </c>
      <c r="BF182" s="166">
        <f t="shared" si="13"/>
        <v>0</v>
      </c>
      <c r="BG182" s="166">
        <f t="shared" si="14"/>
        <v>0</v>
      </c>
      <c r="BH182" s="166">
        <f t="shared" si="15"/>
        <v>0</v>
      </c>
      <c r="BI182" s="166">
        <f t="shared" si="16"/>
        <v>0</v>
      </c>
      <c r="BJ182" s="14" t="s">
        <v>82</v>
      </c>
      <c r="BK182" s="166">
        <f t="shared" si="17"/>
        <v>0</v>
      </c>
      <c r="BL182" s="14" t="s">
        <v>213</v>
      </c>
      <c r="BM182" s="165" t="s">
        <v>336</v>
      </c>
    </row>
    <row r="183" spans="1:65" s="2" customFormat="1" ht="24.2" customHeight="1">
      <c r="A183" s="29"/>
      <c r="B183" s="152"/>
      <c r="C183" s="153" t="s">
        <v>337</v>
      </c>
      <c r="D183" s="153" t="s">
        <v>181</v>
      </c>
      <c r="E183" s="154" t="s">
        <v>2204</v>
      </c>
      <c r="F183" s="155" t="s">
        <v>2205</v>
      </c>
      <c r="G183" s="156" t="s">
        <v>217</v>
      </c>
      <c r="H183" s="157">
        <v>3</v>
      </c>
      <c r="I183" s="158"/>
      <c r="J183" s="151">
        <v>0</v>
      </c>
      <c r="K183" s="160"/>
      <c r="L183" s="30"/>
      <c r="M183" s="161" t="s">
        <v>1</v>
      </c>
      <c r="N183" s="162" t="s">
        <v>35</v>
      </c>
      <c r="O183" s="58"/>
      <c r="P183" s="163">
        <f t="shared" si="9"/>
        <v>0</v>
      </c>
      <c r="Q183" s="163">
        <v>8.9899999999999997E-3</v>
      </c>
      <c r="R183" s="163">
        <f t="shared" si="10"/>
        <v>2.6970000000000001E-2</v>
      </c>
      <c r="S183" s="163">
        <v>0</v>
      </c>
      <c r="T183" s="164">
        <f t="shared" si="11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5" t="s">
        <v>213</v>
      </c>
      <c r="AT183" s="165" t="s">
        <v>181</v>
      </c>
      <c r="AU183" s="165" t="s">
        <v>82</v>
      </c>
      <c r="AY183" s="14" t="s">
        <v>179</v>
      </c>
      <c r="BE183" s="166">
        <f t="shared" si="12"/>
        <v>0</v>
      </c>
      <c r="BF183" s="166">
        <f t="shared" si="13"/>
        <v>0</v>
      </c>
      <c r="BG183" s="166">
        <f t="shared" si="14"/>
        <v>0</v>
      </c>
      <c r="BH183" s="166">
        <f t="shared" si="15"/>
        <v>0</v>
      </c>
      <c r="BI183" s="166">
        <f t="shared" si="16"/>
        <v>0</v>
      </c>
      <c r="BJ183" s="14" t="s">
        <v>82</v>
      </c>
      <c r="BK183" s="166">
        <f t="shared" si="17"/>
        <v>0</v>
      </c>
      <c r="BL183" s="14" t="s">
        <v>213</v>
      </c>
      <c r="BM183" s="165" t="s">
        <v>340</v>
      </c>
    </row>
    <row r="184" spans="1:65" s="2" customFormat="1" ht="37.9" customHeight="1">
      <c r="A184" s="29"/>
      <c r="B184" s="152"/>
      <c r="C184" s="167" t="s">
        <v>265</v>
      </c>
      <c r="D184" s="167" t="s">
        <v>202</v>
      </c>
      <c r="E184" s="168" t="s">
        <v>2206</v>
      </c>
      <c r="F184" s="338" t="s">
        <v>3431</v>
      </c>
      <c r="G184" s="170" t="s">
        <v>217</v>
      </c>
      <c r="H184" s="171">
        <v>3</v>
      </c>
      <c r="I184" s="172"/>
      <c r="J184" s="151">
        <v>0</v>
      </c>
      <c r="K184" s="174"/>
      <c r="L184" s="175"/>
      <c r="M184" s="176" t="s">
        <v>1</v>
      </c>
      <c r="N184" s="177" t="s">
        <v>35</v>
      </c>
      <c r="O184" s="58"/>
      <c r="P184" s="163">
        <f t="shared" si="9"/>
        <v>0</v>
      </c>
      <c r="Q184" s="163">
        <v>0.26500000000000001</v>
      </c>
      <c r="R184" s="163">
        <f t="shared" si="10"/>
        <v>0.79500000000000004</v>
      </c>
      <c r="S184" s="163">
        <v>0</v>
      </c>
      <c r="T184" s="164">
        <f t="shared" si="11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5" t="s">
        <v>242</v>
      </c>
      <c r="AT184" s="165" t="s">
        <v>202</v>
      </c>
      <c r="AU184" s="165" t="s">
        <v>82</v>
      </c>
      <c r="AY184" s="14" t="s">
        <v>179</v>
      </c>
      <c r="BE184" s="166">
        <f t="shared" si="12"/>
        <v>0</v>
      </c>
      <c r="BF184" s="166">
        <f t="shared" si="13"/>
        <v>0</v>
      </c>
      <c r="BG184" s="166">
        <f t="shared" si="14"/>
        <v>0</v>
      </c>
      <c r="BH184" s="166">
        <f t="shared" si="15"/>
        <v>0</v>
      </c>
      <c r="BI184" s="166">
        <f t="shared" si="16"/>
        <v>0</v>
      </c>
      <c r="BJ184" s="14" t="s">
        <v>82</v>
      </c>
      <c r="BK184" s="166">
        <f t="shared" si="17"/>
        <v>0</v>
      </c>
      <c r="BL184" s="14" t="s">
        <v>213</v>
      </c>
      <c r="BM184" s="165" t="s">
        <v>343</v>
      </c>
    </row>
    <row r="185" spans="1:65" s="2" customFormat="1" ht="37.9" customHeight="1">
      <c r="A185" s="29"/>
      <c r="B185" s="152"/>
      <c r="C185" s="167" t="s">
        <v>344</v>
      </c>
      <c r="D185" s="167" t="s">
        <v>202</v>
      </c>
      <c r="E185" s="168" t="s">
        <v>2207</v>
      </c>
      <c r="F185" s="338" t="s">
        <v>3432</v>
      </c>
      <c r="G185" s="170" t="s">
        <v>217</v>
      </c>
      <c r="H185" s="171">
        <v>3</v>
      </c>
      <c r="I185" s="172"/>
      <c r="J185" s="151">
        <v>0</v>
      </c>
      <c r="K185" s="174"/>
      <c r="L185" s="175"/>
      <c r="M185" s="176" t="s">
        <v>1</v>
      </c>
      <c r="N185" s="177" t="s">
        <v>35</v>
      </c>
      <c r="O185" s="58"/>
      <c r="P185" s="163">
        <f t="shared" si="9"/>
        <v>0</v>
      </c>
      <c r="Q185" s="163">
        <v>0.26500000000000001</v>
      </c>
      <c r="R185" s="163">
        <f t="shared" si="10"/>
        <v>0.79500000000000004</v>
      </c>
      <c r="S185" s="163">
        <v>0</v>
      </c>
      <c r="T185" s="164">
        <f t="shared" si="11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5" t="s">
        <v>242</v>
      </c>
      <c r="AT185" s="165" t="s">
        <v>202</v>
      </c>
      <c r="AU185" s="165" t="s">
        <v>82</v>
      </c>
      <c r="AY185" s="14" t="s">
        <v>179</v>
      </c>
      <c r="BE185" s="166">
        <f t="shared" si="12"/>
        <v>0</v>
      </c>
      <c r="BF185" s="166">
        <f t="shared" si="13"/>
        <v>0</v>
      </c>
      <c r="BG185" s="166">
        <f t="shared" si="14"/>
        <v>0</v>
      </c>
      <c r="BH185" s="166">
        <f t="shared" si="15"/>
        <v>0</v>
      </c>
      <c r="BI185" s="166">
        <f t="shared" si="16"/>
        <v>0</v>
      </c>
      <c r="BJ185" s="14" t="s">
        <v>82</v>
      </c>
      <c r="BK185" s="166">
        <f t="shared" si="17"/>
        <v>0</v>
      </c>
      <c r="BL185" s="14" t="s">
        <v>213</v>
      </c>
      <c r="BM185" s="165" t="s">
        <v>354</v>
      </c>
    </row>
    <row r="186" spans="1:65" s="2" customFormat="1" ht="16.5" customHeight="1">
      <c r="A186" s="29"/>
      <c r="B186" s="152"/>
      <c r="C186" s="167" t="s">
        <v>268</v>
      </c>
      <c r="D186" s="167" t="s">
        <v>202</v>
      </c>
      <c r="E186" s="168" t="s">
        <v>2208</v>
      </c>
      <c r="F186" s="169" t="s">
        <v>2209</v>
      </c>
      <c r="G186" s="170" t="s">
        <v>217</v>
      </c>
      <c r="H186" s="171">
        <v>3</v>
      </c>
      <c r="I186" s="172"/>
      <c r="J186" s="151">
        <v>0</v>
      </c>
      <c r="K186" s="174"/>
      <c r="L186" s="175"/>
      <c r="M186" s="176" t="s">
        <v>1</v>
      </c>
      <c r="N186" s="177" t="s">
        <v>35</v>
      </c>
      <c r="O186" s="58"/>
      <c r="P186" s="163">
        <f t="shared" si="9"/>
        <v>0</v>
      </c>
      <c r="Q186" s="163">
        <v>0.26500000000000001</v>
      </c>
      <c r="R186" s="163">
        <f t="shared" si="10"/>
        <v>0.79500000000000004</v>
      </c>
      <c r="S186" s="163">
        <v>0</v>
      </c>
      <c r="T186" s="164">
        <f t="shared" si="11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5" t="s">
        <v>242</v>
      </c>
      <c r="AT186" s="165" t="s">
        <v>202</v>
      </c>
      <c r="AU186" s="165" t="s">
        <v>82</v>
      </c>
      <c r="AY186" s="14" t="s">
        <v>179</v>
      </c>
      <c r="BE186" s="166">
        <f t="shared" si="12"/>
        <v>0</v>
      </c>
      <c r="BF186" s="166">
        <f t="shared" si="13"/>
        <v>0</v>
      </c>
      <c r="BG186" s="166">
        <f t="shared" si="14"/>
        <v>0</v>
      </c>
      <c r="BH186" s="166">
        <f t="shared" si="15"/>
        <v>0</v>
      </c>
      <c r="BI186" s="166">
        <f t="shared" si="16"/>
        <v>0</v>
      </c>
      <c r="BJ186" s="14" t="s">
        <v>82</v>
      </c>
      <c r="BK186" s="166">
        <f t="shared" si="17"/>
        <v>0</v>
      </c>
      <c r="BL186" s="14" t="s">
        <v>213</v>
      </c>
      <c r="BM186" s="165" t="s">
        <v>357</v>
      </c>
    </row>
    <row r="187" spans="1:65" s="2" customFormat="1" ht="16.5" customHeight="1">
      <c r="A187" s="29"/>
      <c r="B187" s="152"/>
      <c r="C187" s="167" t="s">
        <v>351</v>
      </c>
      <c r="D187" s="167" t="s">
        <v>202</v>
      </c>
      <c r="E187" s="168" t="s">
        <v>2210</v>
      </c>
      <c r="F187" s="169" t="s">
        <v>2211</v>
      </c>
      <c r="G187" s="170" t="s">
        <v>217</v>
      </c>
      <c r="H187" s="171">
        <v>3</v>
      </c>
      <c r="I187" s="172"/>
      <c r="J187" s="151">
        <v>0</v>
      </c>
      <c r="K187" s="174"/>
      <c r="L187" s="175"/>
      <c r="M187" s="176" t="s">
        <v>1</v>
      </c>
      <c r="N187" s="177" t="s">
        <v>35</v>
      </c>
      <c r="O187" s="58"/>
      <c r="P187" s="163">
        <f t="shared" si="9"/>
        <v>0</v>
      </c>
      <c r="Q187" s="163">
        <v>0.26500000000000001</v>
      </c>
      <c r="R187" s="163">
        <f t="shared" si="10"/>
        <v>0.79500000000000004</v>
      </c>
      <c r="S187" s="163">
        <v>0</v>
      </c>
      <c r="T187" s="164">
        <f t="shared" si="11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5" t="s">
        <v>242</v>
      </c>
      <c r="AT187" s="165" t="s">
        <v>202</v>
      </c>
      <c r="AU187" s="165" t="s">
        <v>82</v>
      </c>
      <c r="AY187" s="14" t="s">
        <v>179</v>
      </c>
      <c r="BE187" s="166">
        <f t="shared" si="12"/>
        <v>0</v>
      </c>
      <c r="BF187" s="166">
        <f t="shared" si="13"/>
        <v>0</v>
      </c>
      <c r="BG187" s="166">
        <f t="shared" si="14"/>
        <v>0</v>
      </c>
      <c r="BH187" s="166">
        <f t="shared" si="15"/>
        <v>0</v>
      </c>
      <c r="BI187" s="166">
        <f t="shared" si="16"/>
        <v>0</v>
      </c>
      <c r="BJ187" s="14" t="s">
        <v>82</v>
      </c>
      <c r="BK187" s="166">
        <f t="shared" si="17"/>
        <v>0</v>
      </c>
      <c r="BL187" s="14" t="s">
        <v>213</v>
      </c>
      <c r="BM187" s="165" t="s">
        <v>361</v>
      </c>
    </row>
    <row r="188" spans="1:65" s="2" customFormat="1" ht="16.5" customHeight="1">
      <c r="A188" s="29"/>
      <c r="B188" s="152"/>
      <c r="C188" s="167" t="s">
        <v>271</v>
      </c>
      <c r="D188" s="167" t="s">
        <v>202</v>
      </c>
      <c r="E188" s="168" t="s">
        <v>2212</v>
      </c>
      <c r="F188" s="169" t="s">
        <v>2213</v>
      </c>
      <c r="G188" s="170" t="s">
        <v>217</v>
      </c>
      <c r="H188" s="171">
        <v>3</v>
      </c>
      <c r="I188" s="172"/>
      <c r="J188" s="151">
        <v>0</v>
      </c>
      <c r="K188" s="174"/>
      <c r="L188" s="175"/>
      <c r="M188" s="176" t="s">
        <v>1</v>
      </c>
      <c r="N188" s="177" t="s">
        <v>35</v>
      </c>
      <c r="O188" s="58"/>
      <c r="P188" s="163">
        <f t="shared" si="9"/>
        <v>0</v>
      </c>
      <c r="Q188" s="163">
        <v>0.26500000000000001</v>
      </c>
      <c r="R188" s="163">
        <f t="shared" si="10"/>
        <v>0.79500000000000004</v>
      </c>
      <c r="S188" s="163">
        <v>0</v>
      </c>
      <c r="T188" s="164">
        <f t="shared" si="11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5" t="s">
        <v>242</v>
      </c>
      <c r="AT188" s="165" t="s">
        <v>202</v>
      </c>
      <c r="AU188" s="165" t="s">
        <v>82</v>
      </c>
      <c r="AY188" s="14" t="s">
        <v>179</v>
      </c>
      <c r="BE188" s="166">
        <f t="shared" si="12"/>
        <v>0</v>
      </c>
      <c r="BF188" s="166">
        <f t="shared" si="13"/>
        <v>0</v>
      </c>
      <c r="BG188" s="166">
        <f t="shared" si="14"/>
        <v>0</v>
      </c>
      <c r="BH188" s="166">
        <f t="shared" si="15"/>
        <v>0</v>
      </c>
      <c r="BI188" s="166">
        <f t="shared" si="16"/>
        <v>0</v>
      </c>
      <c r="BJ188" s="14" t="s">
        <v>82</v>
      </c>
      <c r="BK188" s="166">
        <f t="shared" si="17"/>
        <v>0</v>
      </c>
      <c r="BL188" s="14" t="s">
        <v>213</v>
      </c>
      <c r="BM188" s="165" t="s">
        <v>364</v>
      </c>
    </row>
    <row r="189" spans="1:65" s="2" customFormat="1" ht="24.2" customHeight="1">
      <c r="A189" s="29"/>
      <c r="B189" s="152"/>
      <c r="C189" s="167" t="s">
        <v>358</v>
      </c>
      <c r="D189" s="167" t="s">
        <v>202</v>
      </c>
      <c r="E189" s="168" t="s">
        <v>2214</v>
      </c>
      <c r="F189" s="169" t="s">
        <v>2215</v>
      </c>
      <c r="G189" s="170" t="s">
        <v>217</v>
      </c>
      <c r="H189" s="171">
        <v>3</v>
      </c>
      <c r="I189" s="172"/>
      <c r="J189" s="151">
        <v>0</v>
      </c>
      <c r="K189" s="174"/>
      <c r="L189" s="175"/>
      <c r="M189" s="176" t="s">
        <v>1</v>
      </c>
      <c r="N189" s="177" t="s">
        <v>35</v>
      </c>
      <c r="O189" s="58"/>
      <c r="P189" s="163">
        <f t="shared" si="9"/>
        <v>0</v>
      </c>
      <c r="Q189" s="163">
        <v>0.26500000000000001</v>
      </c>
      <c r="R189" s="163">
        <f t="shared" si="10"/>
        <v>0.79500000000000004</v>
      </c>
      <c r="S189" s="163">
        <v>0</v>
      </c>
      <c r="T189" s="164">
        <f t="shared" si="11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65" t="s">
        <v>242</v>
      </c>
      <c r="AT189" s="165" t="s">
        <v>202</v>
      </c>
      <c r="AU189" s="165" t="s">
        <v>82</v>
      </c>
      <c r="AY189" s="14" t="s">
        <v>179</v>
      </c>
      <c r="BE189" s="166">
        <f t="shared" si="12"/>
        <v>0</v>
      </c>
      <c r="BF189" s="166">
        <f t="shared" si="13"/>
        <v>0</v>
      </c>
      <c r="BG189" s="166">
        <f t="shared" si="14"/>
        <v>0</v>
      </c>
      <c r="BH189" s="166">
        <f t="shared" si="15"/>
        <v>0</v>
      </c>
      <c r="BI189" s="166">
        <f t="shared" si="16"/>
        <v>0</v>
      </c>
      <c r="BJ189" s="14" t="s">
        <v>82</v>
      </c>
      <c r="BK189" s="166">
        <f t="shared" si="17"/>
        <v>0</v>
      </c>
      <c r="BL189" s="14" t="s">
        <v>213</v>
      </c>
      <c r="BM189" s="165" t="s">
        <v>368</v>
      </c>
    </row>
    <row r="190" spans="1:65" s="2" customFormat="1" ht="16.5" customHeight="1">
      <c r="A190" s="29"/>
      <c r="B190" s="152"/>
      <c r="C190" s="167" t="s">
        <v>275</v>
      </c>
      <c r="D190" s="167" t="s">
        <v>202</v>
      </c>
      <c r="E190" s="168" t="s">
        <v>2216</v>
      </c>
      <c r="F190" s="169" t="s">
        <v>2217</v>
      </c>
      <c r="G190" s="170" t="s">
        <v>217</v>
      </c>
      <c r="H190" s="171">
        <v>3</v>
      </c>
      <c r="I190" s="172"/>
      <c r="J190" s="151">
        <v>0</v>
      </c>
      <c r="K190" s="174"/>
      <c r="L190" s="175"/>
      <c r="M190" s="176" t="s">
        <v>1</v>
      </c>
      <c r="N190" s="177" t="s">
        <v>35</v>
      </c>
      <c r="O190" s="58"/>
      <c r="P190" s="163">
        <f t="shared" si="9"/>
        <v>0</v>
      </c>
      <c r="Q190" s="163">
        <v>0.26500000000000001</v>
      </c>
      <c r="R190" s="163">
        <f t="shared" si="10"/>
        <v>0.79500000000000004</v>
      </c>
      <c r="S190" s="163">
        <v>0</v>
      </c>
      <c r="T190" s="164">
        <f t="shared" si="11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65" t="s">
        <v>242</v>
      </c>
      <c r="AT190" s="165" t="s">
        <v>202</v>
      </c>
      <c r="AU190" s="165" t="s">
        <v>82</v>
      </c>
      <c r="AY190" s="14" t="s">
        <v>179</v>
      </c>
      <c r="BE190" s="166">
        <f t="shared" si="12"/>
        <v>0</v>
      </c>
      <c r="BF190" s="166">
        <f t="shared" si="13"/>
        <v>0</v>
      </c>
      <c r="BG190" s="166">
        <f t="shared" si="14"/>
        <v>0</v>
      </c>
      <c r="BH190" s="166">
        <f t="shared" si="15"/>
        <v>0</v>
      </c>
      <c r="BI190" s="166">
        <f t="shared" si="16"/>
        <v>0</v>
      </c>
      <c r="BJ190" s="14" t="s">
        <v>82</v>
      </c>
      <c r="BK190" s="166">
        <f t="shared" si="17"/>
        <v>0</v>
      </c>
      <c r="BL190" s="14" t="s">
        <v>213</v>
      </c>
      <c r="BM190" s="165" t="s">
        <v>371</v>
      </c>
    </row>
    <row r="191" spans="1:65" s="2" customFormat="1" ht="24.2" customHeight="1">
      <c r="A191" s="29"/>
      <c r="B191" s="152"/>
      <c r="C191" s="167" t="s">
        <v>365</v>
      </c>
      <c r="D191" s="167" t="s">
        <v>202</v>
      </c>
      <c r="E191" s="168" t="s">
        <v>2218</v>
      </c>
      <c r="F191" s="169" t="s">
        <v>2219</v>
      </c>
      <c r="G191" s="170" t="s">
        <v>217</v>
      </c>
      <c r="H191" s="171">
        <v>3</v>
      </c>
      <c r="I191" s="172"/>
      <c r="J191" s="151">
        <v>0</v>
      </c>
      <c r="K191" s="174"/>
      <c r="L191" s="175"/>
      <c r="M191" s="176" t="s">
        <v>1</v>
      </c>
      <c r="N191" s="177" t="s">
        <v>35</v>
      </c>
      <c r="O191" s="58"/>
      <c r="P191" s="163">
        <f t="shared" si="9"/>
        <v>0</v>
      </c>
      <c r="Q191" s="163">
        <v>0.26500000000000001</v>
      </c>
      <c r="R191" s="163">
        <f t="shared" si="10"/>
        <v>0.79500000000000004</v>
      </c>
      <c r="S191" s="163">
        <v>0</v>
      </c>
      <c r="T191" s="164">
        <f t="shared" si="11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65" t="s">
        <v>242</v>
      </c>
      <c r="AT191" s="165" t="s">
        <v>202</v>
      </c>
      <c r="AU191" s="165" t="s">
        <v>82</v>
      </c>
      <c r="AY191" s="14" t="s">
        <v>179</v>
      </c>
      <c r="BE191" s="166">
        <f t="shared" si="12"/>
        <v>0</v>
      </c>
      <c r="BF191" s="166">
        <f t="shared" si="13"/>
        <v>0</v>
      </c>
      <c r="BG191" s="166">
        <f t="shared" si="14"/>
        <v>0</v>
      </c>
      <c r="BH191" s="166">
        <f t="shared" si="15"/>
        <v>0</v>
      </c>
      <c r="BI191" s="166">
        <f t="shared" si="16"/>
        <v>0</v>
      </c>
      <c r="BJ191" s="14" t="s">
        <v>82</v>
      </c>
      <c r="BK191" s="166">
        <f t="shared" si="17"/>
        <v>0</v>
      </c>
      <c r="BL191" s="14" t="s">
        <v>213</v>
      </c>
      <c r="BM191" s="165" t="s">
        <v>375</v>
      </c>
    </row>
    <row r="192" spans="1:65" s="2" customFormat="1" ht="24.2" customHeight="1">
      <c r="A192" s="29"/>
      <c r="B192" s="152"/>
      <c r="C192" s="167" t="s">
        <v>279</v>
      </c>
      <c r="D192" s="167" t="s">
        <v>202</v>
      </c>
      <c r="E192" s="168" t="s">
        <v>2220</v>
      </c>
      <c r="F192" s="169" t="s">
        <v>2221</v>
      </c>
      <c r="G192" s="170" t="s">
        <v>217</v>
      </c>
      <c r="H192" s="171">
        <v>3</v>
      </c>
      <c r="I192" s="172"/>
      <c r="J192" s="151">
        <v>0</v>
      </c>
      <c r="K192" s="174"/>
      <c r="L192" s="175"/>
      <c r="M192" s="176" t="s">
        <v>1</v>
      </c>
      <c r="N192" s="177" t="s">
        <v>35</v>
      </c>
      <c r="O192" s="58"/>
      <c r="P192" s="163">
        <f t="shared" si="9"/>
        <v>0</v>
      </c>
      <c r="Q192" s="163">
        <v>0.26500000000000001</v>
      </c>
      <c r="R192" s="163">
        <f t="shared" si="10"/>
        <v>0.79500000000000004</v>
      </c>
      <c r="S192" s="163">
        <v>0</v>
      </c>
      <c r="T192" s="164">
        <f t="shared" si="11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65" t="s">
        <v>242</v>
      </c>
      <c r="AT192" s="165" t="s">
        <v>202</v>
      </c>
      <c r="AU192" s="165" t="s">
        <v>82</v>
      </c>
      <c r="AY192" s="14" t="s">
        <v>179</v>
      </c>
      <c r="BE192" s="166">
        <f t="shared" si="12"/>
        <v>0</v>
      </c>
      <c r="BF192" s="166">
        <f t="shared" si="13"/>
        <v>0</v>
      </c>
      <c r="BG192" s="166">
        <f t="shared" si="14"/>
        <v>0</v>
      </c>
      <c r="BH192" s="166">
        <f t="shared" si="15"/>
        <v>0</v>
      </c>
      <c r="BI192" s="166">
        <f t="shared" si="16"/>
        <v>0</v>
      </c>
      <c r="BJ192" s="14" t="s">
        <v>82</v>
      </c>
      <c r="BK192" s="166">
        <f t="shared" si="17"/>
        <v>0</v>
      </c>
      <c r="BL192" s="14" t="s">
        <v>213</v>
      </c>
      <c r="BM192" s="165" t="s">
        <v>378</v>
      </c>
    </row>
    <row r="193" spans="1:65" s="2" customFormat="1" ht="21.75" customHeight="1">
      <c r="A193" s="29"/>
      <c r="B193" s="152"/>
      <c r="C193" s="167" t="s">
        <v>372</v>
      </c>
      <c r="D193" s="167" t="s">
        <v>202</v>
      </c>
      <c r="E193" s="168" t="s">
        <v>2222</v>
      </c>
      <c r="F193" s="169" t="s">
        <v>2223</v>
      </c>
      <c r="G193" s="170" t="s">
        <v>217</v>
      </c>
      <c r="H193" s="171">
        <v>3</v>
      </c>
      <c r="I193" s="172"/>
      <c r="J193" s="151">
        <v>0</v>
      </c>
      <c r="K193" s="174"/>
      <c r="L193" s="175"/>
      <c r="M193" s="176" t="s">
        <v>1</v>
      </c>
      <c r="N193" s="177" t="s">
        <v>35</v>
      </c>
      <c r="O193" s="58"/>
      <c r="P193" s="163">
        <f t="shared" si="9"/>
        <v>0</v>
      </c>
      <c r="Q193" s="163">
        <v>0.26500000000000001</v>
      </c>
      <c r="R193" s="163">
        <f t="shared" si="10"/>
        <v>0.79500000000000004</v>
      </c>
      <c r="S193" s="163">
        <v>0</v>
      </c>
      <c r="T193" s="164">
        <f t="shared" si="11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65" t="s">
        <v>242</v>
      </c>
      <c r="AT193" s="165" t="s">
        <v>202</v>
      </c>
      <c r="AU193" s="165" t="s">
        <v>82</v>
      </c>
      <c r="AY193" s="14" t="s">
        <v>179</v>
      </c>
      <c r="BE193" s="166">
        <f t="shared" si="12"/>
        <v>0</v>
      </c>
      <c r="BF193" s="166">
        <f t="shared" si="13"/>
        <v>0</v>
      </c>
      <c r="BG193" s="166">
        <f t="shared" si="14"/>
        <v>0</v>
      </c>
      <c r="BH193" s="166">
        <f t="shared" si="15"/>
        <v>0</v>
      </c>
      <c r="BI193" s="166">
        <f t="shared" si="16"/>
        <v>0</v>
      </c>
      <c r="BJ193" s="14" t="s">
        <v>82</v>
      </c>
      <c r="BK193" s="166">
        <f t="shared" si="17"/>
        <v>0</v>
      </c>
      <c r="BL193" s="14" t="s">
        <v>213</v>
      </c>
      <c r="BM193" s="165" t="s">
        <v>382</v>
      </c>
    </row>
    <row r="194" spans="1:65" s="2" customFormat="1" ht="24.2" customHeight="1">
      <c r="A194" s="29"/>
      <c r="B194" s="152"/>
      <c r="C194" s="153" t="s">
        <v>283</v>
      </c>
      <c r="D194" s="153" t="s">
        <v>181</v>
      </c>
      <c r="E194" s="154" t="s">
        <v>2224</v>
      </c>
      <c r="F194" s="155" t="s">
        <v>2225</v>
      </c>
      <c r="G194" s="156" t="s">
        <v>217</v>
      </c>
      <c r="H194" s="157">
        <v>2</v>
      </c>
      <c r="I194" s="158"/>
      <c r="J194" s="151">
        <v>0</v>
      </c>
      <c r="K194" s="160"/>
      <c r="L194" s="30"/>
      <c r="M194" s="161" t="s">
        <v>1</v>
      </c>
      <c r="N194" s="162" t="s">
        <v>35</v>
      </c>
      <c r="O194" s="58"/>
      <c r="P194" s="163">
        <f t="shared" si="9"/>
        <v>0</v>
      </c>
      <c r="Q194" s="163">
        <v>0</v>
      </c>
      <c r="R194" s="163">
        <f t="shared" si="10"/>
        <v>0</v>
      </c>
      <c r="S194" s="163">
        <v>0</v>
      </c>
      <c r="T194" s="164">
        <f t="shared" si="11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65" t="s">
        <v>213</v>
      </c>
      <c r="AT194" s="165" t="s">
        <v>181</v>
      </c>
      <c r="AU194" s="165" t="s">
        <v>82</v>
      </c>
      <c r="AY194" s="14" t="s">
        <v>179</v>
      </c>
      <c r="BE194" s="166">
        <f t="shared" si="12"/>
        <v>0</v>
      </c>
      <c r="BF194" s="166">
        <f t="shared" si="13"/>
        <v>0</v>
      </c>
      <c r="BG194" s="166">
        <f t="shared" si="14"/>
        <v>0</v>
      </c>
      <c r="BH194" s="166">
        <f t="shared" si="15"/>
        <v>0</v>
      </c>
      <c r="BI194" s="166">
        <f t="shared" si="16"/>
        <v>0</v>
      </c>
      <c r="BJ194" s="14" t="s">
        <v>82</v>
      </c>
      <c r="BK194" s="166">
        <f t="shared" si="17"/>
        <v>0</v>
      </c>
      <c r="BL194" s="14" t="s">
        <v>213</v>
      </c>
      <c r="BM194" s="165" t="s">
        <v>385</v>
      </c>
    </row>
    <row r="195" spans="1:65" s="2" customFormat="1" ht="62.65" customHeight="1">
      <c r="A195" s="29"/>
      <c r="B195" s="152"/>
      <c r="C195" s="167" t="s">
        <v>379</v>
      </c>
      <c r="D195" s="167" t="s">
        <v>202</v>
      </c>
      <c r="E195" s="168" t="s">
        <v>2226</v>
      </c>
      <c r="F195" s="338" t="s">
        <v>3433</v>
      </c>
      <c r="G195" s="170" t="s">
        <v>217</v>
      </c>
      <c r="H195" s="171">
        <v>2</v>
      </c>
      <c r="I195" s="172"/>
      <c r="J195" s="151">
        <v>0</v>
      </c>
      <c r="K195" s="174"/>
      <c r="L195" s="175"/>
      <c r="M195" s="176" t="s">
        <v>1</v>
      </c>
      <c r="N195" s="177" t="s">
        <v>35</v>
      </c>
      <c r="O195" s="58"/>
      <c r="P195" s="163">
        <f t="shared" si="9"/>
        <v>0</v>
      </c>
      <c r="Q195" s="163">
        <v>0.46</v>
      </c>
      <c r="R195" s="163">
        <f t="shared" si="10"/>
        <v>0.92</v>
      </c>
      <c r="S195" s="163">
        <v>0</v>
      </c>
      <c r="T195" s="164">
        <f t="shared" si="11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65" t="s">
        <v>242</v>
      </c>
      <c r="AT195" s="165" t="s">
        <v>202</v>
      </c>
      <c r="AU195" s="165" t="s">
        <v>82</v>
      </c>
      <c r="AY195" s="14" t="s">
        <v>179</v>
      </c>
      <c r="BE195" s="166">
        <f t="shared" si="12"/>
        <v>0</v>
      </c>
      <c r="BF195" s="166">
        <f t="shared" si="13"/>
        <v>0</v>
      </c>
      <c r="BG195" s="166">
        <f t="shared" si="14"/>
        <v>0</v>
      </c>
      <c r="BH195" s="166">
        <f t="shared" si="15"/>
        <v>0</v>
      </c>
      <c r="BI195" s="166">
        <f t="shared" si="16"/>
        <v>0</v>
      </c>
      <c r="BJ195" s="14" t="s">
        <v>82</v>
      </c>
      <c r="BK195" s="166">
        <f t="shared" si="17"/>
        <v>0</v>
      </c>
      <c r="BL195" s="14" t="s">
        <v>213</v>
      </c>
      <c r="BM195" s="165" t="s">
        <v>390</v>
      </c>
    </row>
    <row r="196" spans="1:65" s="2" customFormat="1" ht="44.25" customHeight="1">
      <c r="A196" s="29"/>
      <c r="B196" s="152"/>
      <c r="C196" s="167" t="s">
        <v>286</v>
      </c>
      <c r="D196" s="167" t="s">
        <v>202</v>
      </c>
      <c r="E196" s="168" t="s">
        <v>2227</v>
      </c>
      <c r="F196" s="169" t="s">
        <v>2228</v>
      </c>
      <c r="G196" s="170" t="s">
        <v>217</v>
      </c>
      <c r="H196" s="171">
        <v>2</v>
      </c>
      <c r="I196" s="172"/>
      <c r="J196" s="151">
        <v>0</v>
      </c>
      <c r="K196" s="174"/>
      <c r="L196" s="175"/>
      <c r="M196" s="176" t="s">
        <v>1</v>
      </c>
      <c r="N196" s="177" t="s">
        <v>35</v>
      </c>
      <c r="O196" s="58"/>
      <c r="P196" s="163">
        <f t="shared" si="9"/>
        <v>0</v>
      </c>
      <c r="Q196" s="163">
        <v>0.46</v>
      </c>
      <c r="R196" s="163">
        <f t="shared" si="10"/>
        <v>0.92</v>
      </c>
      <c r="S196" s="163">
        <v>0</v>
      </c>
      <c r="T196" s="164">
        <f t="shared" si="11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65" t="s">
        <v>242</v>
      </c>
      <c r="AT196" s="165" t="s">
        <v>202</v>
      </c>
      <c r="AU196" s="165" t="s">
        <v>82</v>
      </c>
      <c r="AY196" s="14" t="s">
        <v>179</v>
      </c>
      <c r="BE196" s="166">
        <f t="shared" si="12"/>
        <v>0</v>
      </c>
      <c r="BF196" s="166">
        <f t="shared" si="13"/>
        <v>0</v>
      </c>
      <c r="BG196" s="166">
        <f t="shared" si="14"/>
        <v>0</v>
      </c>
      <c r="BH196" s="166">
        <f t="shared" si="15"/>
        <v>0</v>
      </c>
      <c r="BI196" s="166">
        <f t="shared" si="16"/>
        <v>0</v>
      </c>
      <c r="BJ196" s="14" t="s">
        <v>82</v>
      </c>
      <c r="BK196" s="166">
        <f t="shared" si="17"/>
        <v>0</v>
      </c>
      <c r="BL196" s="14" t="s">
        <v>213</v>
      </c>
      <c r="BM196" s="165" t="s">
        <v>393</v>
      </c>
    </row>
    <row r="197" spans="1:65" s="2" customFormat="1" ht="24.2" customHeight="1">
      <c r="A197" s="29"/>
      <c r="B197" s="152"/>
      <c r="C197" s="167" t="s">
        <v>387</v>
      </c>
      <c r="D197" s="167" t="s">
        <v>202</v>
      </c>
      <c r="E197" s="168" t="s">
        <v>2229</v>
      </c>
      <c r="F197" s="169" t="s">
        <v>2230</v>
      </c>
      <c r="G197" s="170" t="s">
        <v>217</v>
      </c>
      <c r="H197" s="171">
        <v>2</v>
      </c>
      <c r="I197" s="172"/>
      <c r="J197" s="151">
        <v>0</v>
      </c>
      <c r="K197" s="174"/>
      <c r="L197" s="175"/>
      <c r="M197" s="176" t="s">
        <v>1</v>
      </c>
      <c r="N197" s="177" t="s">
        <v>35</v>
      </c>
      <c r="O197" s="58"/>
      <c r="P197" s="163">
        <f t="shared" si="9"/>
        <v>0</v>
      </c>
      <c r="Q197" s="163">
        <v>0.46</v>
      </c>
      <c r="R197" s="163">
        <f t="shared" si="10"/>
        <v>0.92</v>
      </c>
      <c r="S197" s="163">
        <v>0</v>
      </c>
      <c r="T197" s="164">
        <f t="shared" si="11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65" t="s">
        <v>242</v>
      </c>
      <c r="AT197" s="165" t="s">
        <v>202</v>
      </c>
      <c r="AU197" s="165" t="s">
        <v>82</v>
      </c>
      <c r="AY197" s="14" t="s">
        <v>179</v>
      </c>
      <c r="BE197" s="166">
        <f t="shared" si="12"/>
        <v>0</v>
      </c>
      <c r="BF197" s="166">
        <f t="shared" si="13"/>
        <v>0</v>
      </c>
      <c r="BG197" s="166">
        <f t="shared" si="14"/>
        <v>0</v>
      </c>
      <c r="BH197" s="166">
        <f t="shared" si="15"/>
        <v>0</v>
      </c>
      <c r="BI197" s="166">
        <f t="shared" si="16"/>
        <v>0</v>
      </c>
      <c r="BJ197" s="14" t="s">
        <v>82</v>
      </c>
      <c r="BK197" s="166">
        <f t="shared" si="17"/>
        <v>0</v>
      </c>
      <c r="BL197" s="14" t="s">
        <v>213</v>
      </c>
      <c r="BM197" s="165" t="s">
        <v>397</v>
      </c>
    </row>
    <row r="198" spans="1:65" s="2" customFormat="1" ht="62.65" customHeight="1">
      <c r="A198" s="29"/>
      <c r="B198" s="152"/>
      <c r="C198" s="167" t="s">
        <v>290</v>
      </c>
      <c r="D198" s="167" t="s">
        <v>202</v>
      </c>
      <c r="E198" s="168" t="s">
        <v>2231</v>
      </c>
      <c r="F198" s="169" t="s">
        <v>2232</v>
      </c>
      <c r="G198" s="170" t="s">
        <v>217</v>
      </c>
      <c r="H198" s="171">
        <v>2</v>
      </c>
      <c r="I198" s="172"/>
      <c r="J198" s="151">
        <v>0</v>
      </c>
      <c r="K198" s="174"/>
      <c r="L198" s="175"/>
      <c r="M198" s="176" t="s">
        <v>1</v>
      </c>
      <c r="N198" s="177" t="s">
        <v>35</v>
      </c>
      <c r="O198" s="58"/>
      <c r="P198" s="163">
        <f t="shared" si="9"/>
        <v>0</v>
      </c>
      <c r="Q198" s="163">
        <v>0.46</v>
      </c>
      <c r="R198" s="163">
        <f t="shared" si="10"/>
        <v>0.92</v>
      </c>
      <c r="S198" s="163">
        <v>0</v>
      </c>
      <c r="T198" s="164">
        <f t="shared" si="11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65" t="s">
        <v>242</v>
      </c>
      <c r="AT198" s="165" t="s">
        <v>202</v>
      </c>
      <c r="AU198" s="165" t="s">
        <v>82</v>
      </c>
      <c r="AY198" s="14" t="s">
        <v>179</v>
      </c>
      <c r="BE198" s="166">
        <f t="shared" si="12"/>
        <v>0</v>
      </c>
      <c r="BF198" s="166">
        <f t="shared" si="13"/>
        <v>0</v>
      </c>
      <c r="BG198" s="166">
        <f t="shared" si="14"/>
        <v>0</v>
      </c>
      <c r="BH198" s="166">
        <f t="shared" si="15"/>
        <v>0</v>
      </c>
      <c r="BI198" s="166">
        <f t="shared" si="16"/>
        <v>0</v>
      </c>
      <c r="BJ198" s="14" t="s">
        <v>82</v>
      </c>
      <c r="BK198" s="166">
        <f t="shared" si="17"/>
        <v>0</v>
      </c>
      <c r="BL198" s="14" t="s">
        <v>213</v>
      </c>
      <c r="BM198" s="165" t="s">
        <v>400</v>
      </c>
    </row>
    <row r="199" spans="1:65" s="2" customFormat="1" ht="16.5" customHeight="1">
      <c r="A199" s="29"/>
      <c r="B199" s="152"/>
      <c r="C199" s="153" t="s">
        <v>394</v>
      </c>
      <c r="D199" s="153" t="s">
        <v>181</v>
      </c>
      <c r="E199" s="154" t="s">
        <v>2233</v>
      </c>
      <c r="F199" s="155" t="s">
        <v>2234</v>
      </c>
      <c r="G199" s="156" t="s">
        <v>217</v>
      </c>
      <c r="H199" s="157">
        <v>1</v>
      </c>
      <c r="I199" s="158"/>
      <c r="J199" s="151">
        <v>0</v>
      </c>
      <c r="K199" s="160"/>
      <c r="L199" s="30"/>
      <c r="M199" s="161" t="s">
        <v>1</v>
      </c>
      <c r="N199" s="162" t="s">
        <v>35</v>
      </c>
      <c r="O199" s="58"/>
      <c r="P199" s="163">
        <f t="shared" si="9"/>
        <v>0</v>
      </c>
      <c r="Q199" s="163">
        <v>0</v>
      </c>
      <c r="R199" s="163">
        <f t="shared" si="10"/>
        <v>0</v>
      </c>
      <c r="S199" s="163">
        <v>0</v>
      </c>
      <c r="T199" s="164">
        <f t="shared" si="11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65" t="s">
        <v>213</v>
      </c>
      <c r="AT199" s="165" t="s">
        <v>181</v>
      </c>
      <c r="AU199" s="165" t="s">
        <v>82</v>
      </c>
      <c r="AY199" s="14" t="s">
        <v>179</v>
      </c>
      <c r="BE199" s="166">
        <f t="shared" si="12"/>
        <v>0</v>
      </c>
      <c r="BF199" s="166">
        <f t="shared" si="13"/>
        <v>0</v>
      </c>
      <c r="BG199" s="166">
        <f t="shared" si="14"/>
        <v>0</v>
      </c>
      <c r="BH199" s="166">
        <f t="shared" si="15"/>
        <v>0</v>
      </c>
      <c r="BI199" s="166">
        <f t="shared" si="16"/>
        <v>0</v>
      </c>
      <c r="BJ199" s="14" t="s">
        <v>82</v>
      </c>
      <c r="BK199" s="166">
        <f t="shared" si="17"/>
        <v>0</v>
      </c>
      <c r="BL199" s="14" t="s">
        <v>213</v>
      </c>
      <c r="BM199" s="165" t="s">
        <v>404</v>
      </c>
    </row>
    <row r="200" spans="1:65" s="2" customFormat="1" ht="33" customHeight="1">
      <c r="A200" s="29"/>
      <c r="B200" s="152"/>
      <c r="C200" s="167" t="s">
        <v>294</v>
      </c>
      <c r="D200" s="167" t="s">
        <v>202</v>
      </c>
      <c r="E200" s="168" t="s">
        <v>2235</v>
      </c>
      <c r="F200" s="169" t="s">
        <v>2236</v>
      </c>
      <c r="G200" s="170" t="s">
        <v>217</v>
      </c>
      <c r="H200" s="171">
        <v>6</v>
      </c>
      <c r="I200" s="172"/>
      <c r="J200" s="151">
        <v>0</v>
      </c>
      <c r="K200" s="174"/>
      <c r="L200" s="175"/>
      <c r="M200" s="176" t="s">
        <v>1</v>
      </c>
      <c r="N200" s="177" t="s">
        <v>35</v>
      </c>
      <c r="O200" s="58"/>
      <c r="P200" s="163">
        <f t="shared" ref="P200:P231" si="18">O200*H200</f>
        <v>0</v>
      </c>
      <c r="Q200" s="163">
        <v>0.46</v>
      </c>
      <c r="R200" s="163">
        <f t="shared" ref="R200:R231" si="19">Q200*H200</f>
        <v>2.7600000000000002</v>
      </c>
      <c r="S200" s="163">
        <v>0</v>
      </c>
      <c r="T200" s="164">
        <f t="shared" ref="T200:T231" si="20">S200*H200</f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65" t="s">
        <v>242</v>
      </c>
      <c r="AT200" s="165" t="s">
        <v>202</v>
      </c>
      <c r="AU200" s="165" t="s">
        <v>82</v>
      </c>
      <c r="AY200" s="14" t="s">
        <v>179</v>
      </c>
      <c r="BE200" s="166">
        <f t="shared" ref="BE200:BE231" si="21">IF(N200="základná",J200,0)</f>
        <v>0</v>
      </c>
      <c r="BF200" s="166">
        <f t="shared" ref="BF200:BF231" si="22">IF(N200="znížená",J200,0)</f>
        <v>0</v>
      </c>
      <c r="BG200" s="166">
        <f t="shared" ref="BG200:BG231" si="23">IF(N200="zákl. prenesená",J200,0)</f>
        <v>0</v>
      </c>
      <c r="BH200" s="166">
        <f t="shared" ref="BH200:BH231" si="24">IF(N200="zníž. prenesená",J200,0)</f>
        <v>0</v>
      </c>
      <c r="BI200" s="166">
        <f t="shared" ref="BI200:BI231" si="25">IF(N200="nulová",J200,0)</f>
        <v>0</v>
      </c>
      <c r="BJ200" s="14" t="s">
        <v>82</v>
      </c>
      <c r="BK200" s="166">
        <f t="shared" ref="BK200:BK231" si="26">ROUND(I200*H200,2)</f>
        <v>0</v>
      </c>
      <c r="BL200" s="14" t="s">
        <v>213</v>
      </c>
      <c r="BM200" s="165" t="s">
        <v>407</v>
      </c>
    </row>
    <row r="201" spans="1:65" s="2" customFormat="1" ht="24.2" customHeight="1">
      <c r="A201" s="29"/>
      <c r="B201" s="152"/>
      <c r="C201" s="153" t="s">
        <v>401</v>
      </c>
      <c r="D201" s="153" t="s">
        <v>181</v>
      </c>
      <c r="E201" s="154" t="s">
        <v>2237</v>
      </c>
      <c r="F201" s="155" t="s">
        <v>2238</v>
      </c>
      <c r="G201" s="156" t="s">
        <v>217</v>
      </c>
      <c r="H201" s="157">
        <v>1</v>
      </c>
      <c r="I201" s="158"/>
      <c r="J201" s="151">
        <v>0</v>
      </c>
      <c r="K201" s="160"/>
      <c r="L201" s="30"/>
      <c r="M201" s="161" t="s">
        <v>1</v>
      </c>
      <c r="N201" s="162" t="s">
        <v>35</v>
      </c>
      <c r="O201" s="58"/>
      <c r="P201" s="163">
        <f t="shared" si="18"/>
        <v>0</v>
      </c>
      <c r="Q201" s="163">
        <v>0</v>
      </c>
      <c r="R201" s="163">
        <f t="shared" si="19"/>
        <v>0</v>
      </c>
      <c r="S201" s="163">
        <v>0</v>
      </c>
      <c r="T201" s="164">
        <f t="shared" si="20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65" t="s">
        <v>213</v>
      </c>
      <c r="AT201" s="165" t="s">
        <v>181</v>
      </c>
      <c r="AU201" s="165" t="s">
        <v>82</v>
      </c>
      <c r="AY201" s="14" t="s">
        <v>179</v>
      </c>
      <c r="BE201" s="166">
        <f t="shared" si="21"/>
        <v>0</v>
      </c>
      <c r="BF201" s="166">
        <f t="shared" si="22"/>
        <v>0</v>
      </c>
      <c r="BG201" s="166">
        <f t="shared" si="23"/>
        <v>0</v>
      </c>
      <c r="BH201" s="166">
        <f t="shared" si="24"/>
        <v>0</v>
      </c>
      <c r="BI201" s="166">
        <f t="shared" si="25"/>
        <v>0</v>
      </c>
      <c r="BJ201" s="14" t="s">
        <v>82</v>
      </c>
      <c r="BK201" s="166">
        <f t="shared" si="26"/>
        <v>0</v>
      </c>
      <c r="BL201" s="14" t="s">
        <v>213</v>
      </c>
      <c r="BM201" s="165" t="s">
        <v>411</v>
      </c>
    </row>
    <row r="202" spans="1:65" s="2" customFormat="1" ht="33" customHeight="1">
      <c r="A202" s="29"/>
      <c r="B202" s="152"/>
      <c r="C202" s="167" t="s">
        <v>298</v>
      </c>
      <c r="D202" s="167" t="s">
        <v>202</v>
      </c>
      <c r="E202" s="168" t="s">
        <v>2239</v>
      </c>
      <c r="F202" s="169" t="s">
        <v>2240</v>
      </c>
      <c r="G202" s="170" t="s">
        <v>217</v>
      </c>
      <c r="H202" s="171">
        <v>2</v>
      </c>
      <c r="I202" s="172"/>
      <c r="J202" s="151">
        <v>0</v>
      </c>
      <c r="K202" s="174"/>
      <c r="L202" s="175"/>
      <c r="M202" s="176" t="s">
        <v>1</v>
      </c>
      <c r="N202" s="177" t="s">
        <v>35</v>
      </c>
      <c r="O202" s="58"/>
      <c r="P202" s="163">
        <f t="shared" si="18"/>
        <v>0</v>
      </c>
      <c r="Q202" s="163">
        <v>0.46</v>
      </c>
      <c r="R202" s="163">
        <f t="shared" si="19"/>
        <v>0.92</v>
      </c>
      <c r="S202" s="163">
        <v>0</v>
      </c>
      <c r="T202" s="164">
        <f t="shared" si="20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65" t="s">
        <v>242</v>
      </c>
      <c r="AT202" s="165" t="s">
        <v>202</v>
      </c>
      <c r="AU202" s="165" t="s">
        <v>82</v>
      </c>
      <c r="AY202" s="14" t="s">
        <v>179</v>
      </c>
      <c r="BE202" s="166">
        <f t="shared" si="21"/>
        <v>0</v>
      </c>
      <c r="BF202" s="166">
        <f t="shared" si="22"/>
        <v>0</v>
      </c>
      <c r="BG202" s="166">
        <f t="shared" si="23"/>
        <v>0</v>
      </c>
      <c r="BH202" s="166">
        <f t="shared" si="24"/>
        <v>0</v>
      </c>
      <c r="BI202" s="166">
        <f t="shared" si="25"/>
        <v>0</v>
      </c>
      <c r="BJ202" s="14" t="s">
        <v>82</v>
      </c>
      <c r="BK202" s="166">
        <f t="shared" si="26"/>
        <v>0</v>
      </c>
      <c r="BL202" s="14" t="s">
        <v>213</v>
      </c>
      <c r="BM202" s="165" t="s">
        <v>414</v>
      </c>
    </row>
    <row r="203" spans="1:65" s="2" customFormat="1" ht="24.2" customHeight="1">
      <c r="A203" s="29"/>
      <c r="B203" s="152"/>
      <c r="C203" s="167" t="s">
        <v>408</v>
      </c>
      <c r="D203" s="167" t="s">
        <v>202</v>
      </c>
      <c r="E203" s="168" t="s">
        <v>2241</v>
      </c>
      <c r="F203" s="169" t="s">
        <v>2242</v>
      </c>
      <c r="G203" s="170" t="s">
        <v>217</v>
      </c>
      <c r="H203" s="171">
        <v>1</v>
      </c>
      <c r="I203" s="172"/>
      <c r="J203" s="151">
        <v>0</v>
      </c>
      <c r="K203" s="174"/>
      <c r="L203" s="175"/>
      <c r="M203" s="176" t="s">
        <v>1</v>
      </c>
      <c r="N203" s="177" t="s">
        <v>35</v>
      </c>
      <c r="O203" s="58"/>
      <c r="P203" s="163">
        <f t="shared" si="18"/>
        <v>0</v>
      </c>
      <c r="Q203" s="163">
        <v>0.46</v>
      </c>
      <c r="R203" s="163">
        <f t="shared" si="19"/>
        <v>0.46</v>
      </c>
      <c r="S203" s="163">
        <v>0</v>
      </c>
      <c r="T203" s="164">
        <f t="shared" si="20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65" t="s">
        <v>242</v>
      </c>
      <c r="AT203" s="165" t="s">
        <v>202</v>
      </c>
      <c r="AU203" s="165" t="s">
        <v>82</v>
      </c>
      <c r="AY203" s="14" t="s">
        <v>179</v>
      </c>
      <c r="BE203" s="166">
        <f t="shared" si="21"/>
        <v>0</v>
      </c>
      <c r="BF203" s="166">
        <f t="shared" si="22"/>
        <v>0</v>
      </c>
      <c r="BG203" s="166">
        <f t="shared" si="23"/>
        <v>0</v>
      </c>
      <c r="BH203" s="166">
        <f t="shared" si="24"/>
        <v>0</v>
      </c>
      <c r="BI203" s="166">
        <f t="shared" si="25"/>
        <v>0</v>
      </c>
      <c r="BJ203" s="14" t="s">
        <v>82</v>
      </c>
      <c r="BK203" s="166">
        <f t="shared" si="26"/>
        <v>0</v>
      </c>
      <c r="BL203" s="14" t="s">
        <v>213</v>
      </c>
      <c r="BM203" s="165" t="s">
        <v>418</v>
      </c>
    </row>
    <row r="204" spans="1:65" s="2" customFormat="1" ht="24.2" customHeight="1">
      <c r="A204" s="29"/>
      <c r="B204" s="152"/>
      <c r="C204" s="167" t="s">
        <v>301</v>
      </c>
      <c r="D204" s="167" t="s">
        <v>202</v>
      </c>
      <c r="E204" s="168" t="s">
        <v>2243</v>
      </c>
      <c r="F204" s="169" t="s">
        <v>2244</v>
      </c>
      <c r="G204" s="170" t="s">
        <v>217</v>
      </c>
      <c r="H204" s="171">
        <v>1</v>
      </c>
      <c r="I204" s="172"/>
      <c r="J204" s="151">
        <v>0</v>
      </c>
      <c r="K204" s="174"/>
      <c r="L204" s="175"/>
      <c r="M204" s="176" t="s">
        <v>1</v>
      </c>
      <c r="N204" s="177" t="s">
        <v>35</v>
      </c>
      <c r="O204" s="58"/>
      <c r="P204" s="163">
        <f t="shared" si="18"/>
        <v>0</v>
      </c>
      <c r="Q204" s="163">
        <v>0.46</v>
      </c>
      <c r="R204" s="163">
        <f t="shared" si="19"/>
        <v>0.46</v>
      </c>
      <c r="S204" s="163">
        <v>0</v>
      </c>
      <c r="T204" s="164">
        <f t="shared" si="20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65" t="s">
        <v>242</v>
      </c>
      <c r="AT204" s="165" t="s">
        <v>202</v>
      </c>
      <c r="AU204" s="165" t="s">
        <v>82</v>
      </c>
      <c r="AY204" s="14" t="s">
        <v>179</v>
      </c>
      <c r="BE204" s="166">
        <f t="shared" si="21"/>
        <v>0</v>
      </c>
      <c r="BF204" s="166">
        <f t="shared" si="22"/>
        <v>0</v>
      </c>
      <c r="BG204" s="166">
        <f t="shared" si="23"/>
        <v>0</v>
      </c>
      <c r="BH204" s="166">
        <f t="shared" si="24"/>
        <v>0</v>
      </c>
      <c r="BI204" s="166">
        <f t="shared" si="25"/>
        <v>0</v>
      </c>
      <c r="BJ204" s="14" t="s">
        <v>82</v>
      </c>
      <c r="BK204" s="166">
        <f t="shared" si="26"/>
        <v>0</v>
      </c>
      <c r="BL204" s="14" t="s">
        <v>213</v>
      </c>
      <c r="BM204" s="165" t="s">
        <v>421</v>
      </c>
    </row>
    <row r="205" spans="1:65" s="2" customFormat="1" ht="24.2" customHeight="1">
      <c r="A205" s="29"/>
      <c r="B205" s="152"/>
      <c r="C205" s="167" t="s">
        <v>415</v>
      </c>
      <c r="D205" s="167" t="s">
        <v>202</v>
      </c>
      <c r="E205" s="168" t="s">
        <v>2245</v>
      </c>
      <c r="F205" s="169" t="s">
        <v>2246</v>
      </c>
      <c r="G205" s="170" t="s">
        <v>217</v>
      </c>
      <c r="H205" s="171">
        <v>4</v>
      </c>
      <c r="I205" s="172"/>
      <c r="J205" s="151">
        <v>0</v>
      </c>
      <c r="K205" s="174"/>
      <c r="L205" s="175"/>
      <c r="M205" s="176" t="s">
        <v>1</v>
      </c>
      <c r="N205" s="177" t="s">
        <v>35</v>
      </c>
      <c r="O205" s="58"/>
      <c r="P205" s="163">
        <f t="shared" si="18"/>
        <v>0</v>
      </c>
      <c r="Q205" s="163">
        <v>0.46</v>
      </c>
      <c r="R205" s="163">
        <f t="shared" si="19"/>
        <v>1.84</v>
      </c>
      <c r="S205" s="163">
        <v>0</v>
      </c>
      <c r="T205" s="164">
        <f t="shared" si="20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65" t="s">
        <v>242</v>
      </c>
      <c r="AT205" s="165" t="s">
        <v>202</v>
      </c>
      <c r="AU205" s="165" t="s">
        <v>82</v>
      </c>
      <c r="AY205" s="14" t="s">
        <v>179</v>
      </c>
      <c r="BE205" s="166">
        <f t="shared" si="21"/>
        <v>0</v>
      </c>
      <c r="BF205" s="166">
        <f t="shared" si="22"/>
        <v>0</v>
      </c>
      <c r="BG205" s="166">
        <f t="shared" si="23"/>
        <v>0</v>
      </c>
      <c r="BH205" s="166">
        <f t="shared" si="24"/>
        <v>0</v>
      </c>
      <c r="BI205" s="166">
        <f t="shared" si="25"/>
        <v>0</v>
      </c>
      <c r="BJ205" s="14" t="s">
        <v>82</v>
      </c>
      <c r="BK205" s="166">
        <f t="shared" si="26"/>
        <v>0</v>
      </c>
      <c r="BL205" s="14" t="s">
        <v>213</v>
      </c>
      <c r="BM205" s="165" t="s">
        <v>425</v>
      </c>
    </row>
    <row r="206" spans="1:65" s="2" customFormat="1" ht="24.2" customHeight="1">
      <c r="A206" s="29"/>
      <c r="B206" s="152"/>
      <c r="C206" s="167" t="s">
        <v>305</v>
      </c>
      <c r="D206" s="167" t="s">
        <v>202</v>
      </c>
      <c r="E206" s="168" t="s">
        <v>2247</v>
      </c>
      <c r="F206" s="169" t="s">
        <v>2248</v>
      </c>
      <c r="G206" s="170" t="s">
        <v>217</v>
      </c>
      <c r="H206" s="171">
        <v>4</v>
      </c>
      <c r="I206" s="172"/>
      <c r="J206" s="151">
        <v>0</v>
      </c>
      <c r="K206" s="174"/>
      <c r="L206" s="175"/>
      <c r="M206" s="176" t="s">
        <v>1</v>
      </c>
      <c r="N206" s="177" t="s">
        <v>35</v>
      </c>
      <c r="O206" s="58"/>
      <c r="P206" s="163">
        <f t="shared" si="18"/>
        <v>0</v>
      </c>
      <c r="Q206" s="163">
        <v>0.46</v>
      </c>
      <c r="R206" s="163">
        <f t="shared" si="19"/>
        <v>1.84</v>
      </c>
      <c r="S206" s="163">
        <v>0</v>
      </c>
      <c r="T206" s="164">
        <f t="shared" si="20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65" t="s">
        <v>242</v>
      </c>
      <c r="AT206" s="165" t="s">
        <v>202</v>
      </c>
      <c r="AU206" s="165" t="s">
        <v>82</v>
      </c>
      <c r="AY206" s="14" t="s">
        <v>179</v>
      </c>
      <c r="BE206" s="166">
        <f t="shared" si="21"/>
        <v>0</v>
      </c>
      <c r="BF206" s="166">
        <f t="shared" si="22"/>
        <v>0</v>
      </c>
      <c r="BG206" s="166">
        <f t="shared" si="23"/>
        <v>0</v>
      </c>
      <c r="BH206" s="166">
        <f t="shared" si="24"/>
        <v>0</v>
      </c>
      <c r="BI206" s="166">
        <f t="shared" si="25"/>
        <v>0</v>
      </c>
      <c r="BJ206" s="14" t="s">
        <v>82</v>
      </c>
      <c r="BK206" s="166">
        <f t="shared" si="26"/>
        <v>0</v>
      </c>
      <c r="BL206" s="14" t="s">
        <v>213</v>
      </c>
      <c r="BM206" s="165" t="s">
        <v>428</v>
      </c>
    </row>
    <row r="207" spans="1:65" s="2" customFormat="1" ht="24.2" customHeight="1">
      <c r="A207" s="29"/>
      <c r="B207" s="152"/>
      <c r="C207" s="167" t="s">
        <v>422</v>
      </c>
      <c r="D207" s="167" t="s">
        <v>202</v>
      </c>
      <c r="E207" s="168" t="s">
        <v>2249</v>
      </c>
      <c r="F207" s="169" t="s">
        <v>2250</v>
      </c>
      <c r="G207" s="170" t="s">
        <v>217</v>
      </c>
      <c r="H207" s="171">
        <v>2</v>
      </c>
      <c r="I207" s="172"/>
      <c r="J207" s="151">
        <v>0</v>
      </c>
      <c r="K207" s="174"/>
      <c r="L207" s="175"/>
      <c r="M207" s="176" t="s">
        <v>1</v>
      </c>
      <c r="N207" s="177" t="s">
        <v>35</v>
      </c>
      <c r="O207" s="58"/>
      <c r="P207" s="163">
        <f t="shared" si="18"/>
        <v>0</v>
      </c>
      <c r="Q207" s="163">
        <v>0.46</v>
      </c>
      <c r="R207" s="163">
        <f t="shared" si="19"/>
        <v>0.92</v>
      </c>
      <c r="S207" s="163">
        <v>0</v>
      </c>
      <c r="T207" s="164">
        <f t="shared" si="20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65" t="s">
        <v>242</v>
      </c>
      <c r="AT207" s="165" t="s">
        <v>202</v>
      </c>
      <c r="AU207" s="165" t="s">
        <v>82</v>
      </c>
      <c r="AY207" s="14" t="s">
        <v>179</v>
      </c>
      <c r="BE207" s="166">
        <f t="shared" si="21"/>
        <v>0</v>
      </c>
      <c r="BF207" s="166">
        <f t="shared" si="22"/>
        <v>0</v>
      </c>
      <c r="BG207" s="166">
        <f t="shared" si="23"/>
        <v>0</v>
      </c>
      <c r="BH207" s="166">
        <f t="shared" si="24"/>
        <v>0</v>
      </c>
      <c r="BI207" s="166">
        <f t="shared" si="25"/>
        <v>0</v>
      </c>
      <c r="BJ207" s="14" t="s">
        <v>82</v>
      </c>
      <c r="BK207" s="166">
        <f t="shared" si="26"/>
        <v>0</v>
      </c>
      <c r="BL207" s="14" t="s">
        <v>213</v>
      </c>
      <c r="BM207" s="165" t="s">
        <v>432</v>
      </c>
    </row>
    <row r="208" spans="1:65" s="2" customFormat="1" ht="24.2" customHeight="1">
      <c r="A208" s="29"/>
      <c r="B208" s="152"/>
      <c r="C208" s="167" t="s">
        <v>308</v>
      </c>
      <c r="D208" s="167" t="s">
        <v>202</v>
      </c>
      <c r="E208" s="168" t="s">
        <v>2251</v>
      </c>
      <c r="F208" s="169" t="s">
        <v>2252</v>
      </c>
      <c r="G208" s="170" t="s">
        <v>217</v>
      </c>
      <c r="H208" s="171">
        <v>2</v>
      </c>
      <c r="I208" s="172"/>
      <c r="J208" s="151">
        <v>0</v>
      </c>
      <c r="K208" s="174"/>
      <c r="L208" s="175"/>
      <c r="M208" s="176" t="s">
        <v>1</v>
      </c>
      <c r="N208" s="177" t="s">
        <v>35</v>
      </c>
      <c r="O208" s="58"/>
      <c r="P208" s="163">
        <f t="shared" si="18"/>
        <v>0</v>
      </c>
      <c r="Q208" s="163">
        <v>0.46</v>
      </c>
      <c r="R208" s="163">
        <f t="shared" si="19"/>
        <v>0.92</v>
      </c>
      <c r="S208" s="163">
        <v>0</v>
      </c>
      <c r="T208" s="164">
        <f t="shared" si="20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65" t="s">
        <v>242</v>
      </c>
      <c r="AT208" s="165" t="s">
        <v>202</v>
      </c>
      <c r="AU208" s="165" t="s">
        <v>82</v>
      </c>
      <c r="AY208" s="14" t="s">
        <v>179</v>
      </c>
      <c r="BE208" s="166">
        <f t="shared" si="21"/>
        <v>0</v>
      </c>
      <c r="BF208" s="166">
        <f t="shared" si="22"/>
        <v>0</v>
      </c>
      <c r="BG208" s="166">
        <f t="shared" si="23"/>
        <v>0</v>
      </c>
      <c r="BH208" s="166">
        <f t="shared" si="24"/>
        <v>0</v>
      </c>
      <c r="BI208" s="166">
        <f t="shared" si="25"/>
        <v>0</v>
      </c>
      <c r="BJ208" s="14" t="s">
        <v>82</v>
      </c>
      <c r="BK208" s="166">
        <f t="shared" si="26"/>
        <v>0</v>
      </c>
      <c r="BL208" s="14" t="s">
        <v>213</v>
      </c>
      <c r="BM208" s="165" t="s">
        <v>435</v>
      </c>
    </row>
    <row r="209" spans="1:65" s="2" customFormat="1" ht="24.2" customHeight="1">
      <c r="A209" s="29"/>
      <c r="B209" s="152"/>
      <c r="C209" s="167" t="s">
        <v>429</v>
      </c>
      <c r="D209" s="167" t="s">
        <v>202</v>
      </c>
      <c r="E209" s="168" t="s">
        <v>2253</v>
      </c>
      <c r="F209" s="169" t="s">
        <v>2254</v>
      </c>
      <c r="G209" s="170" t="s">
        <v>217</v>
      </c>
      <c r="H209" s="171">
        <v>14.8</v>
      </c>
      <c r="I209" s="172"/>
      <c r="J209" s="151">
        <v>0</v>
      </c>
      <c r="K209" s="174"/>
      <c r="L209" s="175"/>
      <c r="M209" s="176" t="s">
        <v>1</v>
      </c>
      <c r="N209" s="177" t="s">
        <v>35</v>
      </c>
      <c r="O209" s="58"/>
      <c r="P209" s="163">
        <f t="shared" si="18"/>
        <v>0</v>
      </c>
      <c r="Q209" s="163">
        <v>0.46</v>
      </c>
      <c r="R209" s="163">
        <f t="shared" si="19"/>
        <v>6.8080000000000007</v>
      </c>
      <c r="S209" s="163">
        <v>0</v>
      </c>
      <c r="T209" s="164">
        <f t="shared" si="20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65" t="s">
        <v>242</v>
      </c>
      <c r="AT209" s="165" t="s">
        <v>202</v>
      </c>
      <c r="AU209" s="165" t="s">
        <v>82</v>
      </c>
      <c r="AY209" s="14" t="s">
        <v>179</v>
      </c>
      <c r="BE209" s="166">
        <f t="shared" si="21"/>
        <v>0</v>
      </c>
      <c r="BF209" s="166">
        <f t="shared" si="22"/>
        <v>0</v>
      </c>
      <c r="BG209" s="166">
        <f t="shared" si="23"/>
        <v>0</v>
      </c>
      <c r="BH209" s="166">
        <f t="shared" si="24"/>
        <v>0</v>
      </c>
      <c r="BI209" s="166">
        <f t="shared" si="25"/>
        <v>0</v>
      </c>
      <c r="BJ209" s="14" t="s">
        <v>82</v>
      </c>
      <c r="BK209" s="166">
        <f t="shared" si="26"/>
        <v>0</v>
      </c>
      <c r="BL209" s="14" t="s">
        <v>213</v>
      </c>
      <c r="BM209" s="165" t="s">
        <v>439</v>
      </c>
    </row>
    <row r="210" spans="1:65" s="2" customFormat="1" ht="24.2" customHeight="1">
      <c r="A210" s="29"/>
      <c r="B210" s="152"/>
      <c r="C210" s="167" t="s">
        <v>312</v>
      </c>
      <c r="D210" s="167" t="s">
        <v>202</v>
      </c>
      <c r="E210" s="168" t="s">
        <v>2255</v>
      </c>
      <c r="F210" s="169" t="s">
        <v>2256</v>
      </c>
      <c r="G210" s="170" t="s">
        <v>217</v>
      </c>
      <c r="H210" s="171">
        <v>2</v>
      </c>
      <c r="I210" s="172"/>
      <c r="J210" s="151">
        <v>0</v>
      </c>
      <c r="K210" s="174"/>
      <c r="L210" s="175"/>
      <c r="M210" s="176" t="s">
        <v>1</v>
      </c>
      <c r="N210" s="177" t="s">
        <v>35</v>
      </c>
      <c r="O210" s="58"/>
      <c r="P210" s="163">
        <f t="shared" si="18"/>
        <v>0</v>
      </c>
      <c r="Q210" s="163">
        <v>0.46</v>
      </c>
      <c r="R210" s="163">
        <f t="shared" si="19"/>
        <v>0.92</v>
      </c>
      <c r="S210" s="163">
        <v>0</v>
      </c>
      <c r="T210" s="164">
        <f t="shared" si="20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65" t="s">
        <v>242</v>
      </c>
      <c r="AT210" s="165" t="s">
        <v>202</v>
      </c>
      <c r="AU210" s="165" t="s">
        <v>82</v>
      </c>
      <c r="AY210" s="14" t="s">
        <v>179</v>
      </c>
      <c r="BE210" s="166">
        <f t="shared" si="21"/>
        <v>0</v>
      </c>
      <c r="BF210" s="166">
        <f t="shared" si="22"/>
        <v>0</v>
      </c>
      <c r="BG210" s="166">
        <f t="shared" si="23"/>
        <v>0</v>
      </c>
      <c r="BH210" s="166">
        <f t="shared" si="24"/>
        <v>0</v>
      </c>
      <c r="BI210" s="166">
        <f t="shared" si="25"/>
        <v>0</v>
      </c>
      <c r="BJ210" s="14" t="s">
        <v>82</v>
      </c>
      <c r="BK210" s="166">
        <f t="shared" si="26"/>
        <v>0</v>
      </c>
      <c r="BL210" s="14" t="s">
        <v>213</v>
      </c>
      <c r="BM210" s="165" t="s">
        <v>442</v>
      </c>
    </row>
    <row r="211" spans="1:65" s="2" customFormat="1" ht="24.2" customHeight="1">
      <c r="A211" s="29"/>
      <c r="B211" s="152"/>
      <c r="C211" s="153" t="s">
        <v>436</v>
      </c>
      <c r="D211" s="153" t="s">
        <v>181</v>
      </c>
      <c r="E211" s="154" t="s">
        <v>2257</v>
      </c>
      <c r="F211" s="155" t="s">
        <v>2258</v>
      </c>
      <c r="G211" s="156" t="s">
        <v>217</v>
      </c>
      <c r="H211" s="157">
        <v>1</v>
      </c>
      <c r="I211" s="158"/>
      <c r="J211" s="151">
        <v>0</v>
      </c>
      <c r="K211" s="160"/>
      <c r="L211" s="30"/>
      <c r="M211" s="161" t="s">
        <v>1</v>
      </c>
      <c r="N211" s="162" t="s">
        <v>35</v>
      </c>
      <c r="O211" s="58"/>
      <c r="P211" s="163">
        <f t="shared" si="18"/>
        <v>0</v>
      </c>
      <c r="Q211" s="163">
        <v>0</v>
      </c>
      <c r="R211" s="163">
        <f t="shared" si="19"/>
        <v>0</v>
      </c>
      <c r="S211" s="163">
        <v>0</v>
      </c>
      <c r="T211" s="164">
        <f t="shared" si="20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65" t="s">
        <v>213</v>
      </c>
      <c r="AT211" s="165" t="s">
        <v>181</v>
      </c>
      <c r="AU211" s="165" t="s">
        <v>82</v>
      </c>
      <c r="AY211" s="14" t="s">
        <v>179</v>
      </c>
      <c r="BE211" s="166">
        <f t="shared" si="21"/>
        <v>0</v>
      </c>
      <c r="BF211" s="166">
        <f t="shared" si="22"/>
        <v>0</v>
      </c>
      <c r="BG211" s="166">
        <f t="shared" si="23"/>
        <v>0</v>
      </c>
      <c r="BH211" s="166">
        <f t="shared" si="24"/>
        <v>0</v>
      </c>
      <c r="BI211" s="166">
        <f t="shared" si="25"/>
        <v>0</v>
      </c>
      <c r="BJ211" s="14" t="s">
        <v>82</v>
      </c>
      <c r="BK211" s="166">
        <f t="shared" si="26"/>
        <v>0</v>
      </c>
      <c r="BL211" s="14" t="s">
        <v>213</v>
      </c>
      <c r="BM211" s="165" t="s">
        <v>446</v>
      </c>
    </row>
    <row r="212" spans="1:65" s="2" customFormat="1" ht="24.2" customHeight="1">
      <c r="A212" s="29"/>
      <c r="B212" s="152"/>
      <c r="C212" s="167" t="s">
        <v>315</v>
      </c>
      <c r="D212" s="167" t="s">
        <v>202</v>
      </c>
      <c r="E212" s="168" t="s">
        <v>2259</v>
      </c>
      <c r="F212" s="169" t="s">
        <v>2260</v>
      </c>
      <c r="G212" s="170" t="s">
        <v>217</v>
      </c>
      <c r="H212" s="171">
        <v>2</v>
      </c>
      <c r="I212" s="172"/>
      <c r="J212" s="151">
        <v>0</v>
      </c>
      <c r="K212" s="174"/>
      <c r="L212" s="175"/>
      <c r="M212" s="176" t="s">
        <v>1</v>
      </c>
      <c r="N212" s="177" t="s">
        <v>35</v>
      </c>
      <c r="O212" s="58"/>
      <c r="P212" s="163">
        <f t="shared" si="18"/>
        <v>0</v>
      </c>
      <c r="Q212" s="163">
        <v>0.46</v>
      </c>
      <c r="R212" s="163">
        <f t="shared" si="19"/>
        <v>0.92</v>
      </c>
      <c r="S212" s="163">
        <v>0</v>
      </c>
      <c r="T212" s="164">
        <f t="shared" si="20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65" t="s">
        <v>242</v>
      </c>
      <c r="AT212" s="165" t="s">
        <v>202</v>
      </c>
      <c r="AU212" s="165" t="s">
        <v>82</v>
      </c>
      <c r="AY212" s="14" t="s">
        <v>179</v>
      </c>
      <c r="BE212" s="166">
        <f t="shared" si="21"/>
        <v>0</v>
      </c>
      <c r="BF212" s="166">
        <f t="shared" si="22"/>
        <v>0</v>
      </c>
      <c r="BG212" s="166">
        <f t="shared" si="23"/>
        <v>0</v>
      </c>
      <c r="BH212" s="166">
        <f t="shared" si="24"/>
        <v>0</v>
      </c>
      <c r="BI212" s="166">
        <f t="shared" si="25"/>
        <v>0</v>
      </c>
      <c r="BJ212" s="14" t="s">
        <v>82</v>
      </c>
      <c r="BK212" s="166">
        <f t="shared" si="26"/>
        <v>0</v>
      </c>
      <c r="BL212" s="14" t="s">
        <v>213</v>
      </c>
      <c r="BM212" s="165" t="s">
        <v>449</v>
      </c>
    </row>
    <row r="213" spans="1:65" s="2" customFormat="1" ht="24.2" customHeight="1">
      <c r="A213" s="29"/>
      <c r="B213" s="152"/>
      <c r="C213" s="167" t="s">
        <v>443</v>
      </c>
      <c r="D213" s="167" t="s">
        <v>202</v>
      </c>
      <c r="E213" s="168" t="s">
        <v>2261</v>
      </c>
      <c r="F213" s="169" t="s">
        <v>2262</v>
      </c>
      <c r="G213" s="170" t="s">
        <v>217</v>
      </c>
      <c r="H213" s="171">
        <v>2</v>
      </c>
      <c r="I213" s="172"/>
      <c r="J213" s="151">
        <v>0</v>
      </c>
      <c r="K213" s="174"/>
      <c r="L213" s="175"/>
      <c r="M213" s="176" t="s">
        <v>1</v>
      </c>
      <c r="N213" s="177" t="s">
        <v>35</v>
      </c>
      <c r="O213" s="58"/>
      <c r="P213" s="163">
        <f t="shared" si="18"/>
        <v>0</v>
      </c>
      <c r="Q213" s="163">
        <v>0.46</v>
      </c>
      <c r="R213" s="163">
        <f t="shared" si="19"/>
        <v>0.92</v>
      </c>
      <c r="S213" s="163">
        <v>0</v>
      </c>
      <c r="T213" s="164">
        <f t="shared" si="20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65" t="s">
        <v>242</v>
      </c>
      <c r="AT213" s="165" t="s">
        <v>202</v>
      </c>
      <c r="AU213" s="165" t="s">
        <v>82</v>
      </c>
      <c r="AY213" s="14" t="s">
        <v>179</v>
      </c>
      <c r="BE213" s="166">
        <f t="shared" si="21"/>
        <v>0</v>
      </c>
      <c r="BF213" s="166">
        <f t="shared" si="22"/>
        <v>0</v>
      </c>
      <c r="BG213" s="166">
        <f t="shared" si="23"/>
        <v>0</v>
      </c>
      <c r="BH213" s="166">
        <f t="shared" si="24"/>
        <v>0</v>
      </c>
      <c r="BI213" s="166">
        <f t="shared" si="25"/>
        <v>0</v>
      </c>
      <c r="BJ213" s="14" t="s">
        <v>82</v>
      </c>
      <c r="BK213" s="166">
        <f t="shared" si="26"/>
        <v>0</v>
      </c>
      <c r="BL213" s="14" t="s">
        <v>213</v>
      </c>
      <c r="BM213" s="165" t="s">
        <v>453</v>
      </c>
    </row>
    <row r="214" spans="1:65" s="2" customFormat="1" ht="37.9" customHeight="1">
      <c r="A214" s="29"/>
      <c r="B214" s="152"/>
      <c r="C214" s="167" t="s">
        <v>319</v>
      </c>
      <c r="D214" s="167" t="s">
        <v>202</v>
      </c>
      <c r="E214" s="168" t="s">
        <v>2263</v>
      </c>
      <c r="F214" s="169" t="s">
        <v>2264</v>
      </c>
      <c r="G214" s="170" t="s">
        <v>217</v>
      </c>
      <c r="H214" s="171">
        <v>2</v>
      </c>
      <c r="I214" s="172"/>
      <c r="J214" s="151">
        <v>0</v>
      </c>
      <c r="K214" s="174"/>
      <c r="L214" s="175"/>
      <c r="M214" s="176" t="s">
        <v>1</v>
      </c>
      <c r="N214" s="177" t="s">
        <v>35</v>
      </c>
      <c r="O214" s="58"/>
      <c r="P214" s="163">
        <f t="shared" si="18"/>
        <v>0</v>
      </c>
      <c r="Q214" s="163">
        <v>0.46</v>
      </c>
      <c r="R214" s="163">
        <f t="shared" si="19"/>
        <v>0.92</v>
      </c>
      <c r="S214" s="163">
        <v>0</v>
      </c>
      <c r="T214" s="164">
        <f t="shared" si="20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65" t="s">
        <v>242</v>
      </c>
      <c r="AT214" s="165" t="s">
        <v>202</v>
      </c>
      <c r="AU214" s="165" t="s">
        <v>82</v>
      </c>
      <c r="AY214" s="14" t="s">
        <v>179</v>
      </c>
      <c r="BE214" s="166">
        <f t="shared" si="21"/>
        <v>0</v>
      </c>
      <c r="BF214" s="166">
        <f t="shared" si="22"/>
        <v>0</v>
      </c>
      <c r="BG214" s="166">
        <f t="shared" si="23"/>
        <v>0</v>
      </c>
      <c r="BH214" s="166">
        <f t="shared" si="24"/>
        <v>0</v>
      </c>
      <c r="BI214" s="166">
        <f t="shared" si="25"/>
        <v>0</v>
      </c>
      <c r="BJ214" s="14" t="s">
        <v>82</v>
      </c>
      <c r="BK214" s="166">
        <f t="shared" si="26"/>
        <v>0</v>
      </c>
      <c r="BL214" s="14" t="s">
        <v>213</v>
      </c>
      <c r="BM214" s="165" t="s">
        <v>456</v>
      </c>
    </row>
    <row r="215" spans="1:65" s="2" customFormat="1" ht="33" customHeight="1">
      <c r="A215" s="29"/>
      <c r="B215" s="152"/>
      <c r="C215" s="167" t="s">
        <v>450</v>
      </c>
      <c r="D215" s="167" t="s">
        <v>202</v>
      </c>
      <c r="E215" s="168" t="s">
        <v>2265</v>
      </c>
      <c r="F215" s="169" t="s">
        <v>2266</v>
      </c>
      <c r="G215" s="170" t="s">
        <v>217</v>
      </c>
      <c r="H215" s="171">
        <v>2</v>
      </c>
      <c r="I215" s="172"/>
      <c r="J215" s="151">
        <v>0</v>
      </c>
      <c r="K215" s="174"/>
      <c r="L215" s="175"/>
      <c r="M215" s="176" t="s">
        <v>1</v>
      </c>
      <c r="N215" s="177" t="s">
        <v>35</v>
      </c>
      <c r="O215" s="58"/>
      <c r="P215" s="163">
        <f t="shared" si="18"/>
        <v>0</v>
      </c>
      <c r="Q215" s="163">
        <v>0.46</v>
      </c>
      <c r="R215" s="163">
        <f t="shared" si="19"/>
        <v>0.92</v>
      </c>
      <c r="S215" s="163">
        <v>0</v>
      </c>
      <c r="T215" s="164">
        <f t="shared" si="20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65" t="s">
        <v>242</v>
      </c>
      <c r="AT215" s="165" t="s">
        <v>202</v>
      </c>
      <c r="AU215" s="165" t="s">
        <v>82</v>
      </c>
      <c r="AY215" s="14" t="s">
        <v>179</v>
      </c>
      <c r="BE215" s="166">
        <f t="shared" si="21"/>
        <v>0</v>
      </c>
      <c r="BF215" s="166">
        <f t="shared" si="22"/>
        <v>0</v>
      </c>
      <c r="BG215" s="166">
        <f t="shared" si="23"/>
        <v>0</v>
      </c>
      <c r="BH215" s="166">
        <f t="shared" si="24"/>
        <v>0</v>
      </c>
      <c r="BI215" s="166">
        <f t="shared" si="25"/>
        <v>0</v>
      </c>
      <c r="BJ215" s="14" t="s">
        <v>82</v>
      </c>
      <c r="BK215" s="166">
        <f t="shared" si="26"/>
        <v>0</v>
      </c>
      <c r="BL215" s="14" t="s">
        <v>213</v>
      </c>
      <c r="BM215" s="165" t="s">
        <v>460</v>
      </c>
    </row>
    <row r="216" spans="1:65" s="2" customFormat="1" ht="24.2" customHeight="1">
      <c r="A216" s="29"/>
      <c r="B216" s="152"/>
      <c r="C216" s="167" t="s">
        <v>322</v>
      </c>
      <c r="D216" s="167" t="s">
        <v>202</v>
      </c>
      <c r="E216" s="168" t="s">
        <v>2267</v>
      </c>
      <c r="F216" s="169" t="s">
        <v>2268</v>
      </c>
      <c r="G216" s="170" t="s">
        <v>217</v>
      </c>
      <c r="H216" s="171">
        <v>2</v>
      </c>
      <c r="I216" s="172"/>
      <c r="J216" s="151">
        <v>0</v>
      </c>
      <c r="K216" s="174"/>
      <c r="L216" s="175"/>
      <c r="M216" s="176" t="s">
        <v>1</v>
      </c>
      <c r="N216" s="177" t="s">
        <v>35</v>
      </c>
      <c r="O216" s="58"/>
      <c r="P216" s="163">
        <f t="shared" si="18"/>
        <v>0</v>
      </c>
      <c r="Q216" s="163">
        <v>0.46</v>
      </c>
      <c r="R216" s="163">
        <f t="shared" si="19"/>
        <v>0.92</v>
      </c>
      <c r="S216" s="163">
        <v>0</v>
      </c>
      <c r="T216" s="164">
        <f t="shared" si="20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65" t="s">
        <v>242</v>
      </c>
      <c r="AT216" s="165" t="s">
        <v>202</v>
      </c>
      <c r="AU216" s="165" t="s">
        <v>82</v>
      </c>
      <c r="AY216" s="14" t="s">
        <v>179</v>
      </c>
      <c r="BE216" s="166">
        <f t="shared" si="21"/>
        <v>0</v>
      </c>
      <c r="BF216" s="166">
        <f t="shared" si="22"/>
        <v>0</v>
      </c>
      <c r="BG216" s="166">
        <f t="shared" si="23"/>
        <v>0</v>
      </c>
      <c r="BH216" s="166">
        <f t="shared" si="24"/>
        <v>0</v>
      </c>
      <c r="BI216" s="166">
        <f t="shared" si="25"/>
        <v>0</v>
      </c>
      <c r="BJ216" s="14" t="s">
        <v>82</v>
      </c>
      <c r="BK216" s="166">
        <f t="shared" si="26"/>
        <v>0</v>
      </c>
      <c r="BL216" s="14" t="s">
        <v>213</v>
      </c>
      <c r="BM216" s="165" t="s">
        <v>463</v>
      </c>
    </row>
    <row r="217" spans="1:65" s="2" customFormat="1" ht="24.2" customHeight="1">
      <c r="A217" s="29"/>
      <c r="B217" s="152"/>
      <c r="C217" s="167" t="s">
        <v>457</v>
      </c>
      <c r="D217" s="167" t="s">
        <v>202</v>
      </c>
      <c r="E217" s="168" t="s">
        <v>2269</v>
      </c>
      <c r="F217" s="169" t="s">
        <v>2270</v>
      </c>
      <c r="G217" s="170" t="s">
        <v>217</v>
      </c>
      <c r="H217" s="171">
        <v>2</v>
      </c>
      <c r="I217" s="172"/>
      <c r="J217" s="151">
        <v>0</v>
      </c>
      <c r="K217" s="174"/>
      <c r="L217" s="175"/>
      <c r="M217" s="176" t="s">
        <v>1</v>
      </c>
      <c r="N217" s="177" t="s">
        <v>35</v>
      </c>
      <c r="O217" s="58"/>
      <c r="P217" s="163">
        <f t="shared" si="18"/>
        <v>0</v>
      </c>
      <c r="Q217" s="163">
        <v>0.46</v>
      </c>
      <c r="R217" s="163">
        <f t="shared" si="19"/>
        <v>0.92</v>
      </c>
      <c r="S217" s="163">
        <v>0</v>
      </c>
      <c r="T217" s="164">
        <f t="shared" si="20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65" t="s">
        <v>242</v>
      </c>
      <c r="AT217" s="165" t="s">
        <v>202</v>
      </c>
      <c r="AU217" s="165" t="s">
        <v>82</v>
      </c>
      <c r="AY217" s="14" t="s">
        <v>179</v>
      </c>
      <c r="BE217" s="166">
        <f t="shared" si="21"/>
        <v>0</v>
      </c>
      <c r="BF217" s="166">
        <f t="shared" si="22"/>
        <v>0</v>
      </c>
      <c r="BG217" s="166">
        <f t="shared" si="23"/>
        <v>0</v>
      </c>
      <c r="BH217" s="166">
        <f t="shared" si="24"/>
        <v>0</v>
      </c>
      <c r="BI217" s="166">
        <f t="shared" si="25"/>
        <v>0</v>
      </c>
      <c r="BJ217" s="14" t="s">
        <v>82</v>
      </c>
      <c r="BK217" s="166">
        <f t="shared" si="26"/>
        <v>0</v>
      </c>
      <c r="BL217" s="14" t="s">
        <v>213</v>
      </c>
      <c r="BM217" s="165" t="s">
        <v>467</v>
      </c>
    </row>
    <row r="218" spans="1:65" s="2" customFormat="1" ht="24.2" customHeight="1">
      <c r="A218" s="29"/>
      <c r="B218" s="152"/>
      <c r="C218" s="167" t="s">
        <v>326</v>
      </c>
      <c r="D218" s="167" t="s">
        <v>202</v>
      </c>
      <c r="E218" s="168" t="s">
        <v>2271</v>
      </c>
      <c r="F218" s="169" t="s">
        <v>2272</v>
      </c>
      <c r="G218" s="170" t="s">
        <v>217</v>
      </c>
      <c r="H218" s="171">
        <v>2</v>
      </c>
      <c r="I218" s="172"/>
      <c r="J218" s="151">
        <v>0</v>
      </c>
      <c r="K218" s="174"/>
      <c r="L218" s="175"/>
      <c r="M218" s="176" t="s">
        <v>1</v>
      </c>
      <c r="N218" s="177" t="s">
        <v>35</v>
      </c>
      <c r="O218" s="58"/>
      <c r="P218" s="163">
        <f t="shared" si="18"/>
        <v>0</v>
      </c>
      <c r="Q218" s="163">
        <v>0.46</v>
      </c>
      <c r="R218" s="163">
        <f t="shared" si="19"/>
        <v>0.92</v>
      </c>
      <c r="S218" s="163">
        <v>0</v>
      </c>
      <c r="T218" s="164">
        <f t="shared" si="20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65" t="s">
        <v>242</v>
      </c>
      <c r="AT218" s="165" t="s">
        <v>202</v>
      </c>
      <c r="AU218" s="165" t="s">
        <v>82</v>
      </c>
      <c r="AY218" s="14" t="s">
        <v>179</v>
      </c>
      <c r="BE218" s="166">
        <f t="shared" si="21"/>
        <v>0</v>
      </c>
      <c r="BF218" s="166">
        <f t="shared" si="22"/>
        <v>0</v>
      </c>
      <c r="BG218" s="166">
        <f t="shared" si="23"/>
        <v>0</v>
      </c>
      <c r="BH218" s="166">
        <f t="shared" si="24"/>
        <v>0</v>
      </c>
      <c r="BI218" s="166">
        <f t="shared" si="25"/>
        <v>0</v>
      </c>
      <c r="BJ218" s="14" t="s">
        <v>82</v>
      </c>
      <c r="BK218" s="166">
        <f t="shared" si="26"/>
        <v>0</v>
      </c>
      <c r="BL218" s="14" t="s">
        <v>213</v>
      </c>
      <c r="BM218" s="165" t="s">
        <v>470</v>
      </c>
    </row>
    <row r="219" spans="1:65" s="2" customFormat="1" ht="24.2" customHeight="1">
      <c r="A219" s="29"/>
      <c r="B219" s="152"/>
      <c r="C219" s="167" t="s">
        <v>464</v>
      </c>
      <c r="D219" s="167" t="s">
        <v>202</v>
      </c>
      <c r="E219" s="168" t="s">
        <v>2273</v>
      </c>
      <c r="F219" s="169" t="s">
        <v>2274</v>
      </c>
      <c r="G219" s="170" t="s">
        <v>217</v>
      </c>
      <c r="H219" s="171">
        <v>1</v>
      </c>
      <c r="I219" s="172"/>
      <c r="J219" s="151">
        <v>0</v>
      </c>
      <c r="K219" s="174"/>
      <c r="L219" s="175"/>
      <c r="M219" s="176" t="s">
        <v>1</v>
      </c>
      <c r="N219" s="177" t="s">
        <v>35</v>
      </c>
      <c r="O219" s="58"/>
      <c r="P219" s="163">
        <f t="shared" si="18"/>
        <v>0</v>
      </c>
      <c r="Q219" s="163">
        <v>0.46</v>
      </c>
      <c r="R219" s="163">
        <f t="shared" si="19"/>
        <v>0.46</v>
      </c>
      <c r="S219" s="163">
        <v>0</v>
      </c>
      <c r="T219" s="164">
        <f t="shared" si="20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65" t="s">
        <v>242</v>
      </c>
      <c r="AT219" s="165" t="s">
        <v>202</v>
      </c>
      <c r="AU219" s="165" t="s">
        <v>82</v>
      </c>
      <c r="AY219" s="14" t="s">
        <v>179</v>
      </c>
      <c r="BE219" s="166">
        <f t="shared" si="21"/>
        <v>0</v>
      </c>
      <c r="BF219" s="166">
        <f t="shared" si="22"/>
        <v>0</v>
      </c>
      <c r="BG219" s="166">
        <f t="shared" si="23"/>
        <v>0</v>
      </c>
      <c r="BH219" s="166">
        <f t="shared" si="24"/>
        <v>0</v>
      </c>
      <c r="BI219" s="166">
        <f t="shared" si="25"/>
        <v>0</v>
      </c>
      <c r="BJ219" s="14" t="s">
        <v>82</v>
      </c>
      <c r="BK219" s="166">
        <f t="shared" si="26"/>
        <v>0</v>
      </c>
      <c r="BL219" s="14" t="s">
        <v>213</v>
      </c>
      <c r="BM219" s="165" t="s">
        <v>474</v>
      </c>
    </row>
    <row r="220" spans="1:65" s="2" customFormat="1" ht="49.15" customHeight="1">
      <c r="A220" s="29"/>
      <c r="B220" s="152"/>
      <c r="C220" s="153" t="s">
        <v>329</v>
      </c>
      <c r="D220" s="153" t="s">
        <v>181</v>
      </c>
      <c r="E220" s="154" t="s">
        <v>2275</v>
      </c>
      <c r="F220" s="155" t="s">
        <v>2276</v>
      </c>
      <c r="G220" s="156" t="s">
        <v>217</v>
      </c>
      <c r="H220" s="157">
        <v>2</v>
      </c>
      <c r="I220" s="158"/>
      <c r="J220" s="151">
        <v>0</v>
      </c>
      <c r="K220" s="160"/>
      <c r="L220" s="30"/>
      <c r="M220" s="161" t="s">
        <v>1</v>
      </c>
      <c r="N220" s="162" t="s">
        <v>35</v>
      </c>
      <c r="O220" s="58"/>
      <c r="P220" s="163">
        <f t="shared" si="18"/>
        <v>0</v>
      </c>
      <c r="Q220" s="163">
        <v>0</v>
      </c>
      <c r="R220" s="163">
        <f t="shared" si="19"/>
        <v>0</v>
      </c>
      <c r="S220" s="163">
        <v>0</v>
      </c>
      <c r="T220" s="164">
        <f t="shared" si="20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65" t="s">
        <v>213</v>
      </c>
      <c r="AT220" s="165" t="s">
        <v>181</v>
      </c>
      <c r="AU220" s="165" t="s">
        <v>82</v>
      </c>
      <c r="AY220" s="14" t="s">
        <v>179</v>
      </c>
      <c r="BE220" s="166">
        <f t="shared" si="21"/>
        <v>0</v>
      </c>
      <c r="BF220" s="166">
        <f t="shared" si="22"/>
        <v>0</v>
      </c>
      <c r="BG220" s="166">
        <f t="shared" si="23"/>
        <v>0</v>
      </c>
      <c r="BH220" s="166">
        <f t="shared" si="24"/>
        <v>0</v>
      </c>
      <c r="BI220" s="166">
        <f t="shared" si="25"/>
        <v>0</v>
      </c>
      <c r="BJ220" s="14" t="s">
        <v>82</v>
      </c>
      <c r="BK220" s="166">
        <f t="shared" si="26"/>
        <v>0</v>
      </c>
      <c r="BL220" s="14" t="s">
        <v>213</v>
      </c>
      <c r="BM220" s="165" t="s">
        <v>478</v>
      </c>
    </row>
    <row r="221" spans="1:65" s="2" customFormat="1" ht="33" customHeight="1">
      <c r="A221" s="29"/>
      <c r="B221" s="152"/>
      <c r="C221" s="153" t="s">
        <v>471</v>
      </c>
      <c r="D221" s="153" t="s">
        <v>181</v>
      </c>
      <c r="E221" s="154" t="s">
        <v>2277</v>
      </c>
      <c r="F221" s="339" t="s">
        <v>3434</v>
      </c>
      <c r="G221" s="156" t="s">
        <v>217</v>
      </c>
      <c r="H221" s="157">
        <v>3</v>
      </c>
      <c r="I221" s="158"/>
      <c r="J221" s="151">
        <v>0</v>
      </c>
      <c r="K221" s="160"/>
      <c r="L221" s="30"/>
      <c r="M221" s="161" t="s">
        <v>1</v>
      </c>
      <c r="N221" s="162" t="s">
        <v>35</v>
      </c>
      <c r="O221" s="58"/>
      <c r="P221" s="163">
        <f t="shared" si="18"/>
        <v>0</v>
      </c>
      <c r="Q221" s="163">
        <v>0</v>
      </c>
      <c r="R221" s="163">
        <f t="shared" si="19"/>
        <v>0</v>
      </c>
      <c r="S221" s="163">
        <v>0</v>
      </c>
      <c r="T221" s="164">
        <f t="shared" si="20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65" t="s">
        <v>213</v>
      </c>
      <c r="AT221" s="165" t="s">
        <v>181</v>
      </c>
      <c r="AU221" s="165" t="s">
        <v>82</v>
      </c>
      <c r="AY221" s="14" t="s">
        <v>179</v>
      </c>
      <c r="BE221" s="166">
        <f t="shared" si="21"/>
        <v>0</v>
      </c>
      <c r="BF221" s="166">
        <f t="shared" si="22"/>
        <v>0</v>
      </c>
      <c r="BG221" s="166">
        <f t="shared" si="23"/>
        <v>0</v>
      </c>
      <c r="BH221" s="166">
        <f t="shared" si="24"/>
        <v>0</v>
      </c>
      <c r="BI221" s="166">
        <f t="shared" si="25"/>
        <v>0</v>
      </c>
      <c r="BJ221" s="14" t="s">
        <v>82</v>
      </c>
      <c r="BK221" s="166">
        <f t="shared" si="26"/>
        <v>0</v>
      </c>
      <c r="BL221" s="14" t="s">
        <v>213</v>
      </c>
      <c r="BM221" s="165" t="s">
        <v>482</v>
      </c>
    </row>
    <row r="222" spans="1:65" s="2" customFormat="1" ht="33" customHeight="1">
      <c r="A222" s="29"/>
      <c r="B222" s="152"/>
      <c r="C222" s="167" t="s">
        <v>333</v>
      </c>
      <c r="D222" s="167" t="s">
        <v>202</v>
      </c>
      <c r="E222" s="168" t="s">
        <v>2278</v>
      </c>
      <c r="F222" s="169" t="s">
        <v>2279</v>
      </c>
      <c r="G222" s="170" t="s">
        <v>217</v>
      </c>
      <c r="H222" s="171">
        <v>3</v>
      </c>
      <c r="I222" s="172"/>
      <c r="J222" s="151">
        <v>0</v>
      </c>
      <c r="K222" s="174"/>
      <c r="L222" s="175"/>
      <c r="M222" s="176" t="s">
        <v>1</v>
      </c>
      <c r="N222" s="177" t="s">
        <v>35</v>
      </c>
      <c r="O222" s="58"/>
      <c r="P222" s="163">
        <f t="shared" si="18"/>
        <v>0</v>
      </c>
      <c r="Q222" s="163">
        <v>6.9999999999999994E-5</v>
      </c>
      <c r="R222" s="163">
        <f t="shared" si="19"/>
        <v>2.0999999999999998E-4</v>
      </c>
      <c r="S222" s="163">
        <v>0</v>
      </c>
      <c r="T222" s="164">
        <f t="shared" si="20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65" t="s">
        <v>242</v>
      </c>
      <c r="AT222" s="165" t="s">
        <v>202</v>
      </c>
      <c r="AU222" s="165" t="s">
        <v>82</v>
      </c>
      <c r="AY222" s="14" t="s">
        <v>179</v>
      </c>
      <c r="BE222" s="166">
        <f t="shared" si="21"/>
        <v>0</v>
      </c>
      <c r="BF222" s="166">
        <f t="shared" si="22"/>
        <v>0</v>
      </c>
      <c r="BG222" s="166">
        <f t="shared" si="23"/>
        <v>0</v>
      </c>
      <c r="BH222" s="166">
        <f t="shared" si="24"/>
        <v>0</v>
      </c>
      <c r="BI222" s="166">
        <f t="shared" si="25"/>
        <v>0</v>
      </c>
      <c r="BJ222" s="14" t="s">
        <v>82</v>
      </c>
      <c r="BK222" s="166">
        <f t="shared" si="26"/>
        <v>0</v>
      </c>
      <c r="BL222" s="14" t="s">
        <v>213</v>
      </c>
      <c r="BM222" s="165" t="s">
        <v>485</v>
      </c>
    </row>
    <row r="223" spans="1:65" s="2" customFormat="1" ht="33" customHeight="1">
      <c r="A223" s="29"/>
      <c r="B223" s="152"/>
      <c r="C223" s="167" t="s">
        <v>479</v>
      </c>
      <c r="D223" s="167" t="s">
        <v>202</v>
      </c>
      <c r="E223" s="168" t="s">
        <v>2280</v>
      </c>
      <c r="F223" s="169" t="s">
        <v>2281</v>
      </c>
      <c r="G223" s="170" t="s">
        <v>217</v>
      </c>
      <c r="H223" s="171">
        <v>3</v>
      </c>
      <c r="I223" s="172"/>
      <c r="J223" s="151">
        <v>0</v>
      </c>
      <c r="K223" s="174"/>
      <c r="L223" s="175"/>
      <c r="M223" s="176" t="s">
        <v>1</v>
      </c>
      <c r="N223" s="177" t="s">
        <v>35</v>
      </c>
      <c r="O223" s="58"/>
      <c r="P223" s="163">
        <f t="shared" si="18"/>
        <v>0</v>
      </c>
      <c r="Q223" s="163">
        <v>6.9999999999999994E-5</v>
      </c>
      <c r="R223" s="163">
        <f t="shared" si="19"/>
        <v>2.0999999999999998E-4</v>
      </c>
      <c r="S223" s="163">
        <v>0</v>
      </c>
      <c r="T223" s="164">
        <f t="shared" si="20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65" t="s">
        <v>242</v>
      </c>
      <c r="AT223" s="165" t="s">
        <v>202</v>
      </c>
      <c r="AU223" s="165" t="s">
        <v>82</v>
      </c>
      <c r="AY223" s="14" t="s">
        <v>179</v>
      </c>
      <c r="BE223" s="166">
        <f t="shared" si="21"/>
        <v>0</v>
      </c>
      <c r="BF223" s="166">
        <f t="shared" si="22"/>
        <v>0</v>
      </c>
      <c r="BG223" s="166">
        <f t="shared" si="23"/>
        <v>0</v>
      </c>
      <c r="BH223" s="166">
        <f t="shared" si="24"/>
        <v>0</v>
      </c>
      <c r="BI223" s="166">
        <f t="shared" si="25"/>
        <v>0</v>
      </c>
      <c r="BJ223" s="14" t="s">
        <v>82</v>
      </c>
      <c r="BK223" s="166">
        <f t="shared" si="26"/>
        <v>0</v>
      </c>
      <c r="BL223" s="14" t="s">
        <v>213</v>
      </c>
      <c r="BM223" s="165" t="s">
        <v>489</v>
      </c>
    </row>
    <row r="224" spans="1:65" s="2" customFormat="1" ht="37.9" customHeight="1">
      <c r="A224" s="29"/>
      <c r="B224" s="152"/>
      <c r="C224" s="167" t="s">
        <v>336</v>
      </c>
      <c r="D224" s="167" t="s">
        <v>202</v>
      </c>
      <c r="E224" s="168" t="s">
        <v>2282</v>
      </c>
      <c r="F224" s="169" t="s">
        <v>2283</v>
      </c>
      <c r="G224" s="170" t="s">
        <v>217</v>
      </c>
      <c r="H224" s="171">
        <v>24</v>
      </c>
      <c r="I224" s="172"/>
      <c r="J224" s="151">
        <v>0</v>
      </c>
      <c r="K224" s="174"/>
      <c r="L224" s="175"/>
      <c r="M224" s="176" t="s">
        <v>1</v>
      </c>
      <c r="N224" s="177" t="s">
        <v>35</v>
      </c>
      <c r="O224" s="58"/>
      <c r="P224" s="163">
        <f t="shared" si="18"/>
        <v>0</v>
      </c>
      <c r="Q224" s="163">
        <v>6.9999999999999994E-5</v>
      </c>
      <c r="R224" s="163">
        <f t="shared" si="19"/>
        <v>1.6799999999999999E-3</v>
      </c>
      <c r="S224" s="163">
        <v>0</v>
      </c>
      <c r="T224" s="164">
        <f t="shared" si="20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65" t="s">
        <v>242</v>
      </c>
      <c r="AT224" s="165" t="s">
        <v>202</v>
      </c>
      <c r="AU224" s="165" t="s">
        <v>82</v>
      </c>
      <c r="AY224" s="14" t="s">
        <v>179</v>
      </c>
      <c r="BE224" s="166">
        <f t="shared" si="21"/>
        <v>0</v>
      </c>
      <c r="BF224" s="166">
        <f t="shared" si="22"/>
        <v>0</v>
      </c>
      <c r="BG224" s="166">
        <f t="shared" si="23"/>
        <v>0</v>
      </c>
      <c r="BH224" s="166">
        <f t="shared" si="24"/>
        <v>0</v>
      </c>
      <c r="BI224" s="166">
        <f t="shared" si="25"/>
        <v>0</v>
      </c>
      <c r="BJ224" s="14" t="s">
        <v>82</v>
      </c>
      <c r="BK224" s="166">
        <f t="shared" si="26"/>
        <v>0</v>
      </c>
      <c r="BL224" s="14" t="s">
        <v>213</v>
      </c>
      <c r="BM224" s="165" t="s">
        <v>492</v>
      </c>
    </row>
    <row r="225" spans="1:65" s="2" customFormat="1" ht="33" customHeight="1">
      <c r="A225" s="29"/>
      <c r="B225" s="152"/>
      <c r="C225" s="167" t="s">
        <v>486</v>
      </c>
      <c r="D225" s="167" t="s">
        <v>202</v>
      </c>
      <c r="E225" s="168" t="s">
        <v>2284</v>
      </c>
      <c r="F225" s="169" t="s">
        <v>2285</v>
      </c>
      <c r="G225" s="170" t="s">
        <v>217</v>
      </c>
      <c r="H225" s="171">
        <v>3</v>
      </c>
      <c r="I225" s="172"/>
      <c r="J225" s="151">
        <v>0</v>
      </c>
      <c r="K225" s="174"/>
      <c r="L225" s="175"/>
      <c r="M225" s="176" t="s">
        <v>1</v>
      </c>
      <c r="N225" s="177" t="s">
        <v>35</v>
      </c>
      <c r="O225" s="58"/>
      <c r="P225" s="163">
        <f t="shared" si="18"/>
        <v>0</v>
      </c>
      <c r="Q225" s="163">
        <v>6.9999999999999994E-5</v>
      </c>
      <c r="R225" s="163">
        <f t="shared" si="19"/>
        <v>2.0999999999999998E-4</v>
      </c>
      <c r="S225" s="163">
        <v>0</v>
      </c>
      <c r="T225" s="164">
        <f t="shared" si="20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65" t="s">
        <v>242</v>
      </c>
      <c r="AT225" s="165" t="s">
        <v>202</v>
      </c>
      <c r="AU225" s="165" t="s">
        <v>82</v>
      </c>
      <c r="AY225" s="14" t="s">
        <v>179</v>
      </c>
      <c r="BE225" s="166">
        <f t="shared" si="21"/>
        <v>0</v>
      </c>
      <c r="BF225" s="166">
        <f t="shared" si="22"/>
        <v>0</v>
      </c>
      <c r="BG225" s="166">
        <f t="shared" si="23"/>
        <v>0</v>
      </c>
      <c r="BH225" s="166">
        <f t="shared" si="24"/>
        <v>0</v>
      </c>
      <c r="BI225" s="166">
        <f t="shared" si="25"/>
        <v>0</v>
      </c>
      <c r="BJ225" s="14" t="s">
        <v>82</v>
      </c>
      <c r="BK225" s="166">
        <f t="shared" si="26"/>
        <v>0</v>
      </c>
      <c r="BL225" s="14" t="s">
        <v>213</v>
      </c>
      <c r="BM225" s="165" t="s">
        <v>496</v>
      </c>
    </row>
    <row r="226" spans="1:65" s="2" customFormat="1" ht="24.2" customHeight="1">
      <c r="A226" s="29"/>
      <c r="B226" s="152"/>
      <c r="C226" s="167" t="s">
        <v>340</v>
      </c>
      <c r="D226" s="167" t="s">
        <v>202</v>
      </c>
      <c r="E226" s="168" t="s">
        <v>2286</v>
      </c>
      <c r="F226" s="169" t="s">
        <v>2287</v>
      </c>
      <c r="G226" s="170" t="s">
        <v>217</v>
      </c>
      <c r="H226" s="171">
        <v>3</v>
      </c>
      <c r="I226" s="172"/>
      <c r="J226" s="151">
        <v>0</v>
      </c>
      <c r="K226" s="174"/>
      <c r="L226" s="175"/>
      <c r="M226" s="176" t="s">
        <v>1</v>
      </c>
      <c r="N226" s="177" t="s">
        <v>35</v>
      </c>
      <c r="O226" s="58"/>
      <c r="P226" s="163">
        <f t="shared" si="18"/>
        <v>0</v>
      </c>
      <c r="Q226" s="163">
        <v>2.0000000000000001E-4</v>
      </c>
      <c r="R226" s="163">
        <f t="shared" si="19"/>
        <v>6.0000000000000006E-4</v>
      </c>
      <c r="S226" s="163">
        <v>0</v>
      </c>
      <c r="T226" s="164">
        <f t="shared" si="20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65" t="s">
        <v>242</v>
      </c>
      <c r="AT226" s="165" t="s">
        <v>202</v>
      </c>
      <c r="AU226" s="165" t="s">
        <v>82</v>
      </c>
      <c r="AY226" s="14" t="s">
        <v>179</v>
      </c>
      <c r="BE226" s="166">
        <f t="shared" si="21"/>
        <v>0</v>
      </c>
      <c r="BF226" s="166">
        <f t="shared" si="22"/>
        <v>0</v>
      </c>
      <c r="BG226" s="166">
        <f t="shared" si="23"/>
        <v>0</v>
      </c>
      <c r="BH226" s="166">
        <f t="shared" si="24"/>
        <v>0</v>
      </c>
      <c r="BI226" s="166">
        <f t="shared" si="25"/>
        <v>0</v>
      </c>
      <c r="BJ226" s="14" t="s">
        <v>82</v>
      </c>
      <c r="BK226" s="166">
        <f t="shared" si="26"/>
        <v>0</v>
      </c>
      <c r="BL226" s="14" t="s">
        <v>213</v>
      </c>
      <c r="BM226" s="165" t="s">
        <v>499</v>
      </c>
    </row>
    <row r="227" spans="1:65" s="2" customFormat="1" ht="24.2" customHeight="1">
      <c r="A227" s="29"/>
      <c r="B227" s="152"/>
      <c r="C227" s="167" t="s">
        <v>493</v>
      </c>
      <c r="D227" s="167" t="s">
        <v>202</v>
      </c>
      <c r="E227" s="168" t="s">
        <v>2288</v>
      </c>
      <c r="F227" s="169" t="s">
        <v>2289</v>
      </c>
      <c r="G227" s="170" t="s">
        <v>217</v>
      </c>
      <c r="H227" s="171">
        <v>3</v>
      </c>
      <c r="I227" s="172"/>
      <c r="J227" s="151">
        <v>0</v>
      </c>
      <c r="K227" s="174"/>
      <c r="L227" s="175"/>
      <c r="M227" s="176" t="s">
        <v>1</v>
      </c>
      <c r="N227" s="177" t="s">
        <v>35</v>
      </c>
      <c r="O227" s="58"/>
      <c r="P227" s="163">
        <f t="shared" si="18"/>
        <v>0</v>
      </c>
      <c r="Q227" s="163">
        <v>1.2E-4</v>
      </c>
      <c r="R227" s="163">
        <f t="shared" si="19"/>
        <v>3.6000000000000002E-4</v>
      </c>
      <c r="S227" s="163">
        <v>0</v>
      </c>
      <c r="T227" s="164">
        <f t="shared" si="20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65" t="s">
        <v>242</v>
      </c>
      <c r="AT227" s="165" t="s">
        <v>202</v>
      </c>
      <c r="AU227" s="165" t="s">
        <v>82</v>
      </c>
      <c r="AY227" s="14" t="s">
        <v>179</v>
      </c>
      <c r="BE227" s="166">
        <f t="shared" si="21"/>
        <v>0</v>
      </c>
      <c r="BF227" s="166">
        <f t="shared" si="22"/>
        <v>0</v>
      </c>
      <c r="BG227" s="166">
        <f t="shared" si="23"/>
        <v>0</v>
      </c>
      <c r="BH227" s="166">
        <f t="shared" si="24"/>
        <v>0</v>
      </c>
      <c r="BI227" s="166">
        <f t="shared" si="25"/>
        <v>0</v>
      </c>
      <c r="BJ227" s="14" t="s">
        <v>82</v>
      </c>
      <c r="BK227" s="166">
        <f t="shared" si="26"/>
        <v>0</v>
      </c>
      <c r="BL227" s="14" t="s">
        <v>213</v>
      </c>
      <c r="BM227" s="165" t="s">
        <v>503</v>
      </c>
    </row>
    <row r="228" spans="1:65" s="2" customFormat="1" ht="33" customHeight="1">
      <c r="A228" s="29"/>
      <c r="B228" s="152"/>
      <c r="C228" s="167" t="s">
        <v>343</v>
      </c>
      <c r="D228" s="167" t="s">
        <v>202</v>
      </c>
      <c r="E228" s="168" t="s">
        <v>2290</v>
      </c>
      <c r="F228" s="169" t="s">
        <v>2291</v>
      </c>
      <c r="G228" s="170" t="s">
        <v>217</v>
      </c>
      <c r="H228" s="171">
        <v>3</v>
      </c>
      <c r="I228" s="172"/>
      <c r="J228" s="151">
        <v>0</v>
      </c>
      <c r="K228" s="174"/>
      <c r="L228" s="175"/>
      <c r="M228" s="176" t="s">
        <v>1</v>
      </c>
      <c r="N228" s="177" t="s">
        <v>35</v>
      </c>
      <c r="O228" s="58"/>
      <c r="P228" s="163">
        <f t="shared" si="18"/>
        <v>0</v>
      </c>
      <c r="Q228" s="163">
        <v>2.4000000000000001E-4</v>
      </c>
      <c r="R228" s="163">
        <f t="shared" si="19"/>
        <v>7.2000000000000005E-4</v>
      </c>
      <c r="S228" s="163">
        <v>0</v>
      </c>
      <c r="T228" s="164">
        <f t="shared" si="20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65" t="s">
        <v>242</v>
      </c>
      <c r="AT228" s="165" t="s">
        <v>202</v>
      </c>
      <c r="AU228" s="165" t="s">
        <v>82</v>
      </c>
      <c r="AY228" s="14" t="s">
        <v>179</v>
      </c>
      <c r="BE228" s="166">
        <f t="shared" si="21"/>
        <v>0</v>
      </c>
      <c r="BF228" s="166">
        <f t="shared" si="22"/>
        <v>0</v>
      </c>
      <c r="BG228" s="166">
        <f t="shared" si="23"/>
        <v>0</v>
      </c>
      <c r="BH228" s="166">
        <f t="shared" si="24"/>
        <v>0</v>
      </c>
      <c r="BI228" s="166">
        <f t="shared" si="25"/>
        <v>0</v>
      </c>
      <c r="BJ228" s="14" t="s">
        <v>82</v>
      </c>
      <c r="BK228" s="166">
        <f t="shared" si="26"/>
        <v>0</v>
      </c>
      <c r="BL228" s="14" t="s">
        <v>213</v>
      </c>
      <c r="BM228" s="165" t="s">
        <v>506</v>
      </c>
    </row>
    <row r="229" spans="1:65" s="2" customFormat="1" ht="37.9" customHeight="1">
      <c r="A229" s="29"/>
      <c r="B229" s="152"/>
      <c r="C229" s="167" t="s">
        <v>500</v>
      </c>
      <c r="D229" s="167" t="s">
        <v>202</v>
      </c>
      <c r="E229" s="168" t="s">
        <v>2292</v>
      </c>
      <c r="F229" s="169" t="s">
        <v>2293</v>
      </c>
      <c r="G229" s="170" t="s">
        <v>217</v>
      </c>
      <c r="H229" s="171">
        <v>3</v>
      </c>
      <c r="I229" s="172"/>
      <c r="J229" s="151">
        <v>0</v>
      </c>
      <c r="K229" s="174"/>
      <c r="L229" s="175"/>
      <c r="M229" s="176" t="s">
        <v>1</v>
      </c>
      <c r="N229" s="177" t="s">
        <v>35</v>
      </c>
      <c r="O229" s="58"/>
      <c r="P229" s="163">
        <f t="shared" si="18"/>
        <v>0</v>
      </c>
      <c r="Q229" s="163">
        <v>1.1E-4</v>
      </c>
      <c r="R229" s="163">
        <f t="shared" si="19"/>
        <v>3.3E-4</v>
      </c>
      <c r="S229" s="163">
        <v>0</v>
      </c>
      <c r="T229" s="164">
        <f t="shared" si="20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65" t="s">
        <v>242</v>
      </c>
      <c r="AT229" s="165" t="s">
        <v>202</v>
      </c>
      <c r="AU229" s="165" t="s">
        <v>82</v>
      </c>
      <c r="AY229" s="14" t="s">
        <v>179</v>
      </c>
      <c r="BE229" s="166">
        <f t="shared" si="21"/>
        <v>0</v>
      </c>
      <c r="BF229" s="166">
        <f t="shared" si="22"/>
        <v>0</v>
      </c>
      <c r="BG229" s="166">
        <f t="shared" si="23"/>
        <v>0</v>
      </c>
      <c r="BH229" s="166">
        <f t="shared" si="24"/>
        <v>0</v>
      </c>
      <c r="BI229" s="166">
        <f t="shared" si="25"/>
        <v>0</v>
      </c>
      <c r="BJ229" s="14" t="s">
        <v>82</v>
      </c>
      <c r="BK229" s="166">
        <f t="shared" si="26"/>
        <v>0</v>
      </c>
      <c r="BL229" s="14" t="s">
        <v>213</v>
      </c>
      <c r="BM229" s="165" t="s">
        <v>510</v>
      </c>
    </row>
    <row r="230" spans="1:65" s="2" customFormat="1" ht="24.2" customHeight="1">
      <c r="A230" s="29"/>
      <c r="B230" s="152"/>
      <c r="C230" s="167" t="s">
        <v>354</v>
      </c>
      <c r="D230" s="167" t="s">
        <v>202</v>
      </c>
      <c r="E230" s="168" t="s">
        <v>2294</v>
      </c>
      <c r="F230" s="169" t="s">
        <v>2295</v>
      </c>
      <c r="G230" s="170" t="s">
        <v>217</v>
      </c>
      <c r="H230" s="171">
        <v>3</v>
      </c>
      <c r="I230" s="172"/>
      <c r="J230" s="151">
        <v>0</v>
      </c>
      <c r="K230" s="174"/>
      <c r="L230" s="175"/>
      <c r="M230" s="176" t="s">
        <v>1</v>
      </c>
      <c r="N230" s="177" t="s">
        <v>35</v>
      </c>
      <c r="O230" s="58"/>
      <c r="P230" s="163">
        <f t="shared" si="18"/>
        <v>0</v>
      </c>
      <c r="Q230" s="163">
        <v>1.1E-4</v>
      </c>
      <c r="R230" s="163">
        <f t="shared" si="19"/>
        <v>3.3E-4</v>
      </c>
      <c r="S230" s="163">
        <v>0</v>
      </c>
      <c r="T230" s="164">
        <f t="shared" si="20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65" t="s">
        <v>242</v>
      </c>
      <c r="AT230" s="165" t="s">
        <v>202</v>
      </c>
      <c r="AU230" s="165" t="s">
        <v>82</v>
      </c>
      <c r="AY230" s="14" t="s">
        <v>179</v>
      </c>
      <c r="BE230" s="166">
        <f t="shared" si="21"/>
        <v>0</v>
      </c>
      <c r="BF230" s="166">
        <f t="shared" si="22"/>
        <v>0</v>
      </c>
      <c r="BG230" s="166">
        <f t="shared" si="23"/>
        <v>0</v>
      </c>
      <c r="BH230" s="166">
        <f t="shared" si="24"/>
        <v>0</v>
      </c>
      <c r="BI230" s="166">
        <f t="shared" si="25"/>
        <v>0</v>
      </c>
      <c r="BJ230" s="14" t="s">
        <v>82</v>
      </c>
      <c r="BK230" s="166">
        <f t="shared" si="26"/>
        <v>0</v>
      </c>
      <c r="BL230" s="14" t="s">
        <v>213</v>
      </c>
      <c r="BM230" s="165" t="s">
        <v>517</v>
      </c>
    </row>
    <row r="231" spans="1:65" s="2" customFormat="1" ht="16.5" customHeight="1">
      <c r="A231" s="29"/>
      <c r="B231" s="152"/>
      <c r="C231" s="167" t="s">
        <v>507</v>
      </c>
      <c r="D231" s="167" t="s">
        <v>202</v>
      </c>
      <c r="E231" s="168" t="s">
        <v>2296</v>
      </c>
      <c r="F231" s="169" t="s">
        <v>2297</v>
      </c>
      <c r="G231" s="170" t="s">
        <v>217</v>
      </c>
      <c r="H231" s="171">
        <v>3</v>
      </c>
      <c r="I231" s="172"/>
      <c r="J231" s="151">
        <v>0</v>
      </c>
      <c r="K231" s="174"/>
      <c r="L231" s="175"/>
      <c r="M231" s="176" t="s">
        <v>1</v>
      </c>
      <c r="N231" s="177" t="s">
        <v>35</v>
      </c>
      <c r="O231" s="58"/>
      <c r="P231" s="163">
        <f t="shared" si="18"/>
        <v>0</v>
      </c>
      <c r="Q231" s="163">
        <v>1.2E-2</v>
      </c>
      <c r="R231" s="163">
        <f t="shared" si="19"/>
        <v>3.6000000000000004E-2</v>
      </c>
      <c r="S231" s="163">
        <v>0</v>
      </c>
      <c r="T231" s="164">
        <f t="shared" si="20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65" t="s">
        <v>242</v>
      </c>
      <c r="AT231" s="165" t="s">
        <v>202</v>
      </c>
      <c r="AU231" s="165" t="s">
        <v>82</v>
      </c>
      <c r="AY231" s="14" t="s">
        <v>179</v>
      </c>
      <c r="BE231" s="166">
        <f t="shared" si="21"/>
        <v>0</v>
      </c>
      <c r="BF231" s="166">
        <f t="shared" si="22"/>
        <v>0</v>
      </c>
      <c r="BG231" s="166">
        <f t="shared" si="23"/>
        <v>0</v>
      </c>
      <c r="BH231" s="166">
        <f t="shared" si="24"/>
        <v>0</v>
      </c>
      <c r="BI231" s="166">
        <f t="shared" si="25"/>
        <v>0</v>
      </c>
      <c r="BJ231" s="14" t="s">
        <v>82</v>
      </c>
      <c r="BK231" s="166">
        <f t="shared" si="26"/>
        <v>0</v>
      </c>
      <c r="BL231" s="14" t="s">
        <v>213</v>
      </c>
      <c r="BM231" s="165" t="s">
        <v>520</v>
      </c>
    </row>
    <row r="232" spans="1:65" s="2" customFormat="1" ht="33" customHeight="1">
      <c r="A232" s="29"/>
      <c r="B232" s="152"/>
      <c r="C232" s="153" t="s">
        <v>357</v>
      </c>
      <c r="D232" s="153" t="s">
        <v>181</v>
      </c>
      <c r="E232" s="154" t="s">
        <v>2298</v>
      </c>
      <c r="F232" s="339" t="s">
        <v>3435</v>
      </c>
      <c r="G232" s="156" t="s">
        <v>217</v>
      </c>
      <c r="H232" s="157">
        <v>2</v>
      </c>
      <c r="I232" s="158"/>
      <c r="J232" s="151">
        <v>0</v>
      </c>
      <c r="K232" s="160"/>
      <c r="L232" s="30"/>
      <c r="M232" s="161" t="s">
        <v>1</v>
      </c>
      <c r="N232" s="162" t="s">
        <v>35</v>
      </c>
      <c r="O232" s="58"/>
      <c r="P232" s="163">
        <f t="shared" ref="P232:P250" si="27">O232*H232</f>
        <v>0</v>
      </c>
      <c r="Q232" s="163">
        <v>0</v>
      </c>
      <c r="R232" s="163">
        <f t="shared" ref="R232:R250" si="28">Q232*H232</f>
        <v>0</v>
      </c>
      <c r="S232" s="163">
        <v>0</v>
      </c>
      <c r="T232" s="164">
        <f t="shared" ref="T232:T250" si="29">S232*H232</f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65" t="s">
        <v>213</v>
      </c>
      <c r="AT232" s="165" t="s">
        <v>181</v>
      </c>
      <c r="AU232" s="165" t="s">
        <v>82</v>
      </c>
      <c r="AY232" s="14" t="s">
        <v>179</v>
      </c>
      <c r="BE232" s="166">
        <f t="shared" ref="BE232:BE250" si="30">IF(N232="základná",J232,0)</f>
        <v>0</v>
      </c>
      <c r="BF232" s="166">
        <f t="shared" ref="BF232:BF250" si="31">IF(N232="znížená",J232,0)</f>
        <v>0</v>
      </c>
      <c r="BG232" s="166">
        <f t="shared" ref="BG232:BG250" si="32">IF(N232="zákl. prenesená",J232,0)</f>
        <v>0</v>
      </c>
      <c r="BH232" s="166">
        <f t="shared" ref="BH232:BH250" si="33">IF(N232="zníž. prenesená",J232,0)</f>
        <v>0</v>
      </c>
      <c r="BI232" s="166">
        <f t="shared" ref="BI232:BI250" si="34">IF(N232="nulová",J232,0)</f>
        <v>0</v>
      </c>
      <c r="BJ232" s="14" t="s">
        <v>82</v>
      </c>
      <c r="BK232" s="166">
        <f t="shared" ref="BK232:BK250" si="35">ROUND(I232*H232,2)</f>
        <v>0</v>
      </c>
      <c r="BL232" s="14" t="s">
        <v>213</v>
      </c>
      <c r="BM232" s="165" t="s">
        <v>524</v>
      </c>
    </row>
    <row r="233" spans="1:65" s="2" customFormat="1" ht="33" customHeight="1">
      <c r="A233" s="29"/>
      <c r="B233" s="152"/>
      <c r="C233" s="167" t="s">
        <v>514</v>
      </c>
      <c r="D233" s="167" t="s">
        <v>202</v>
      </c>
      <c r="E233" s="168" t="s">
        <v>2299</v>
      </c>
      <c r="F233" s="169" t="s">
        <v>2300</v>
      </c>
      <c r="G233" s="170" t="s">
        <v>217</v>
      </c>
      <c r="H233" s="171">
        <v>2</v>
      </c>
      <c r="I233" s="172"/>
      <c r="J233" s="151">
        <v>0</v>
      </c>
      <c r="K233" s="174"/>
      <c r="L233" s="175"/>
      <c r="M233" s="176" t="s">
        <v>1</v>
      </c>
      <c r="N233" s="177" t="s">
        <v>35</v>
      </c>
      <c r="O233" s="58"/>
      <c r="P233" s="163">
        <f t="shared" si="27"/>
        <v>0</v>
      </c>
      <c r="Q233" s="163">
        <v>6.9999999999999994E-5</v>
      </c>
      <c r="R233" s="163">
        <f t="shared" si="28"/>
        <v>1.3999999999999999E-4</v>
      </c>
      <c r="S233" s="163">
        <v>0</v>
      </c>
      <c r="T233" s="164">
        <f t="shared" si="29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65" t="s">
        <v>242</v>
      </c>
      <c r="AT233" s="165" t="s">
        <v>202</v>
      </c>
      <c r="AU233" s="165" t="s">
        <v>82</v>
      </c>
      <c r="AY233" s="14" t="s">
        <v>179</v>
      </c>
      <c r="BE233" s="166">
        <f t="shared" si="30"/>
        <v>0</v>
      </c>
      <c r="BF233" s="166">
        <f t="shared" si="31"/>
        <v>0</v>
      </c>
      <c r="BG233" s="166">
        <f t="shared" si="32"/>
        <v>0</v>
      </c>
      <c r="BH233" s="166">
        <f t="shared" si="33"/>
        <v>0</v>
      </c>
      <c r="BI233" s="166">
        <f t="shared" si="34"/>
        <v>0</v>
      </c>
      <c r="BJ233" s="14" t="s">
        <v>82</v>
      </c>
      <c r="BK233" s="166">
        <f t="shared" si="35"/>
        <v>0</v>
      </c>
      <c r="BL233" s="14" t="s">
        <v>213</v>
      </c>
      <c r="BM233" s="165" t="s">
        <v>527</v>
      </c>
    </row>
    <row r="234" spans="1:65" s="2" customFormat="1" ht="33" customHeight="1">
      <c r="A234" s="29"/>
      <c r="B234" s="152"/>
      <c r="C234" s="167" t="s">
        <v>361</v>
      </c>
      <c r="D234" s="167" t="s">
        <v>202</v>
      </c>
      <c r="E234" s="168" t="s">
        <v>2301</v>
      </c>
      <c r="F234" s="169" t="s">
        <v>2302</v>
      </c>
      <c r="G234" s="170" t="s">
        <v>217</v>
      </c>
      <c r="H234" s="171">
        <v>4</v>
      </c>
      <c r="I234" s="172"/>
      <c r="J234" s="151">
        <v>0</v>
      </c>
      <c r="K234" s="174"/>
      <c r="L234" s="175"/>
      <c r="M234" s="176" t="s">
        <v>1</v>
      </c>
      <c r="N234" s="177" t="s">
        <v>35</v>
      </c>
      <c r="O234" s="58"/>
      <c r="P234" s="163">
        <f t="shared" si="27"/>
        <v>0</v>
      </c>
      <c r="Q234" s="163">
        <v>2.0000000000000001E-4</v>
      </c>
      <c r="R234" s="163">
        <f t="shared" si="28"/>
        <v>8.0000000000000004E-4</v>
      </c>
      <c r="S234" s="163">
        <v>0</v>
      </c>
      <c r="T234" s="164">
        <f t="shared" si="29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65" t="s">
        <v>242</v>
      </c>
      <c r="AT234" s="165" t="s">
        <v>202</v>
      </c>
      <c r="AU234" s="165" t="s">
        <v>82</v>
      </c>
      <c r="AY234" s="14" t="s">
        <v>179</v>
      </c>
      <c r="BE234" s="166">
        <f t="shared" si="30"/>
        <v>0</v>
      </c>
      <c r="BF234" s="166">
        <f t="shared" si="31"/>
        <v>0</v>
      </c>
      <c r="BG234" s="166">
        <f t="shared" si="32"/>
        <v>0</v>
      </c>
      <c r="BH234" s="166">
        <f t="shared" si="33"/>
        <v>0</v>
      </c>
      <c r="BI234" s="166">
        <f t="shared" si="34"/>
        <v>0</v>
      </c>
      <c r="BJ234" s="14" t="s">
        <v>82</v>
      </c>
      <c r="BK234" s="166">
        <f t="shared" si="35"/>
        <v>0</v>
      </c>
      <c r="BL234" s="14" t="s">
        <v>213</v>
      </c>
      <c r="BM234" s="165" t="s">
        <v>531</v>
      </c>
    </row>
    <row r="235" spans="1:65" s="2" customFormat="1" ht="37.9" customHeight="1">
      <c r="A235" s="29"/>
      <c r="B235" s="152"/>
      <c r="C235" s="167" t="s">
        <v>521</v>
      </c>
      <c r="D235" s="167" t="s">
        <v>202</v>
      </c>
      <c r="E235" s="168" t="s">
        <v>2303</v>
      </c>
      <c r="F235" s="169" t="s">
        <v>2304</v>
      </c>
      <c r="G235" s="170" t="s">
        <v>217</v>
      </c>
      <c r="H235" s="171">
        <v>14</v>
      </c>
      <c r="I235" s="172"/>
      <c r="J235" s="151">
        <v>0</v>
      </c>
      <c r="K235" s="174"/>
      <c r="L235" s="175"/>
      <c r="M235" s="176" t="s">
        <v>1</v>
      </c>
      <c r="N235" s="177" t="s">
        <v>35</v>
      </c>
      <c r="O235" s="58"/>
      <c r="P235" s="163">
        <f t="shared" si="27"/>
        <v>0</v>
      </c>
      <c r="Q235" s="163">
        <v>2.4000000000000001E-4</v>
      </c>
      <c r="R235" s="163">
        <f t="shared" si="28"/>
        <v>3.3600000000000001E-3</v>
      </c>
      <c r="S235" s="163">
        <v>0</v>
      </c>
      <c r="T235" s="164">
        <f t="shared" si="29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65" t="s">
        <v>242</v>
      </c>
      <c r="AT235" s="165" t="s">
        <v>202</v>
      </c>
      <c r="AU235" s="165" t="s">
        <v>82</v>
      </c>
      <c r="AY235" s="14" t="s">
        <v>179</v>
      </c>
      <c r="BE235" s="166">
        <f t="shared" si="30"/>
        <v>0</v>
      </c>
      <c r="BF235" s="166">
        <f t="shared" si="31"/>
        <v>0</v>
      </c>
      <c r="BG235" s="166">
        <f t="shared" si="32"/>
        <v>0</v>
      </c>
      <c r="BH235" s="166">
        <f t="shared" si="33"/>
        <v>0</v>
      </c>
      <c r="BI235" s="166">
        <f t="shared" si="34"/>
        <v>0</v>
      </c>
      <c r="BJ235" s="14" t="s">
        <v>82</v>
      </c>
      <c r="BK235" s="166">
        <f t="shared" si="35"/>
        <v>0</v>
      </c>
      <c r="BL235" s="14" t="s">
        <v>213</v>
      </c>
      <c r="BM235" s="165" t="s">
        <v>534</v>
      </c>
    </row>
    <row r="236" spans="1:65" s="2" customFormat="1" ht="33" customHeight="1">
      <c r="A236" s="29"/>
      <c r="B236" s="152"/>
      <c r="C236" s="167" t="s">
        <v>364</v>
      </c>
      <c r="D236" s="167" t="s">
        <v>202</v>
      </c>
      <c r="E236" s="168" t="s">
        <v>2284</v>
      </c>
      <c r="F236" s="169" t="s">
        <v>2285</v>
      </c>
      <c r="G236" s="170" t="s">
        <v>217</v>
      </c>
      <c r="H236" s="171">
        <v>2</v>
      </c>
      <c r="I236" s="172"/>
      <c r="J236" s="151">
        <v>0</v>
      </c>
      <c r="K236" s="174"/>
      <c r="L236" s="175"/>
      <c r="M236" s="176" t="s">
        <v>1</v>
      </c>
      <c r="N236" s="177" t="s">
        <v>35</v>
      </c>
      <c r="O236" s="58"/>
      <c r="P236" s="163">
        <f t="shared" si="27"/>
        <v>0</v>
      </c>
      <c r="Q236" s="163">
        <v>6.9999999999999994E-5</v>
      </c>
      <c r="R236" s="163">
        <f t="shared" si="28"/>
        <v>1.3999999999999999E-4</v>
      </c>
      <c r="S236" s="163">
        <v>0</v>
      </c>
      <c r="T236" s="164">
        <f t="shared" si="29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65" t="s">
        <v>242</v>
      </c>
      <c r="AT236" s="165" t="s">
        <v>202</v>
      </c>
      <c r="AU236" s="165" t="s">
        <v>82</v>
      </c>
      <c r="AY236" s="14" t="s">
        <v>179</v>
      </c>
      <c r="BE236" s="166">
        <f t="shared" si="30"/>
        <v>0</v>
      </c>
      <c r="BF236" s="166">
        <f t="shared" si="31"/>
        <v>0</v>
      </c>
      <c r="BG236" s="166">
        <f t="shared" si="32"/>
        <v>0</v>
      </c>
      <c r="BH236" s="166">
        <f t="shared" si="33"/>
        <v>0</v>
      </c>
      <c r="BI236" s="166">
        <f t="shared" si="34"/>
        <v>0</v>
      </c>
      <c r="BJ236" s="14" t="s">
        <v>82</v>
      </c>
      <c r="BK236" s="166">
        <f t="shared" si="35"/>
        <v>0</v>
      </c>
      <c r="BL236" s="14" t="s">
        <v>213</v>
      </c>
      <c r="BM236" s="165" t="s">
        <v>538</v>
      </c>
    </row>
    <row r="237" spans="1:65" s="2" customFormat="1" ht="33" customHeight="1">
      <c r="A237" s="29"/>
      <c r="B237" s="152"/>
      <c r="C237" s="167" t="s">
        <v>528</v>
      </c>
      <c r="D237" s="167" t="s">
        <v>202</v>
      </c>
      <c r="E237" s="168" t="s">
        <v>2284</v>
      </c>
      <c r="F237" s="169" t="s">
        <v>2285</v>
      </c>
      <c r="G237" s="170" t="s">
        <v>217</v>
      </c>
      <c r="H237" s="171">
        <v>2</v>
      </c>
      <c r="I237" s="172"/>
      <c r="J237" s="151">
        <v>0</v>
      </c>
      <c r="K237" s="174"/>
      <c r="L237" s="175"/>
      <c r="M237" s="176" t="s">
        <v>1</v>
      </c>
      <c r="N237" s="177" t="s">
        <v>35</v>
      </c>
      <c r="O237" s="58"/>
      <c r="P237" s="163">
        <f t="shared" si="27"/>
        <v>0</v>
      </c>
      <c r="Q237" s="163">
        <v>6.9999999999999994E-5</v>
      </c>
      <c r="R237" s="163">
        <f t="shared" si="28"/>
        <v>1.3999999999999999E-4</v>
      </c>
      <c r="S237" s="163">
        <v>0</v>
      </c>
      <c r="T237" s="164">
        <f t="shared" si="29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65" t="s">
        <v>242</v>
      </c>
      <c r="AT237" s="165" t="s">
        <v>202</v>
      </c>
      <c r="AU237" s="165" t="s">
        <v>82</v>
      </c>
      <c r="AY237" s="14" t="s">
        <v>179</v>
      </c>
      <c r="BE237" s="166">
        <f t="shared" si="30"/>
        <v>0</v>
      </c>
      <c r="BF237" s="166">
        <f t="shared" si="31"/>
        <v>0</v>
      </c>
      <c r="BG237" s="166">
        <f t="shared" si="32"/>
        <v>0</v>
      </c>
      <c r="BH237" s="166">
        <f t="shared" si="33"/>
        <v>0</v>
      </c>
      <c r="BI237" s="166">
        <f t="shared" si="34"/>
        <v>0</v>
      </c>
      <c r="BJ237" s="14" t="s">
        <v>82</v>
      </c>
      <c r="BK237" s="166">
        <f t="shared" si="35"/>
        <v>0</v>
      </c>
      <c r="BL237" s="14" t="s">
        <v>213</v>
      </c>
      <c r="BM237" s="165" t="s">
        <v>541</v>
      </c>
    </row>
    <row r="238" spans="1:65" s="2" customFormat="1" ht="24.2" customHeight="1">
      <c r="A238" s="29"/>
      <c r="B238" s="152"/>
      <c r="C238" s="167" t="s">
        <v>368</v>
      </c>
      <c r="D238" s="167" t="s">
        <v>202</v>
      </c>
      <c r="E238" s="168" t="s">
        <v>2305</v>
      </c>
      <c r="F238" s="169" t="s">
        <v>2306</v>
      </c>
      <c r="G238" s="170" t="s">
        <v>217</v>
      </c>
      <c r="H238" s="171">
        <v>2</v>
      </c>
      <c r="I238" s="172"/>
      <c r="J238" s="151">
        <v>0</v>
      </c>
      <c r="K238" s="174"/>
      <c r="L238" s="175"/>
      <c r="M238" s="176" t="s">
        <v>1</v>
      </c>
      <c r="N238" s="177" t="s">
        <v>35</v>
      </c>
      <c r="O238" s="58"/>
      <c r="P238" s="163">
        <f t="shared" si="27"/>
        <v>0</v>
      </c>
      <c r="Q238" s="163">
        <v>2.4000000000000001E-4</v>
      </c>
      <c r="R238" s="163">
        <f t="shared" si="28"/>
        <v>4.8000000000000001E-4</v>
      </c>
      <c r="S238" s="163">
        <v>0</v>
      </c>
      <c r="T238" s="164">
        <f t="shared" si="29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65" t="s">
        <v>242</v>
      </c>
      <c r="AT238" s="165" t="s">
        <v>202</v>
      </c>
      <c r="AU238" s="165" t="s">
        <v>82</v>
      </c>
      <c r="AY238" s="14" t="s">
        <v>179</v>
      </c>
      <c r="BE238" s="166">
        <f t="shared" si="30"/>
        <v>0</v>
      </c>
      <c r="BF238" s="166">
        <f t="shared" si="31"/>
        <v>0</v>
      </c>
      <c r="BG238" s="166">
        <f t="shared" si="32"/>
        <v>0</v>
      </c>
      <c r="BH238" s="166">
        <f t="shared" si="33"/>
        <v>0</v>
      </c>
      <c r="BI238" s="166">
        <f t="shared" si="34"/>
        <v>0</v>
      </c>
      <c r="BJ238" s="14" t="s">
        <v>82</v>
      </c>
      <c r="BK238" s="166">
        <f t="shared" si="35"/>
        <v>0</v>
      </c>
      <c r="BL238" s="14" t="s">
        <v>213</v>
      </c>
      <c r="BM238" s="165" t="s">
        <v>545</v>
      </c>
    </row>
    <row r="239" spans="1:65" s="2" customFormat="1" ht="24.2" customHeight="1">
      <c r="A239" s="29"/>
      <c r="B239" s="152"/>
      <c r="C239" s="167" t="s">
        <v>535</v>
      </c>
      <c r="D239" s="167" t="s">
        <v>202</v>
      </c>
      <c r="E239" s="168" t="s">
        <v>2307</v>
      </c>
      <c r="F239" s="169" t="s">
        <v>2308</v>
      </c>
      <c r="G239" s="170" t="s">
        <v>217</v>
      </c>
      <c r="H239" s="171">
        <v>2</v>
      </c>
      <c r="I239" s="172"/>
      <c r="J239" s="151">
        <v>0</v>
      </c>
      <c r="K239" s="174"/>
      <c r="L239" s="175"/>
      <c r="M239" s="176" t="s">
        <v>1</v>
      </c>
      <c r="N239" s="177" t="s">
        <v>35</v>
      </c>
      <c r="O239" s="58"/>
      <c r="P239" s="163">
        <f t="shared" si="27"/>
        <v>0</v>
      </c>
      <c r="Q239" s="163">
        <v>1.6000000000000001E-4</v>
      </c>
      <c r="R239" s="163">
        <f t="shared" si="28"/>
        <v>3.2000000000000003E-4</v>
      </c>
      <c r="S239" s="163">
        <v>0</v>
      </c>
      <c r="T239" s="164">
        <f t="shared" si="29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65" t="s">
        <v>242</v>
      </c>
      <c r="AT239" s="165" t="s">
        <v>202</v>
      </c>
      <c r="AU239" s="165" t="s">
        <v>82</v>
      </c>
      <c r="AY239" s="14" t="s">
        <v>179</v>
      </c>
      <c r="BE239" s="166">
        <f t="shared" si="30"/>
        <v>0</v>
      </c>
      <c r="BF239" s="166">
        <f t="shared" si="31"/>
        <v>0</v>
      </c>
      <c r="BG239" s="166">
        <f t="shared" si="32"/>
        <v>0</v>
      </c>
      <c r="BH239" s="166">
        <f t="shared" si="33"/>
        <v>0</v>
      </c>
      <c r="BI239" s="166">
        <f t="shared" si="34"/>
        <v>0</v>
      </c>
      <c r="BJ239" s="14" t="s">
        <v>82</v>
      </c>
      <c r="BK239" s="166">
        <f t="shared" si="35"/>
        <v>0</v>
      </c>
      <c r="BL239" s="14" t="s">
        <v>213</v>
      </c>
      <c r="BM239" s="165" t="s">
        <v>548</v>
      </c>
    </row>
    <row r="240" spans="1:65" s="2" customFormat="1" ht="24.2" customHeight="1">
      <c r="A240" s="29"/>
      <c r="B240" s="152"/>
      <c r="C240" s="167" t="s">
        <v>371</v>
      </c>
      <c r="D240" s="167" t="s">
        <v>202</v>
      </c>
      <c r="E240" s="168" t="s">
        <v>2309</v>
      </c>
      <c r="F240" s="169" t="s">
        <v>2310</v>
      </c>
      <c r="G240" s="170" t="s">
        <v>217</v>
      </c>
      <c r="H240" s="171">
        <v>2</v>
      </c>
      <c r="I240" s="172"/>
      <c r="J240" s="151">
        <v>0</v>
      </c>
      <c r="K240" s="174"/>
      <c r="L240" s="175"/>
      <c r="M240" s="176" t="s">
        <v>1</v>
      </c>
      <c r="N240" s="177" t="s">
        <v>35</v>
      </c>
      <c r="O240" s="58"/>
      <c r="P240" s="163">
        <f t="shared" si="27"/>
        <v>0</v>
      </c>
      <c r="Q240" s="163">
        <v>1.2E-4</v>
      </c>
      <c r="R240" s="163">
        <f t="shared" si="28"/>
        <v>2.4000000000000001E-4</v>
      </c>
      <c r="S240" s="163">
        <v>0</v>
      </c>
      <c r="T240" s="164">
        <f t="shared" si="29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65" t="s">
        <v>242</v>
      </c>
      <c r="AT240" s="165" t="s">
        <v>202</v>
      </c>
      <c r="AU240" s="165" t="s">
        <v>82</v>
      </c>
      <c r="AY240" s="14" t="s">
        <v>179</v>
      </c>
      <c r="BE240" s="166">
        <f t="shared" si="30"/>
        <v>0</v>
      </c>
      <c r="BF240" s="166">
        <f t="shared" si="31"/>
        <v>0</v>
      </c>
      <c r="BG240" s="166">
        <f t="shared" si="32"/>
        <v>0</v>
      </c>
      <c r="BH240" s="166">
        <f t="shared" si="33"/>
        <v>0</v>
      </c>
      <c r="BI240" s="166">
        <f t="shared" si="34"/>
        <v>0</v>
      </c>
      <c r="BJ240" s="14" t="s">
        <v>82</v>
      </c>
      <c r="BK240" s="166">
        <f t="shared" si="35"/>
        <v>0</v>
      </c>
      <c r="BL240" s="14" t="s">
        <v>213</v>
      </c>
      <c r="BM240" s="165" t="s">
        <v>553</v>
      </c>
    </row>
    <row r="241" spans="1:65" s="2" customFormat="1" ht="24.2" customHeight="1">
      <c r="A241" s="29"/>
      <c r="B241" s="152"/>
      <c r="C241" s="167" t="s">
        <v>542</v>
      </c>
      <c r="D241" s="167" t="s">
        <v>202</v>
      </c>
      <c r="E241" s="168" t="s">
        <v>2311</v>
      </c>
      <c r="F241" s="169" t="s">
        <v>2312</v>
      </c>
      <c r="G241" s="170" t="s">
        <v>217</v>
      </c>
      <c r="H241" s="171">
        <v>2</v>
      </c>
      <c r="I241" s="172"/>
      <c r="J241" s="151">
        <v>0</v>
      </c>
      <c r="K241" s="174"/>
      <c r="L241" s="175"/>
      <c r="M241" s="176" t="s">
        <v>1</v>
      </c>
      <c r="N241" s="177" t="s">
        <v>35</v>
      </c>
      <c r="O241" s="58"/>
      <c r="P241" s="163">
        <f t="shared" si="27"/>
        <v>0</v>
      </c>
      <c r="Q241" s="163">
        <v>2.0000000000000001E-4</v>
      </c>
      <c r="R241" s="163">
        <f t="shared" si="28"/>
        <v>4.0000000000000002E-4</v>
      </c>
      <c r="S241" s="163">
        <v>0</v>
      </c>
      <c r="T241" s="164">
        <f t="shared" si="29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65" t="s">
        <v>242</v>
      </c>
      <c r="AT241" s="165" t="s">
        <v>202</v>
      </c>
      <c r="AU241" s="165" t="s">
        <v>82</v>
      </c>
      <c r="AY241" s="14" t="s">
        <v>179</v>
      </c>
      <c r="BE241" s="166">
        <f t="shared" si="30"/>
        <v>0</v>
      </c>
      <c r="BF241" s="166">
        <f t="shared" si="31"/>
        <v>0</v>
      </c>
      <c r="BG241" s="166">
        <f t="shared" si="32"/>
        <v>0</v>
      </c>
      <c r="BH241" s="166">
        <f t="shared" si="33"/>
        <v>0</v>
      </c>
      <c r="BI241" s="166">
        <f t="shared" si="34"/>
        <v>0</v>
      </c>
      <c r="BJ241" s="14" t="s">
        <v>82</v>
      </c>
      <c r="BK241" s="166">
        <f t="shared" si="35"/>
        <v>0</v>
      </c>
      <c r="BL241" s="14" t="s">
        <v>213</v>
      </c>
      <c r="BM241" s="165" t="s">
        <v>560</v>
      </c>
    </row>
    <row r="242" spans="1:65" s="2" customFormat="1" ht="24.2" customHeight="1">
      <c r="A242" s="29"/>
      <c r="B242" s="152"/>
      <c r="C242" s="167" t="s">
        <v>375</v>
      </c>
      <c r="D242" s="167" t="s">
        <v>202</v>
      </c>
      <c r="E242" s="168" t="s">
        <v>2313</v>
      </c>
      <c r="F242" s="169" t="s">
        <v>2314</v>
      </c>
      <c r="G242" s="170" t="s">
        <v>217</v>
      </c>
      <c r="H242" s="171">
        <v>2</v>
      </c>
      <c r="I242" s="172"/>
      <c r="J242" s="151">
        <v>0</v>
      </c>
      <c r="K242" s="174"/>
      <c r="L242" s="175"/>
      <c r="M242" s="176" t="s">
        <v>1</v>
      </c>
      <c r="N242" s="177" t="s">
        <v>35</v>
      </c>
      <c r="O242" s="58"/>
      <c r="P242" s="163">
        <f t="shared" si="27"/>
        <v>0</v>
      </c>
      <c r="Q242" s="163">
        <v>2.0000000000000001E-4</v>
      </c>
      <c r="R242" s="163">
        <f t="shared" si="28"/>
        <v>4.0000000000000002E-4</v>
      </c>
      <c r="S242" s="163">
        <v>0</v>
      </c>
      <c r="T242" s="164">
        <f t="shared" si="29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65" t="s">
        <v>242</v>
      </c>
      <c r="AT242" s="165" t="s">
        <v>202</v>
      </c>
      <c r="AU242" s="165" t="s">
        <v>82</v>
      </c>
      <c r="AY242" s="14" t="s">
        <v>179</v>
      </c>
      <c r="BE242" s="166">
        <f t="shared" si="30"/>
        <v>0</v>
      </c>
      <c r="BF242" s="166">
        <f t="shared" si="31"/>
        <v>0</v>
      </c>
      <c r="BG242" s="166">
        <f t="shared" si="32"/>
        <v>0</v>
      </c>
      <c r="BH242" s="166">
        <f t="shared" si="33"/>
        <v>0</v>
      </c>
      <c r="BI242" s="166">
        <f t="shared" si="34"/>
        <v>0</v>
      </c>
      <c r="BJ242" s="14" t="s">
        <v>82</v>
      </c>
      <c r="BK242" s="166">
        <f t="shared" si="35"/>
        <v>0</v>
      </c>
      <c r="BL242" s="14" t="s">
        <v>213</v>
      </c>
      <c r="BM242" s="165" t="s">
        <v>567</v>
      </c>
    </row>
    <row r="243" spans="1:65" s="2" customFormat="1" ht="33" customHeight="1">
      <c r="A243" s="29"/>
      <c r="B243" s="152"/>
      <c r="C243" s="167" t="s">
        <v>550</v>
      </c>
      <c r="D243" s="167" t="s">
        <v>202</v>
      </c>
      <c r="E243" s="168" t="s">
        <v>2315</v>
      </c>
      <c r="F243" s="169" t="s">
        <v>2316</v>
      </c>
      <c r="G243" s="170" t="s">
        <v>217</v>
      </c>
      <c r="H243" s="171">
        <v>2</v>
      </c>
      <c r="I243" s="172"/>
      <c r="J243" s="151">
        <v>0</v>
      </c>
      <c r="K243" s="174"/>
      <c r="L243" s="175"/>
      <c r="M243" s="176" t="s">
        <v>1</v>
      </c>
      <c r="N243" s="177" t="s">
        <v>35</v>
      </c>
      <c r="O243" s="58"/>
      <c r="P243" s="163">
        <f t="shared" si="27"/>
        <v>0</v>
      </c>
      <c r="Q243" s="163">
        <v>2.0000000000000001E-4</v>
      </c>
      <c r="R243" s="163">
        <f t="shared" si="28"/>
        <v>4.0000000000000002E-4</v>
      </c>
      <c r="S243" s="163">
        <v>0</v>
      </c>
      <c r="T243" s="164">
        <f t="shared" si="29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65" t="s">
        <v>242</v>
      </c>
      <c r="AT243" s="165" t="s">
        <v>202</v>
      </c>
      <c r="AU243" s="165" t="s">
        <v>82</v>
      </c>
      <c r="AY243" s="14" t="s">
        <v>179</v>
      </c>
      <c r="BE243" s="166">
        <f t="shared" si="30"/>
        <v>0</v>
      </c>
      <c r="BF243" s="166">
        <f t="shared" si="31"/>
        <v>0</v>
      </c>
      <c r="BG243" s="166">
        <f t="shared" si="32"/>
        <v>0</v>
      </c>
      <c r="BH243" s="166">
        <f t="shared" si="33"/>
        <v>0</v>
      </c>
      <c r="BI243" s="166">
        <f t="shared" si="34"/>
        <v>0</v>
      </c>
      <c r="BJ243" s="14" t="s">
        <v>82</v>
      </c>
      <c r="BK243" s="166">
        <f t="shared" si="35"/>
        <v>0</v>
      </c>
      <c r="BL243" s="14" t="s">
        <v>213</v>
      </c>
      <c r="BM243" s="165" t="s">
        <v>571</v>
      </c>
    </row>
    <row r="244" spans="1:65" s="2" customFormat="1" ht="24.2" customHeight="1">
      <c r="A244" s="29"/>
      <c r="B244" s="152"/>
      <c r="C244" s="167" t="s">
        <v>378</v>
      </c>
      <c r="D244" s="167" t="s">
        <v>202</v>
      </c>
      <c r="E244" s="168" t="s">
        <v>2317</v>
      </c>
      <c r="F244" s="169" t="s">
        <v>2318</v>
      </c>
      <c r="G244" s="170" t="s">
        <v>217</v>
      </c>
      <c r="H244" s="171">
        <v>2</v>
      </c>
      <c r="I244" s="172"/>
      <c r="J244" s="151">
        <v>0</v>
      </c>
      <c r="K244" s="174"/>
      <c r="L244" s="175"/>
      <c r="M244" s="176" t="s">
        <v>1</v>
      </c>
      <c r="N244" s="177" t="s">
        <v>35</v>
      </c>
      <c r="O244" s="58"/>
      <c r="P244" s="163">
        <f t="shared" si="27"/>
        <v>0</v>
      </c>
      <c r="Q244" s="163">
        <v>2.0000000000000001E-4</v>
      </c>
      <c r="R244" s="163">
        <f t="shared" si="28"/>
        <v>4.0000000000000002E-4</v>
      </c>
      <c r="S244" s="163">
        <v>0</v>
      </c>
      <c r="T244" s="164">
        <f t="shared" si="29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65" t="s">
        <v>242</v>
      </c>
      <c r="AT244" s="165" t="s">
        <v>202</v>
      </c>
      <c r="AU244" s="165" t="s">
        <v>82</v>
      </c>
      <c r="AY244" s="14" t="s">
        <v>179</v>
      </c>
      <c r="BE244" s="166">
        <f t="shared" si="30"/>
        <v>0</v>
      </c>
      <c r="BF244" s="166">
        <f t="shared" si="31"/>
        <v>0</v>
      </c>
      <c r="BG244" s="166">
        <f t="shared" si="32"/>
        <v>0</v>
      </c>
      <c r="BH244" s="166">
        <f t="shared" si="33"/>
        <v>0</v>
      </c>
      <c r="BI244" s="166">
        <f t="shared" si="34"/>
        <v>0</v>
      </c>
      <c r="BJ244" s="14" t="s">
        <v>82</v>
      </c>
      <c r="BK244" s="166">
        <f t="shared" si="35"/>
        <v>0</v>
      </c>
      <c r="BL244" s="14" t="s">
        <v>213</v>
      </c>
      <c r="BM244" s="165" t="s">
        <v>575</v>
      </c>
    </row>
    <row r="245" spans="1:65" s="2" customFormat="1" ht="37.9" customHeight="1">
      <c r="A245" s="29"/>
      <c r="B245" s="152"/>
      <c r="C245" s="167" t="s">
        <v>561</v>
      </c>
      <c r="D245" s="167" t="s">
        <v>202</v>
      </c>
      <c r="E245" s="168" t="s">
        <v>2319</v>
      </c>
      <c r="F245" s="169" t="s">
        <v>2320</v>
      </c>
      <c r="G245" s="170" t="s">
        <v>217</v>
      </c>
      <c r="H245" s="171">
        <v>2</v>
      </c>
      <c r="I245" s="172"/>
      <c r="J245" s="151">
        <v>0</v>
      </c>
      <c r="K245" s="174"/>
      <c r="L245" s="175"/>
      <c r="M245" s="176" t="s">
        <v>1</v>
      </c>
      <c r="N245" s="177" t="s">
        <v>35</v>
      </c>
      <c r="O245" s="58"/>
      <c r="P245" s="163">
        <f t="shared" si="27"/>
        <v>0</v>
      </c>
      <c r="Q245" s="163">
        <v>2.0000000000000001E-4</v>
      </c>
      <c r="R245" s="163">
        <f t="shared" si="28"/>
        <v>4.0000000000000002E-4</v>
      </c>
      <c r="S245" s="163">
        <v>0</v>
      </c>
      <c r="T245" s="164">
        <f t="shared" si="29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65" t="s">
        <v>242</v>
      </c>
      <c r="AT245" s="165" t="s">
        <v>202</v>
      </c>
      <c r="AU245" s="165" t="s">
        <v>82</v>
      </c>
      <c r="AY245" s="14" t="s">
        <v>179</v>
      </c>
      <c r="BE245" s="166">
        <f t="shared" si="30"/>
        <v>0</v>
      </c>
      <c r="BF245" s="166">
        <f t="shared" si="31"/>
        <v>0</v>
      </c>
      <c r="BG245" s="166">
        <f t="shared" si="32"/>
        <v>0</v>
      </c>
      <c r="BH245" s="166">
        <f t="shared" si="33"/>
        <v>0</v>
      </c>
      <c r="BI245" s="166">
        <f t="shared" si="34"/>
        <v>0</v>
      </c>
      <c r="BJ245" s="14" t="s">
        <v>82</v>
      </c>
      <c r="BK245" s="166">
        <f t="shared" si="35"/>
        <v>0</v>
      </c>
      <c r="BL245" s="14" t="s">
        <v>213</v>
      </c>
      <c r="BM245" s="165" t="s">
        <v>577</v>
      </c>
    </row>
    <row r="246" spans="1:65" s="2" customFormat="1" ht="24.2" customHeight="1">
      <c r="A246" s="29"/>
      <c r="B246" s="152"/>
      <c r="C246" s="167" t="s">
        <v>382</v>
      </c>
      <c r="D246" s="167" t="s">
        <v>202</v>
      </c>
      <c r="E246" s="168" t="s">
        <v>2321</v>
      </c>
      <c r="F246" s="169" t="s">
        <v>2322</v>
      </c>
      <c r="G246" s="170" t="s">
        <v>217</v>
      </c>
      <c r="H246" s="171">
        <v>4</v>
      </c>
      <c r="I246" s="172"/>
      <c r="J246" s="151">
        <v>0</v>
      </c>
      <c r="K246" s="174"/>
      <c r="L246" s="175"/>
      <c r="M246" s="176" t="s">
        <v>1</v>
      </c>
      <c r="N246" s="177" t="s">
        <v>35</v>
      </c>
      <c r="O246" s="58"/>
      <c r="P246" s="163">
        <f t="shared" si="27"/>
        <v>0</v>
      </c>
      <c r="Q246" s="163">
        <v>1.1E-4</v>
      </c>
      <c r="R246" s="163">
        <f t="shared" si="28"/>
        <v>4.4000000000000002E-4</v>
      </c>
      <c r="S246" s="163">
        <v>0</v>
      </c>
      <c r="T246" s="164">
        <f t="shared" si="29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65" t="s">
        <v>242</v>
      </c>
      <c r="AT246" s="165" t="s">
        <v>202</v>
      </c>
      <c r="AU246" s="165" t="s">
        <v>82</v>
      </c>
      <c r="AY246" s="14" t="s">
        <v>179</v>
      </c>
      <c r="BE246" s="166">
        <f t="shared" si="30"/>
        <v>0</v>
      </c>
      <c r="BF246" s="166">
        <f t="shared" si="31"/>
        <v>0</v>
      </c>
      <c r="BG246" s="166">
        <f t="shared" si="32"/>
        <v>0</v>
      </c>
      <c r="BH246" s="166">
        <f t="shared" si="33"/>
        <v>0</v>
      </c>
      <c r="BI246" s="166">
        <f t="shared" si="34"/>
        <v>0</v>
      </c>
      <c r="BJ246" s="14" t="s">
        <v>82</v>
      </c>
      <c r="BK246" s="166">
        <f t="shared" si="35"/>
        <v>0</v>
      </c>
      <c r="BL246" s="14" t="s">
        <v>213</v>
      </c>
      <c r="BM246" s="165" t="s">
        <v>578</v>
      </c>
    </row>
    <row r="247" spans="1:65" s="2" customFormat="1" ht="24.2" customHeight="1">
      <c r="A247" s="29"/>
      <c r="B247" s="152"/>
      <c r="C247" s="167" t="s">
        <v>568</v>
      </c>
      <c r="D247" s="167" t="s">
        <v>202</v>
      </c>
      <c r="E247" s="168" t="s">
        <v>2323</v>
      </c>
      <c r="F247" s="169" t="s">
        <v>2324</v>
      </c>
      <c r="G247" s="170" t="s">
        <v>217</v>
      </c>
      <c r="H247" s="171">
        <v>2</v>
      </c>
      <c r="I247" s="172"/>
      <c r="J247" s="151">
        <v>0</v>
      </c>
      <c r="K247" s="174"/>
      <c r="L247" s="175"/>
      <c r="M247" s="176" t="s">
        <v>1</v>
      </c>
      <c r="N247" s="177" t="s">
        <v>35</v>
      </c>
      <c r="O247" s="58"/>
      <c r="P247" s="163">
        <f t="shared" si="27"/>
        <v>0</v>
      </c>
      <c r="Q247" s="163">
        <v>9.0000000000000006E-5</v>
      </c>
      <c r="R247" s="163">
        <f t="shared" si="28"/>
        <v>1.8000000000000001E-4</v>
      </c>
      <c r="S247" s="163">
        <v>0</v>
      </c>
      <c r="T247" s="164">
        <f t="shared" si="29"/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65" t="s">
        <v>242</v>
      </c>
      <c r="AT247" s="165" t="s">
        <v>202</v>
      </c>
      <c r="AU247" s="165" t="s">
        <v>82</v>
      </c>
      <c r="AY247" s="14" t="s">
        <v>179</v>
      </c>
      <c r="BE247" s="166">
        <f t="shared" si="30"/>
        <v>0</v>
      </c>
      <c r="BF247" s="166">
        <f t="shared" si="31"/>
        <v>0</v>
      </c>
      <c r="BG247" s="166">
        <f t="shared" si="32"/>
        <v>0</v>
      </c>
      <c r="BH247" s="166">
        <f t="shared" si="33"/>
        <v>0</v>
      </c>
      <c r="BI247" s="166">
        <f t="shared" si="34"/>
        <v>0</v>
      </c>
      <c r="BJ247" s="14" t="s">
        <v>82</v>
      </c>
      <c r="BK247" s="166">
        <f t="shared" si="35"/>
        <v>0</v>
      </c>
      <c r="BL247" s="14" t="s">
        <v>213</v>
      </c>
      <c r="BM247" s="165" t="s">
        <v>586</v>
      </c>
    </row>
    <row r="248" spans="1:65" s="2" customFormat="1" ht="16.5" customHeight="1">
      <c r="A248" s="29"/>
      <c r="B248" s="152"/>
      <c r="C248" s="167" t="s">
        <v>385</v>
      </c>
      <c r="D248" s="167" t="s">
        <v>202</v>
      </c>
      <c r="E248" s="168" t="s">
        <v>2296</v>
      </c>
      <c r="F248" s="169" t="s">
        <v>2297</v>
      </c>
      <c r="G248" s="170" t="s">
        <v>217</v>
      </c>
      <c r="H248" s="171">
        <v>2</v>
      </c>
      <c r="I248" s="172"/>
      <c r="J248" s="151">
        <v>0</v>
      </c>
      <c r="K248" s="174"/>
      <c r="L248" s="175"/>
      <c r="M248" s="176" t="s">
        <v>1</v>
      </c>
      <c r="N248" s="177" t="s">
        <v>35</v>
      </c>
      <c r="O248" s="58"/>
      <c r="P248" s="163">
        <f t="shared" si="27"/>
        <v>0</v>
      </c>
      <c r="Q248" s="163">
        <v>0</v>
      </c>
      <c r="R248" s="163">
        <f t="shared" si="28"/>
        <v>0</v>
      </c>
      <c r="S248" s="163">
        <v>0</v>
      </c>
      <c r="T248" s="164">
        <f t="shared" si="29"/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65" t="s">
        <v>242</v>
      </c>
      <c r="AT248" s="165" t="s">
        <v>202</v>
      </c>
      <c r="AU248" s="165" t="s">
        <v>82</v>
      </c>
      <c r="AY248" s="14" t="s">
        <v>179</v>
      </c>
      <c r="BE248" s="166">
        <f t="shared" si="30"/>
        <v>0</v>
      </c>
      <c r="BF248" s="166">
        <f t="shared" si="31"/>
        <v>0</v>
      </c>
      <c r="BG248" s="166">
        <f t="shared" si="32"/>
        <v>0</v>
      </c>
      <c r="BH248" s="166">
        <f t="shared" si="33"/>
        <v>0</v>
      </c>
      <c r="BI248" s="166">
        <f t="shared" si="34"/>
        <v>0</v>
      </c>
      <c r="BJ248" s="14" t="s">
        <v>82</v>
      </c>
      <c r="BK248" s="166">
        <f t="shared" si="35"/>
        <v>0</v>
      </c>
      <c r="BL248" s="14" t="s">
        <v>213</v>
      </c>
      <c r="BM248" s="165" t="s">
        <v>616</v>
      </c>
    </row>
    <row r="249" spans="1:65" s="2" customFormat="1" ht="24.2" customHeight="1">
      <c r="A249" s="29"/>
      <c r="B249" s="152"/>
      <c r="C249" s="153" t="s">
        <v>576</v>
      </c>
      <c r="D249" s="153" t="s">
        <v>181</v>
      </c>
      <c r="E249" s="154" t="s">
        <v>2325</v>
      </c>
      <c r="F249" s="155" t="s">
        <v>2326</v>
      </c>
      <c r="G249" s="156" t="s">
        <v>191</v>
      </c>
      <c r="H249" s="157">
        <v>45.4</v>
      </c>
      <c r="I249" s="158"/>
      <c r="J249" s="151">
        <v>0</v>
      </c>
      <c r="K249" s="160"/>
      <c r="L249" s="30"/>
      <c r="M249" s="161" t="s">
        <v>1</v>
      </c>
      <c r="N249" s="162" t="s">
        <v>35</v>
      </c>
      <c r="O249" s="58"/>
      <c r="P249" s="163">
        <f t="shared" si="27"/>
        <v>0</v>
      </c>
      <c r="Q249" s="163">
        <v>0</v>
      </c>
      <c r="R249" s="163">
        <f t="shared" si="28"/>
        <v>0</v>
      </c>
      <c r="S249" s="163">
        <v>0</v>
      </c>
      <c r="T249" s="164">
        <f t="shared" si="29"/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65" t="s">
        <v>213</v>
      </c>
      <c r="AT249" s="165" t="s">
        <v>181</v>
      </c>
      <c r="AU249" s="165" t="s">
        <v>82</v>
      </c>
      <c r="AY249" s="14" t="s">
        <v>179</v>
      </c>
      <c r="BE249" s="166">
        <f t="shared" si="30"/>
        <v>0</v>
      </c>
      <c r="BF249" s="166">
        <f t="shared" si="31"/>
        <v>0</v>
      </c>
      <c r="BG249" s="166">
        <f t="shared" si="32"/>
        <v>0</v>
      </c>
      <c r="BH249" s="166">
        <f t="shared" si="33"/>
        <v>0</v>
      </c>
      <c r="BI249" s="166">
        <f t="shared" si="34"/>
        <v>0</v>
      </c>
      <c r="BJ249" s="14" t="s">
        <v>82</v>
      </c>
      <c r="BK249" s="166">
        <f t="shared" si="35"/>
        <v>0</v>
      </c>
      <c r="BL249" s="14" t="s">
        <v>213</v>
      </c>
      <c r="BM249" s="165" t="s">
        <v>623</v>
      </c>
    </row>
    <row r="250" spans="1:65" s="2" customFormat="1" ht="24.2" customHeight="1">
      <c r="A250" s="29"/>
      <c r="B250" s="152"/>
      <c r="C250" s="153" t="s">
        <v>390</v>
      </c>
      <c r="D250" s="153" t="s">
        <v>181</v>
      </c>
      <c r="E250" s="154" t="s">
        <v>2327</v>
      </c>
      <c r="F250" s="155" t="s">
        <v>2328</v>
      </c>
      <c r="G250" s="156" t="s">
        <v>585</v>
      </c>
      <c r="H250" s="178"/>
      <c r="I250" s="158"/>
      <c r="J250" s="151">
        <v>0</v>
      </c>
      <c r="K250" s="160"/>
      <c r="L250" s="30"/>
      <c r="M250" s="161" t="s">
        <v>1</v>
      </c>
      <c r="N250" s="162" t="s">
        <v>35</v>
      </c>
      <c r="O250" s="58"/>
      <c r="P250" s="163">
        <f t="shared" si="27"/>
        <v>0</v>
      </c>
      <c r="Q250" s="163">
        <v>0</v>
      </c>
      <c r="R250" s="163">
        <f t="shared" si="28"/>
        <v>0</v>
      </c>
      <c r="S250" s="163">
        <v>0</v>
      </c>
      <c r="T250" s="164">
        <f t="shared" si="29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65" t="s">
        <v>213</v>
      </c>
      <c r="AT250" s="165" t="s">
        <v>181</v>
      </c>
      <c r="AU250" s="165" t="s">
        <v>82</v>
      </c>
      <c r="AY250" s="14" t="s">
        <v>179</v>
      </c>
      <c r="BE250" s="166">
        <f t="shared" si="30"/>
        <v>0</v>
      </c>
      <c r="BF250" s="166">
        <f t="shared" si="31"/>
        <v>0</v>
      </c>
      <c r="BG250" s="166">
        <f t="shared" si="32"/>
        <v>0</v>
      </c>
      <c r="BH250" s="166">
        <f t="shared" si="33"/>
        <v>0</v>
      </c>
      <c r="BI250" s="166">
        <f t="shared" si="34"/>
        <v>0</v>
      </c>
      <c r="BJ250" s="14" t="s">
        <v>82</v>
      </c>
      <c r="BK250" s="166">
        <f t="shared" si="35"/>
        <v>0</v>
      </c>
      <c r="BL250" s="14" t="s">
        <v>213</v>
      </c>
      <c r="BM250" s="165" t="s">
        <v>633</v>
      </c>
    </row>
    <row r="251" spans="1:65" s="12" customFormat="1" ht="22.9" customHeight="1">
      <c r="B251" s="139"/>
      <c r="D251" s="140" t="s">
        <v>68</v>
      </c>
      <c r="E251" s="150" t="s">
        <v>2329</v>
      </c>
      <c r="F251" s="150" t="s">
        <v>2330</v>
      </c>
      <c r="I251" s="142"/>
      <c r="J251" s="151">
        <v>0</v>
      </c>
      <c r="L251" s="139"/>
      <c r="M251" s="144"/>
      <c r="N251" s="145"/>
      <c r="O251" s="145"/>
      <c r="P251" s="146">
        <f>SUM(P252:P300)</f>
        <v>0</v>
      </c>
      <c r="Q251" s="145"/>
      <c r="R251" s="146">
        <f>SUM(R252:R300)</f>
        <v>3.2233899999999975</v>
      </c>
      <c r="S251" s="145"/>
      <c r="T251" s="147">
        <f>SUM(T252:T300)</f>
        <v>0</v>
      </c>
      <c r="AR251" s="140" t="s">
        <v>82</v>
      </c>
      <c r="AT251" s="148" t="s">
        <v>68</v>
      </c>
      <c r="AU251" s="148" t="s">
        <v>76</v>
      </c>
      <c r="AY251" s="140" t="s">
        <v>179</v>
      </c>
      <c r="BK251" s="149">
        <f>SUM(BK252:BK300)</f>
        <v>0</v>
      </c>
    </row>
    <row r="252" spans="1:65" s="2" customFormat="1" ht="24.2" customHeight="1">
      <c r="A252" s="29"/>
      <c r="B252" s="152"/>
      <c r="C252" s="153" t="s">
        <v>579</v>
      </c>
      <c r="D252" s="153" t="s">
        <v>181</v>
      </c>
      <c r="E252" s="154" t="s">
        <v>2331</v>
      </c>
      <c r="F252" s="155" t="s">
        <v>2332</v>
      </c>
      <c r="G252" s="156" t="s">
        <v>293</v>
      </c>
      <c r="H252" s="157">
        <v>12</v>
      </c>
      <c r="I252" s="158"/>
      <c r="J252" s="151">
        <v>0</v>
      </c>
      <c r="K252" s="160"/>
      <c r="L252" s="30"/>
      <c r="M252" s="161" t="s">
        <v>1</v>
      </c>
      <c r="N252" s="162" t="s">
        <v>35</v>
      </c>
      <c r="O252" s="58"/>
      <c r="P252" s="163">
        <f t="shared" ref="P252:P283" si="36">O252*H252</f>
        <v>0</v>
      </c>
      <c r="Q252" s="163">
        <v>0</v>
      </c>
      <c r="R252" s="163">
        <f t="shared" ref="R252:R283" si="37">Q252*H252</f>
        <v>0</v>
      </c>
      <c r="S252" s="163">
        <v>0</v>
      </c>
      <c r="T252" s="164">
        <f t="shared" ref="T252:T283" si="38">S252*H252</f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65" t="s">
        <v>213</v>
      </c>
      <c r="AT252" s="165" t="s">
        <v>181</v>
      </c>
      <c r="AU252" s="165" t="s">
        <v>82</v>
      </c>
      <c r="AY252" s="14" t="s">
        <v>179</v>
      </c>
      <c r="BE252" s="166">
        <f t="shared" ref="BE252:BE283" si="39">IF(N252="základná",J252,0)</f>
        <v>0</v>
      </c>
      <c r="BF252" s="166">
        <f t="shared" ref="BF252:BF283" si="40">IF(N252="znížená",J252,0)</f>
        <v>0</v>
      </c>
      <c r="BG252" s="166">
        <f t="shared" ref="BG252:BG283" si="41">IF(N252="zákl. prenesená",J252,0)</f>
        <v>0</v>
      </c>
      <c r="BH252" s="166">
        <f t="shared" ref="BH252:BH283" si="42">IF(N252="zníž. prenesená",J252,0)</f>
        <v>0</v>
      </c>
      <c r="BI252" s="166">
        <f t="shared" ref="BI252:BI283" si="43">IF(N252="nulová",J252,0)</f>
        <v>0</v>
      </c>
      <c r="BJ252" s="14" t="s">
        <v>82</v>
      </c>
      <c r="BK252" s="166">
        <f t="shared" ref="BK252:BK283" si="44">ROUND(I252*H252,2)</f>
        <v>0</v>
      </c>
      <c r="BL252" s="14" t="s">
        <v>213</v>
      </c>
      <c r="BM252" s="165" t="s">
        <v>639</v>
      </c>
    </row>
    <row r="253" spans="1:65" s="2" customFormat="1" ht="24.2" customHeight="1">
      <c r="A253" s="29"/>
      <c r="B253" s="152"/>
      <c r="C253" s="153" t="s">
        <v>393</v>
      </c>
      <c r="D253" s="153" t="s">
        <v>181</v>
      </c>
      <c r="E253" s="154" t="s">
        <v>2333</v>
      </c>
      <c r="F253" s="155" t="s">
        <v>2334</v>
      </c>
      <c r="G253" s="156" t="s">
        <v>293</v>
      </c>
      <c r="H253" s="157">
        <v>20.8</v>
      </c>
      <c r="I253" s="158"/>
      <c r="J253" s="151">
        <v>0</v>
      </c>
      <c r="K253" s="160"/>
      <c r="L253" s="30"/>
      <c r="M253" s="161" t="s">
        <v>1</v>
      </c>
      <c r="N253" s="162" t="s">
        <v>35</v>
      </c>
      <c r="O253" s="58"/>
      <c r="P253" s="163">
        <f t="shared" si="36"/>
        <v>0</v>
      </c>
      <c r="Q253" s="163">
        <v>0</v>
      </c>
      <c r="R253" s="163">
        <f t="shared" si="37"/>
        <v>0</v>
      </c>
      <c r="S253" s="163">
        <v>0</v>
      </c>
      <c r="T253" s="164">
        <f t="shared" si="38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65" t="s">
        <v>213</v>
      </c>
      <c r="AT253" s="165" t="s">
        <v>181</v>
      </c>
      <c r="AU253" s="165" t="s">
        <v>82</v>
      </c>
      <c r="AY253" s="14" t="s">
        <v>179</v>
      </c>
      <c r="BE253" s="166">
        <f t="shared" si="39"/>
        <v>0</v>
      </c>
      <c r="BF253" s="166">
        <f t="shared" si="40"/>
        <v>0</v>
      </c>
      <c r="BG253" s="166">
        <f t="shared" si="41"/>
        <v>0</v>
      </c>
      <c r="BH253" s="166">
        <f t="shared" si="42"/>
        <v>0</v>
      </c>
      <c r="BI253" s="166">
        <f t="shared" si="43"/>
        <v>0</v>
      </c>
      <c r="BJ253" s="14" t="s">
        <v>82</v>
      </c>
      <c r="BK253" s="166">
        <f t="shared" si="44"/>
        <v>0</v>
      </c>
      <c r="BL253" s="14" t="s">
        <v>213</v>
      </c>
      <c r="BM253" s="165" t="s">
        <v>642</v>
      </c>
    </row>
    <row r="254" spans="1:65" s="2" customFormat="1" ht="24.2" customHeight="1">
      <c r="A254" s="29"/>
      <c r="B254" s="152"/>
      <c r="C254" s="153" t="s">
        <v>589</v>
      </c>
      <c r="D254" s="153" t="s">
        <v>181</v>
      </c>
      <c r="E254" s="154" t="s">
        <v>2335</v>
      </c>
      <c r="F254" s="155" t="s">
        <v>2336</v>
      </c>
      <c r="G254" s="156" t="s">
        <v>217</v>
      </c>
      <c r="H254" s="157">
        <v>1</v>
      </c>
      <c r="I254" s="158"/>
      <c r="J254" s="151">
        <v>0</v>
      </c>
      <c r="K254" s="160"/>
      <c r="L254" s="30"/>
      <c r="M254" s="161" t="s">
        <v>1</v>
      </c>
      <c r="N254" s="162" t="s">
        <v>35</v>
      </c>
      <c r="O254" s="58"/>
      <c r="P254" s="163">
        <f t="shared" si="36"/>
        <v>0</v>
      </c>
      <c r="Q254" s="163">
        <v>0</v>
      </c>
      <c r="R254" s="163">
        <f t="shared" si="37"/>
        <v>0</v>
      </c>
      <c r="S254" s="163">
        <v>0</v>
      </c>
      <c r="T254" s="164">
        <f t="shared" si="38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65" t="s">
        <v>213</v>
      </c>
      <c r="AT254" s="165" t="s">
        <v>181</v>
      </c>
      <c r="AU254" s="165" t="s">
        <v>82</v>
      </c>
      <c r="AY254" s="14" t="s">
        <v>179</v>
      </c>
      <c r="BE254" s="166">
        <f t="shared" si="39"/>
        <v>0</v>
      </c>
      <c r="BF254" s="166">
        <f t="shared" si="40"/>
        <v>0</v>
      </c>
      <c r="BG254" s="166">
        <f t="shared" si="41"/>
        <v>0</v>
      </c>
      <c r="BH254" s="166">
        <f t="shared" si="42"/>
        <v>0</v>
      </c>
      <c r="BI254" s="166">
        <f t="shared" si="43"/>
        <v>0</v>
      </c>
      <c r="BJ254" s="14" t="s">
        <v>82</v>
      </c>
      <c r="BK254" s="166">
        <f t="shared" si="44"/>
        <v>0</v>
      </c>
      <c r="BL254" s="14" t="s">
        <v>213</v>
      </c>
      <c r="BM254" s="165" t="s">
        <v>651</v>
      </c>
    </row>
    <row r="255" spans="1:65" s="2" customFormat="1" ht="33" customHeight="1">
      <c r="A255" s="29"/>
      <c r="B255" s="152"/>
      <c r="C255" s="153" t="s">
        <v>397</v>
      </c>
      <c r="D255" s="153" t="s">
        <v>181</v>
      </c>
      <c r="E255" s="154" t="s">
        <v>2337</v>
      </c>
      <c r="F255" s="155" t="s">
        <v>2338</v>
      </c>
      <c r="G255" s="156" t="s">
        <v>217</v>
      </c>
      <c r="H255" s="157">
        <v>1</v>
      </c>
      <c r="I255" s="158"/>
      <c r="J255" s="151">
        <v>0</v>
      </c>
      <c r="K255" s="160"/>
      <c r="L255" s="30"/>
      <c r="M255" s="161" t="s">
        <v>1</v>
      </c>
      <c r="N255" s="162" t="s">
        <v>35</v>
      </c>
      <c r="O255" s="58"/>
      <c r="P255" s="163">
        <f t="shared" si="36"/>
        <v>0</v>
      </c>
      <c r="Q255" s="163">
        <v>1.536E-2</v>
      </c>
      <c r="R255" s="163">
        <f t="shared" si="37"/>
        <v>1.536E-2</v>
      </c>
      <c r="S255" s="163">
        <v>0</v>
      </c>
      <c r="T255" s="164">
        <f t="shared" si="38"/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65" t="s">
        <v>213</v>
      </c>
      <c r="AT255" s="165" t="s">
        <v>181</v>
      </c>
      <c r="AU255" s="165" t="s">
        <v>82</v>
      </c>
      <c r="AY255" s="14" t="s">
        <v>179</v>
      </c>
      <c r="BE255" s="166">
        <f t="shared" si="39"/>
        <v>0</v>
      </c>
      <c r="BF255" s="166">
        <f t="shared" si="40"/>
        <v>0</v>
      </c>
      <c r="BG255" s="166">
        <f t="shared" si="41"/>
        <v>0</v>
      </c>
      <c r="BH255" s="166">
        <f t="shared" si="42"/>
        <v>0</v>
      </c>
      <c r="BI255" s="166">
        <f t="shared" si="43"/>
        <v>0</v>
      </c>
      <c r="BJ255" s="14" t="s">
        <v>82</v>
      </c>
      <c r="BK255" s="166">
        <f t="shared" si="44"/>
        <v>0</v>
      </c>
      <c r="BL255" s="14" t="s">
        <v>213</v>
      </c>
      <c r="BM255" s="165" t="s">
        <v>656</v>
      </c>
    </row>
    <row r="256" spans="1:65" s="2" customFormat="1" ht="24.2" customHeight="1">
      <c r="A256" s="29"/>
      <c r="B256" s="152"/>
      <c r="C256" s="153" t="s">
        <v>596</v>
      </c>
      <c r="D256" s="153" t="s">
        <v>181</v>
      </c>
      <c r="E256" s="154" t="s">
        <v>2339</v>
      </c>
      <c r="F256" s="155" t="s">
        <v>2340</v>
      </c>
      <c r="G256" s="156" t="s">
        <v>217</v>
      </c>
      <c r="H256" s="157">
        <v>1</v>
      </c>
      <c r="I256" s="158"/>
      <c r="J256" s="151">
        <v>0</v>
      </c>
      <c r="K256" s="160"/>
      <c r="L256" s="30"/>
      <c r="M256" s="161" t="s">
        <v>1</v>
      </c>
      <c r="N256" s="162" t="s">
        <v>35</v>
      </c>
      <c r="O256" s="58"/>
      <c r="P256" s="163">
        <f t="shared" si="36"/>
        <v>0</v>
      </c>
      <c r="Q256" s="163">
        <v>0</v>
      </c>
      <c r="R256" s="163">
        <f t="shared" si="37"/>
        <v>0</v>
      </c>
      <c r="S256" s="163">
        <v>0</v>
      </c>
      <c r="T256" s="164">
        <f t="shared" si="38"/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65" t="s">
        <v>213</v>
      </c>
      <c r="AT256" s="165" t="s">
        <v>181</v>
      </c>
      <c r="AU256" s="165" t="s">
        <v>82</v>
      </c>
      <c r="AY256" s="14" t="s">
        <v>179</v>
      </c>
      <c r="BE256" s="166">
        <f t="shared" si="39"/>
        <v>0</v>
      </c>
      <c r="BF256" s="166">
        <f t="shared" si="40"/>
        <v>0</v>
      </c>
      <c r="BG256" s="166">
        <f t="shared" si="41"/>
        <v>0</v>
      </c>
      <c r="BH256" s="166">
        <f t="shared" si="42"/>
        <v>0</v>
      </c>
      <c r="BI256" s="166">
        <f t="shared" si="43"/>
        <v>0</v>
      </c>
      <c r="BJ256" s="14" t="s">
        <v>82</v>
      </c>
      <c r="BK256" s="166">
        <f t="shared" si="44"/>
        <v>0</v>
      </c>
      <c r="BL256" s="14" t="s">
        <v>213</v>
      </c>
      <c r="BM256" s="165" t="s">
        <v>660</v>
      </c>
    </row>
    <row r="257" spans="1:65" s="2" customFormat="1" ht="24.2" customHeight="1">
      <c r="A257" s="29"/>
      <c r="B257" s="152"/>
      <c r="C257" s="153" t="s">
        <v>400</v>
      </c>
      <c r="D257" s="153" t="s">
        <v>181</v>
      </c>
      <c r="E257" s="154" t="s">
        <v>2341</v>
      </c>
      <c r="F257" s="155" t="s">
        <v>2342</v>
      </c>
      <c r="G257" s="156" t="s">
        <v>217</v>
      </c>
      <c r="H257" s="157">
        <v>1</v>
      </c>
      <c r="I257" s="158"/>
      <c r="J257" s="151">
        <v>0</v>
      </c>
      <c r="K257" s="160"/>
      <c r="L257" s="30"/>
      <c r="M257" s="161" t="s">
        <v>1</v>
      </c>
      <c r="N257" s="162" t="s">
        <v>35</v>
      </c>
      <c r="O257" s="58"/>
      <c r="P257" s="163">
        <f t="shared" si="36"/>
        <v>0</v>
      </c>
      <c r="Q257" s="163">
        <v>0</v>
      </c>
      <c r="R257" s="163">
        <f t="shared" si="37"/>
        <v>0</v>
      </c>
      <c r="S257" s="163">
        <v>0</v>
      </c>
      <c r="T257" s="164">
        <f t="shared" si="38"/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65" t="s">
        <v>213</v>
      </c>
      <c r="AT257" s="165" t="s">
        <v>181</v>
      </c>
      <c r="AU257" s="165" t="s">
        <v>82</v>
      </c>
      <c r="AY257" s="14" t="s">
        <v>179</v>
      </c>
      <c r="BE257" s="166">
        <f t="shared" si="39"/>
        <v>0</v>
      </c>
      <c r="BF257" s="166">
        <f t="shared" si="40"/>
        <v>0</v>
      </c>
      <c r="BG257" s="166">
        <f t="shared" si="41"/>
        <v>0</v>
      </c>
      <c r="BH257" s="166">
        <f t="shared" si="42"/>
        <v>0</v>
      </c>
      <c r="BI257" s="166">
        <f t="shared" si="43"/>
        <v>0</v>
      </c>
      <c r="BJ257" s="14" t="s">
        <v>82</v>
      </c>
      <c r="BK257" s="166">
        <f t="shared" si="44"/>
        <v>0</v>
      </c>
      <c r="BL257" s="14" t="s">
        <v>213</v>
      </c>
      <c r="BM257" s="165" t="s">
        <v>670</v>
      </c>
    </row>
    <row r="258" spans="1:65" s="2" customFormat="1" ht="24.2" customHeight="1">
      <c r="A258" s="29"/>
      <c r="B258" s="152"/>
      <c r="C258" s="153" t="s">
        <v>605</v>
      </c>
      <c r="D258" s="153" t="s">
        <v>181</v>
      </c>
      <c r="E258" s="154" t="s">
        <v>2343</v>
      </c>
      <c r="F258" s="155" t="s">
        <v>2344</v>
      </c>
      <c r="G258" s="156" t="s">
        <v>217</v>
      </c>
      <c r="H258" s="157">
        <v>1</v>
      </c>
      <c r="I258" s="158"/>
      <c r="J258" s="151">
        <v>0</v>
      </c>
      <c r="K258" s="160"/>
      <c r="L258" s="30"/>
      <c r="M258" s="161" t="s">
        <v>1</v>
      </c>
      <c r="N258" s="162" t="s">
        <v>35</v>
      </c>
      <c r="O258" s="58"/>
      <c r="P258" s="163">
        <f t="shared" si="36"/>
        <v>0</v>
      </c>
      <c r="Q258" s="163">
        <v>1.536E-2</v>
      </c>
      <c r="R258" s="163">
        <f t="shared" si="37"/>
        <v>1.536E-2</v>
      </c>
      <c r="S258" s="163">
        <v>0</v>
      </c>
      <c r="T258" s="164">
        <f t="shared" si="38"/>
        <v>0</v>
      </c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R258" s="165" t="s">
        <v>213</v>
      </c>
      <c r="AT258" s="165" t="s">
        <v>181</v>
      </c>
      <c r="AU258" s="165" t="s">
        <v>82</v>
      </c>
      <c r="AY258" s="14" t="s">
        <v>179</v>
      </c>
      <c r="BE258" s="166">
        <f t="shared" si="39"/>
        <v>0</v>
      </c>
      <c r="BF258" s="166">
        <f t="shared" si="40"/>
        <v>0</v>
      </c>
      <c r="BG258" s="166">
        <f t="shared" si="41"/>
        <v>0</v>
      </c>
      <c r="BH258" s="166">
        <f t="shared" si="42"/>
        <v>0</v>
      </c>
      <c r="BI258" s="166">
        <f t="shared" si="43"/>
        <v>0</v>
      </c>
      <c r="BJ258" s="14" t="s">
        <v>82</v>
      </c>
      <c r="BK258" s="166">
        <f t="shared" si="44"/>
        <v>0</v>
      </c>
      <c r="BL258" s="14" t="s">
        <v>213</v>
      </c>
      <c r="BM258" s="165" t="s">
        <v>674</v>
      </c>
    </row>
    <row r="259" spans="1:65" s="2" customFormat="1" ht="24.2" customHeight="1">
      <c r="A259" s="29"/>
      <c r="B259" s="152"/>
      <c r="C259" s="153" t="s">
        <v>404</v>
      </c>
      <c r="D259" s="153" t="s">
        <v>181</v>
      </c>
      <c r="E259" s="154" t="s">
        <v>2345</v>
      </c>
      <c r="F259" s="155" t="s">
        <v>2346</v>
      </c>
      <c r="G259" s="156" t="s">
        <v>217</v>
      </c>
      <c r="H259" s="157">
        <v>3</v>
      </c>
      <c r="I259" s="158"/>
      <c r="J259" s="151">
        <v>0</v>
      </c>
      <c r="K259" s="160"/>
      <c r="L259" s="30"/>
      <c r="M259" s="161" t="s">
        <v>1</v>
      </c>
      <c r="N259" s="162" t="s">
        <v>35</v>
      </c>
      <c r="O259" s="58"/>
      <c r="P259" s="163">
        <f t="shared" si="36"/>
        <v>0</v>
      </c>
      <c r="Q259" s="163">
        <v>7.3333333333333304E-5</v>
      </c>
      <c r="R259" s="163">
        <f t="shared" si="37"/>
        <v>2.1999999999999993E-4</v>
      </c>
      <c r="S259" s="163">
        <v>0</v>
      </c>
      <c r="T259" s="164">
        <f t="shared" si="38"/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65" t="s">
        <v>213</v>
      </c>
      <c r="AT259" s="165" t="s">
        <v>181</v>
      </c>
      <c r="AU259" s="165" t="s">
        <v>82</v>
      </c>
      <c r="AY259" s="14" t="s">
        <v>179</v>
      </c>
      <c r="BE259" s="166">
        <f t="shared" si="39"/>
        <v>0</v>
      </c>
      <c r="BF259" s="166">
        <f t="shared" si="40"/>
        <v>0</v>
      </c>
      <c r="BG259" s="166">
        <f t="shared" si="41"/>
        <v>0</v>
      </c>
      <c r="BH259" s="166">
        <f t="shared" si="42"/>
        <v>0</v>
      </c>
      <c r="BI259" s="166">
        <f t="shared" si="43"/>
        <v>0</v>
      </c>
      <c r="BJ259" s="14" t="s">
        <v>82</v>
      </c>
      <c r="BK259" s="166">
        <f t="shared" si="44"/>
        <v>0</v>
      </c>
      <c r="BL259" s="14" t="s">
        <v>213</v>
      </c>
      <c r="BM259" s="165" t="s">
        <v>677</v>
      </c>
    </row>
    <row r="260" spans="1:65" s="2" customFormat="1" ht="24.2" customHeight="1">
      <c r="A260" s="29"/>
      <c r="B260" s="152"/>
      <c r="C260" s="153" t="s">
        <v>614</v>
      </c>
      <c r="D260" s="153" t="s">
        <v>181</v>
      </c>
      <c r="E260" s="154" t="s">
        <v>2347</v>
      </c>
      <c r="F260" s="155" t="s">
        <v>2348</v>
      </c>
      <c r="G260" s="156" t="s">
        <v>217</v>
      </c>
      <c r="H260" s="157">
        <v>2</v>
      </c>
      <c r="I260" s="158"/>
      <c r="J260" s="151">
        <v>0</v>
      </c>
      <c r="K260" s="160"/>
      <c r="L260" s="30"/>
      <c r="M260" s="161" t="s">
        <v>1</v>
      </c>
      <c r="N260" s="162" t="s">
        <v>35</v>
      </c>
      <c r="O260" s="58"/>
      <c r="P260" s="163">
        <f t="shared" si="36"/>
        <v>0</v>
      </c>
      <c r="Q260" s="163">
        <v>1.0000000000000001E-5</v>
      </c>
      <c r="R260" s="163">
        <f t="shared" si="37"/>
        <v>2.0000000000000002E-5</v>
      </c>
      <c r="S260" s="163">
        <v>0</v>
      </c>
      <c r="T260" s="164">
        <f t="shared" si="38"/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65" t="s">
        <v>213</v>
      </c>
      <c r="AT260" s="165" t="s">
        <v>181</v>
      </c>
      <c r="AU260" s="165" t="s">
        <v>82</v>
      </c>
      <c r="AY260" s="14" t="s">
        <v>179</v>
      </c>
      <c r="BE260" s="166">
        <f t="shared" si="39"/>
        <v>0</v>
      </c>
      <c r="BF260" s="166">
        <f t="shared" si="40"/>
        <v>0</v>
      </c>
      <c r="BG260" s="166">
        <f t="shared" si="41"/>
        <v>0</v>
      </c>
      <c r="BH260" s="166">
        <f t="shared" si="42"/>
        <v>0</v>
      </c>
      <c r="BI260" s="166">
        <f t="shared" si="43"/>
        <v>0</v>
      </c>
      <c r="BJ260" s="14" t="s">
        <v>82</v>
      </c>
      <c r="BK260" s="166">
        <f t="shared" si="44"/>
        <v>0</v>
      </c>
      <c r="BL260" s="14" t="s">
        <v>213</v>
      </c>
      <c r="BM260" s="165" t="s">
        <v>681</v>
      </c>
    </row>
    <row r="261" spans="1:65" s="2" customFormat="1" ht="24.2" customHeight="1">
      <c r="A261" s="29"/>
      <c r="B261" s="152"/>
      <c r="C261" s="153" t="s">
        <v>407</v>
      </c>
      <c r="D261" s="153" t="s">
        <v>181</v>
      </c>
      <c r="E261" s="154" t="s">
        <v>2349</v>
      </c>
      <c r="F261" s="155" t="s">
        <v>2350</v>
      </c>
      <c r="G261" s="156" t="s">
        <v>217</v>
      </c>
      <c r="H261" s="157">
        <v>2</v>
      </c>
      <c r="I261" s="158"/>
      <c r="J261" s="151">
        <v>0</v>
      </c>
      <c r="K261" s="160"/>
      <c r="L261" s="30"/>
      <c r="M261" s="161" t="s">
        <v>1</v>
      </c>
      <c r="N261" s="162" t="s">
        <v>35</v>
      </c>
      <c r="O261" s="58"/>
      <c r="P261" s="163">
        <f t="shared" si="36"/>
        <v>0</v>
      </c>
      <c r="Q261" s="163">
        <v>1.0000000000000001E-5</v>
      </c>
      <c r="R261" s="163">
        <f t="shared" si="37"/>
        <v>2.0000000000000002E-5</v>
      </c>
      <c r="S261" s="163">
        <v>0</v>
      </c>
      <c r="T261" s="164">
        <f t="shared" si="38"/>
        <v>0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65" t="s">
        <v>213</v>
      </c>
      <c r="AT261" s="165" t="s">
        <v>181</v>
      </c>
      <c r="AU261" s="165" t="s">
        <v>82</v>
      </c>
      <c r="AY261" s="14" t="s">
        <v>179</v>
      </c>
      <c r="BE261" s="166">
        <f t="shared" si="39"/>
        <v>0</v>
      </c>
      <c r="BF261" s="166">
        <f t="shared" si="40"/>
        <v>0</v>
      </c>
      <c r="BG261" s="166">
        <f t="shared" si="41"/>
        <v>0</v>
      </c>
      <c r="BH261" s="166">
        <f t="shared" si="42"/>
        <v>0</v>
      </c>
      <c r="BI261" s="166">
        <f t="shared" si="43"/>
        <v>0</v>
      </c>
      <c r="BJ261" s="14" t="s">
        <v>82</v>
      </c>
      <c r="BK261" s="166">
        <f t="shared" si="44"/>
        <v>0</v>
      </c>
      <c r="BL261" s="14" t="s">
        <v>213</v>
      </c>
      <c r="BM261" s="165" t="s">
        <v>684</v>
      </c>
    </row>
    <row r="262" spans="1:65" s="2" customFormat="1" ht="21.75" customHeight="1">
      <c r="A262" s="29"/>
      <c r="B262" s="152"/>
      <c r="C262" s="153" t="s">
        <v>620</v>
      </c>
      <c r="D262" s="153" t="s">
        <v>181</v>
      </c>
      <c r="E262" s="154" t="s">
        <v>2351</v>
      </c>
      <c r="F262" s="155" t="s">
        <v>2352</v>
      </c>
      <c r="G262" s="156" t="s">
        <v>217</v>
      </c>
      <c r="H262" s="157">
        <v>6</v>
      </c>
      <c r="I262" s="158"/>
      <c r="J262" s="151">
        <v>0</v>
      </c>
      <c r="K262" s="160"/>
      <c r="L262" s="30"/>
      <c r="M262" s="161" t="s">
        <v>1</v>
      </c>
      <c r="N262" s="162" t="s">
        <v>35</v>
      </c>
      <c r="O262" s="58"/>
      <c r="P262" s="163">
        <f t="shared" si="36"/>
        <v>0</v>
      </c>
      <c r="Q262" s="163">
        <v>1.9333333333333301E-4</v>
      </c>
      <c r="R262" s="163">
        <f t="shared" si="37"/>
        <v>1.1599999999999981E-3</v>
      </c>
      <c r="S262" s="163">
        <v>0</v>
      </c>
      <c r="T262" s="164">
        <f t="shared" si="38"/>
        <v>0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65" t="s">
        <v>213</v>
      </c>
      <c r="AT262" s="165" t="s">
        <v>181</v>
      </c>
      <c r="AU262" s="165" t="s">
        <v>82</v>
      </c>
      <c r="AY262" s="14" t="s">
        <v>179</v>
      </c>
      <c r="BE262" s="166">
        <f t="shared" si="39"/>
        <v>0</v>
      </c>
      <c r="BF262" s="166">
        <f t="shared" si="40"/>
        <v>0</v>
      </c>
      <c r="BG262" s="166">
        <f t="shared" si="41"/>
        <v>0</v>
      </c>
      <c r="BH262" s="166">
        <f t="shared" si="42"/>
        <v>0</v>
      </c>
      <c r="BI262" s="166">
        <f t="shared" si="43"/>
        <v>0</v>
      </c>
      <c r="BJ262" s="14" t="s">
        <v>82</v>
      </c>
      <c r="BK262" s="166">
        <f t="shared" si="44"/>
        <v>0</v>
      </c>
      <c r="BL262" s="14" t="s">
        <v>213</v>
      </c>
      <c r="BM262" s="165" t="s">
        <v>688</v>
      </c>
    </row>
    <row r="263" spans="1:65" s="2" customFormat="1" ht="21.75" customHeight="1">
      <c r="A263" s="29"/>
      <c r="B263" s="152"/>
      <c r="C263" s="153" t="s">
        <v>411</v>
      </c>
      <c r="D263" s="153" t="s">
        <v>181</v>
      </c>
      <c r="E263" s="154" t="s">
        <v>2353</v>
      </c>
      <c r="F263" s="155" t="s">
        <v>2354</v>
      </c>
      <c r="G263" s="156" t="s">
        <v>217</v>
      </c>
      <c r="H263" s="157">
        <v>4</v>
      </c>
      <c r="I263" s="158"/>
      <c r="J263" s="151">
        <v>0</v>
      </c>
      <c r="K263" s="160"/>
      <c r="L263" s="30"/>
      <c r="M263" s="161" t="s">
        <v>1</v>
      </c>
      <c r="N263" s="162" t="s">
        <v>35</v>
      </c>
      <c r="O263" s="58"/>
      <c r="P263" s="163">
        <f t="shared" si="36"/>
        <v>0</v>
      </c>
      <c r="Q263" s="163">
        <v>6.1499999999999999E-4</v>
      </c>
      <c r="R263" s="163">
        <f t="shared" si="37"/>
        <v>2.4599999999999999E-3</v>
      </c>
      <c r="S263" s="163">
        <v>0</v>
      </c>
      <c r="T263" s="164">
        <f t="shared" si="38"/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65" t="s">
        <v>213</v>
      </c>
      <c r="AT263" s="165" t="s">
        <v>181</v>
      </c>
      <c r="AU263" s="165" t="s">
        <v>82</v>
      </c>
      <c r="AY263" s="14" t="s">
        <v>179</v>
      </c>
      <c r="BE263" s="166">
        <f t="shared" si="39"/>
        <v>0</v>
      </c>
      <c r="BF263" s="166">
        <f t="shared" si="40"/>
        <v>0</v>
      </c>
      <c r="BG263" s="166">
        <f t="shared" si="41"/>
        <v>0</v>
      </c>
      <c r="BH263" s="166">
        <f t="shared" si="42"/>
        <v>0</v>
      </c>
      <c r="BI263" s="166">
        <f t="shared" si="43"/>
        <v>0</v>
      </c>
      <c r="BJ263" s="14" t="s">
        <v>82</v>
      </c>
      <c r="BK263" s="166">
        <f t="shared" si="44"/>
        <v>0</v>
      </c>
      <c r="BL263" s="14" t="s">
        <v>213</v>
      </c>
      <c r="BM263" s="165" t="s">
        <v>691</v>
      </c>
    </row>
    <row r="264" spans="1:65" s="2" customFormat="1" ht="44.25" customHeight="1">
      <c r="A264" s="29"/>
      <c r="B264" s="152"/>
      <c r="C264" s="167" t="s">
        <v>627</v>
      </c>
      <c r="D264" s="167" t="s">
        <v>202</v>
      </c>
      <c r="E264" s="168" t="s">
        <v>2355</v>
      </c>
      <c r="F264" s="169" t="s">
        <v>2356</v>
      </c>
      <c r="G264" s="170" t="s">
        <v>217</v>
      </c>
      <c r="H264" s="171">
        <v>6</v>
      </c>
      <c r="I264" s="172"/>
      <c r="J264" s="151">
        <v>0</v>
      </c>
      <c r="K264" s="174"/>
      <c r="L264" s="175"/>
      <c r="M264" s="176" t="s">
        <v>1</v>
      </c>
      <c r="N264" s="177" t="s">
        <v>35</v>
      </c>
      <c r="O264" s="58"/>
      <c r="P264" s="163">
        <f t="shared" si="36"/>
        <v>0</v>
      </c>
      <c r="Q264" s="163">
        <v>4.4999999999999998E-2</v>
      </c>
      <c r="R264" s="163">
        <f t="shared" si="37"/>
        <v>0.27</v>
      </c>
      <c r="S264" s="163">
        <v>0</v>
      </c>
      <c r="T264" s="164">
        <f t="shared" si="38"/>
        <v>0</v>
      </c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R264" s="165" t="s">
        <v>242</v>
      </c>
      <c r="AT264" s="165" t="s">
        <v>202</v>
      </c>
      <c r="AU264" s="165" t="s">
        <v>82</v>
      </c>
      <c r="AY264" s="14" t="s">
        <v>179</v>
      </c>
      <c r="BE264" s="166">
        <f t="shared" si="39"/>
        <v>0</v>
      </c>
      <c r="BF264" s="166">
        <f t="shared" si="40"/>
        <v>0</v>
      </c>
      <c r="BG264" s="166">
        <f t="shared" si="41"/>
        <v>0</v>
      </c>
      <c r="BH264" s="166">
        <f t="shared" si="42"/>
        <v>0</v>
      </c>
      <c r="BI264" s="166">
        <f t="shared" si="43"/>
        <v>0</v>
      </c>
      <c r="BJ264" s="14" t="s">
        <v>82</v>
      </c>
      <c r="BK264" s="166">
        <f t="shared" si="44"/>
        <v>0</v>
      </c>
      <c r="BL264" s="14" t="s">
        <v>213</v>
      </c>
      <c r="BM264" s="165" t="s">
        <v>695</v>
      </c>
    </row>
    <row r="265" spans="1:65" s="2" customFormat="1" ht="44.25" customHeight="1">
      <c r="A265" s="29"/>
      <c r="B265" s="152"/>
      <c r="C265" s="167" t="s">
        <v>414</v>
      </c>
      <c r="D265" s="167" t="s">
        <v>202</v>
      </c>
      <c r="E265" s="168" t="s">
        <v>2357</v>
      </c>
      <c r="F265" s="169" t="s">
        <v>2358</v>
      </c>
      <c r="G265" s="170" t="s">
        <v>217</v>
      </c>
      <c r="H265" s="171">
        <v>2</v>
      </c>
      <c r="I265" s="172"/>
      <c r="J265" s="151">
        <v>0</v>
      </c>
      <c r="K265" s="174"/>
      <c r="L265" s="175"/>
      <c r="M265" s="176" t="s">
        <v>1</v>
      </c>
      <c r="N265" s="177" t="s">
        <v>35</v>
      </c>
      <c r="O265" s="58"/>
      <c r="P265" s="163">
        <f t="shared" si="36"/>
        <v>0</v>
      </c>
      <c r="Q265" s="163">
        <v>4.4999999999999998E-2</v>
      </c>
      <c r="R265" s="163">
        <f t="shared" si="37"/>
        <v>0.09</v>
      </c>
      <c r="S265" s="163">
        <v>0</v>
      </c>
      <c r="T265" s="164">
        <f t="shared" si="38"/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65" t="s">
        <v>242</v>
      </c>
      <c r="AT265" s="165" t="s">
        <v>202</v>
      </c>
      <c r="AU265" s="165" t="s">
        <v>82</v>
      </c>
      <c r="AY265" s="14" t="s">
        <v>179</v>
      </c>
      <c r="BE265" s="166">
        <f t="shared" si="39"/>
        <v>0</v>
      </c>
      <c r="BF265" s="166">
        <f t="shared" si="40"/>
        <v>0</v>
      </c>
      <c r="BG265" s="166">
        <f t="shared" si="41"/>
        <v>0</v>
      </c>
      <c r="BH265" s="166">
        <f t="shared" si="42"/>
        <v>0</v>
      </c>
      <c r="BI265" s="166">
        <f t="shared" si="43"/>
        <v>0</v>
      </c>
      <c r="BJ265" s="14" t="s">
        <v>82</v>
      </c>
      <c r="BK265" s="166">
        <f t="shared" si="44"/>
        <v>0</v>
      </c>
      <c r="BL265" s="14" t="s">
        <v>213</v>
      </c>
      <c r="BM265" s="165" t="s">
        <v>700</v>
      </c>
    </row>
    <row r="266" spans="1:65" s="2" customFormat="1" ht="44.25" customHeight="1">
      <c r="A266" s="29"/>
      <c r="B266" s="152"/>
      <c r="C266" s="167" t="s">
        <v>636</v>
      </c>
      <c r="D266" s="167" t="s">
        <v>202</v>
      </c>
      <c r="E266" s="168" t="s">
        <v>2359</v>
      </c>
      <c r="F266" s="169" t="s">
        <v>2360</v>
      </c>
      <c r="G266" s="170" t="s">
        <v>217</v>
      </c>
      <c r="H266" s="171">
        <v>2</v>
      </c>
      <c r="I266" s="172"/>
      <c r="J266" s="151">
        <v>0</v>
      </c>
      <c r="K266" s="174"/>
      <c r="L266" s="175"/>
      <c r="M266" s="176" t="s">
        <v>1</v>
      </c>
      <c r="N266" s="177" t="s">
        <v>35</v>
      </c>
      <c r="O266" s="58"/>
      <c r="P266" s="163">
        <f t="shared" si="36"/>
        <v>0</v>
      </c>
      <c r="Q266" s="163">
        <v>4.4999999999999998E-2</v>
      </c>
      <c r="R266" s="163">
        <f t="shared" si="37"/>
        <v>0.09</v>
      </c>
      <c r="S266" s="163">
        <v>0</v>
      </c>
      <c r="T266" s="164">
        <f t="shared" si="38"/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65" t="s">
        <v>242</v>
      </c>
      <c r="AT266" s="165" t="s">
        <v>202</v>
      </c>
      <c r="AU266" s="165" t="s">
        <v>82</v>
      </c>
      <c r="AY266" s="14" t="s">
        <v>179</v>
      </c>
      <c r="BE266" s="166">
        <f t="shared" si="39"/>
        <v>0</v>
      </c>
      <c r="BF266" s="166">
        <f t="shared" si="40"/>
        <v>0</v>
      </c>
      <c r="BG266" s="166">
        <f t="shared" si="41"/>
        <v>0</v>
      </c>
      <c r="BH266" s="166">
        <f t="shared" si="42"/>
        <v>0</v>
      </c>
      <c r="BI266" s="166">
        <f t="shared" si="43"/>
        <v>0</v>
      </c>
      <c r="BJ266" s="14" t="s">
        <v>82</v>
      </c>
      <c r="BK266" s="166">
        <f t="shared" si="44"/>
        <v>0</v>
      </c>
      <c r="BL266" s="14" t="s">
        <v>213</v>
      </c>
      <c r="BM266" s="165" t="s">
        <v>704</v>
      </c>
    </row>
    <row r="267" spans="1:65" s="2" customFormat="1" ht="21.75" customHeight="1">
      <c r="A267" s="29"/>
      <c r="B267" s="152"/>
      <c r="C267" s="167" t="s">
        <v>418</v>
      </c>
      <c r="D267" s="167" t="s">
        <v>202</v>
      </c>
      <c r="E267" s="168" t="s">
        <v>2361</v>
      </c>
      <c r="F267" s="169" t="s">
        <v>2362</v>
      </c>
      <c r="G267" s="170" t="s">
        <v>217</v>
      </c>
      <c r="H267" s="171">
        <v>20</v>
      </c>
      <c r="I267" s="172"/>
      <c r="J267" s="151">
        <v>0</v>
      </c>
      <c r="K267" s="174"/>
      <c r="L267" s="175"/>
      <c r="M267" s="176" t="s">
        <v>1</v>
      </c>
      <c r="N267" s="177" t="s">
        <v>35</v>
      </c>
      <c r="O267" s="58"/>
      <c r="P267" s="163">
        <f t="shared" si="36"/>
        <v>0</v>
      </c>
      <c r="Q267" s="163">
        <v>1.4E-3</v>
      </c>
      <c r="R267" s="163">
        <f t="shared" si="37"/>
        <v>2.8000000000000001E-2</v>
      </c>
      <c r="S267" s="163">
        <v>0</v>
      </c>
      <c r="T267" s="164">
        <f t="shared" si="38"/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65" t="s">
        <v>242</v>
      </c>
      <c r="AT267" s="165" t="s">
        <v>202</v>
      </c>
      <c r="AU267" s="165" t="s">
        <v>82</v>
      </c>
      <c r="AY267" s="14" t="s">
        <v>179</v>
      </c>
      <c r="BE267" s="166">
        <f t="shared" si="39"/>
        <v>0</v>
      </c>
      <c r="BF267" s="166">
        <f t="shared" si="40"/>
        <v>0</v>
      </c>
      <c r="BG267" s="166">
        <f t="shared" si="41"/>
        <v>0</v>
      </c>
      <c r="BH267" s="166">
        <f t="shared" si="42"/>
        <v>0</v>
      </c>
      <c r="BI267" s="166">
        <f t="shared" si="43"/>
        <v>0</v>
      </c>
      <c r="BJ267" s="14" t="s">
        <v>82</v>
      </c>
      <c r="BK267" s="166">
        <f t="shared" si="44"/>
        <v>0</v>
      </c>
      <c r="BL267" s="14" t="s">
        <v>213</v>
      </c>
      <c r="BM267" s="165" t="s">
        <v>707</v>
      </c>
    </row>
    <row r="268" spans="1:65" s="2" customFormat="1" ht="21.75" customHeight="1">
      <c r="A268" s="29"/>
      <c r="B268" s="152"/>
      <c r="C268" s="153" t="s">
        <v>643</v>
      </c>
      <c r="D268" s="153" t="s">
        <v>181</v>
      </c>
      <c r="E268" s="154" t="s">
        <v>2363</v>
      </c>
      <c r="F268" s="155" t="s">
        <v>2364</v>
      </c>
      <c r="G268" s="156" t="s">
        <v>217</v>
      </c>
      <c r="H268" s="157">
        <v>2</v>
      </c>
      <c r="I268" s="158"/>
      <c r="J268" s="151">
        <v>0</v>
      </c>
      <c r="K268" s="160"/>
      <c r="L268" s="30"/>
      <c r="M268" s="161" t="s">
        <v>1</v>
      </c>
      <c r="N268" s="162" t="s">
        <v>35</v>
      </c>
      <c r="O268" s="58"/>
      <c r="P268" s="163">
        <f t="shared" si="36"/>
        <v>0</v>
      </c>
      <c r="Q268" s="163">
        <v>1.2409749999999999</v>
      </c>
      <c r="R268" s="163">
        <f t="shared" si="37"/>
        <v>2.4819499999999999</v>
      </c>
      <c r="S268" s="163">
        <v>0</v>
      </c>
      <c r="T268" s="164">
        <f t="shared" si="38"/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65" t="s">
        <v>213</v>
      </c>
      <c r="AT268" s="165" t="s">
        <v>181</v>
      </c>
      <c r="AU268" s="165" t="s">
        <v>82</v>
      </c>
      <c r="AY268" s="14" t="s">
        <v>179</v>
      </c>
      <c r="BE268" s="166">
        <f t="shared" si="39"/>
        <v>0</v>
      </c>
      <c r="BF268" s="166">
        <f t="shared" si="40"/>
        <v>0</v>
      </c>
      <c r="BG268" s="166">
        <f t="shared" si="41"/>
        <v>0</v>
      </c>
      <c r="BH268" s="166">
        <f t="shared" si="42"/>
        <v>0</v>
      </c>
      <c r="BI268" s="166">
        <f t="shared" si="43"/>
        <v>0</v>
      </c>
      <c r="BJ268" s="14" t="s">
        <v>82</v>
      </c>
      <c r="BK268" s="166">
        <f t="shared" si="44"/>
        <v>0</v>
      </c>
      <c r="BL268" s="14" t="s">
        <v>213</v>
      </c>
      <c r="BM268" s="165" t="s">
        <v>711</v>
      </c>
    </row>
    <row r="269" spans="1:65" s="2" customFormat="1" ht="37.9" customHeight="1">
      <c r="A269" s="29"/>
      <c r="B269" s="152"/>
      <c r="C269" s="167" t="s">
        <v>421</v>
      </c>
      <c r="D269" s="167" t="s">
        <v>202</v>
      </c>
      <c r="E269" s="168" t="s">
        <v>2365</v>
      </c>
      <c r="F269" s="169" t="s">
        <v>2366</v>
      </c>
      <c r="G269" s="170" t="s">
        <v>217</v>
      </c>
      <c r="H269" s="171">
        <v>2</v>
      </c>
      <c r="I269" s="172"/>
      <c r="J269" s="151">
        <v>0</v>
      </c>
      <c r="K269" s="174"/>
      <c r="L269" s="175"/>
      <c r="M269" s="176" t="s">
        <v>1</v>
      </c>
      <c r="N269" s="177" t="s">
        <v>35</v>
      </c>
      <c r="O269" s="58"/>
      <c r="P269" s="163">
        <f t="shared" si="36"/>
        <v>0</v>
      </c>
      <c r="Q269" s="163">
        <v>9.5999999999999992E-3</v>
      </c>
      <c r="R269" s="163">
        <f t="shared" si="37"/>
        <v>1.9199999999999998E-2</v>
      </c>
      <c r="S269" s="163">
        <v>0</v>
      </c>
      <c r="T269" s="164">
        <f t="shared" si="38"/>
        <v>0</v>
      </c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165" t="s">
        <v>242</v>
      </c>
      <c r="AT269" s="165" t="s">
        <v>202</v>
      </c>
      <c r="AU269" s="165" t="s">
        <v>82</v>
      </c>
      <c r="AY269" s="14" t="s">
        <v>179</v>
      </c>
      <c r="BE269" s="166">
        <f t="shared" si="39"/>
        <v>0</v>
      </c>
      <c r="BF269" s="166">
        <f t="shared" si="40"/>
        <v>0</v>
      </c>
      <c r="BG269" s="166">
        <f t="shared" si="41"/>
        <v>0</v>
      </c>
      <c r="BH269" s="166">
        <f t="shared" si="42"/>
        <v>0</v>
      </c>
      <c r="BI269" s="166">
        <f t="shared" si="43"/>
        <v>0</v>
      </c>
      <c r="BJ269" s="14" t="s">
        <v>82</v>
      </c>
      <c r="BK269" s="166">
        <f t="shared" si="44"/>
        <v>0</v>
      </c>
      <c r="BL269" s="14" t="s">
        <v>213</v>
      </c>
      <c r="BM269" s="165" t="s">
        <v>714</v>
      </c>
    </row>
    <row r="270" spans="1:65" s="2" customFormat="1" ht="24.2" customHeight="1">
      <c r="A270" s="29"/>
      <c r="B270" s="152"/>
      <c r="C270" s="153" t="s">
        <v>650</v>
      </c>
      <c r="D270" s="153" t="s">
        <v>181</v>
      </c>
      <c r="E270" s="154" t="s">
        <v>2367</v>
      </c>
      <c r="F270" s="155" t="s">
        <v>2368</v>
      </c>
      <c r="G270" s="156" t="s">
        <v>217</v>
      </c>
      <c r="H270" s="157">
        <v>5</v>
      </c>
      <c r="I270" s="158"/>
      <c r="J270" s="151">
        <v>0</v>
      </c>
      <c r="K270" s="160"/>
      <c r="L270" s="30"/>
      <c r="M270" s="161" t="s">
        <v>1</v>
      </c>
      <c r="N270" s="162" t="s">
        <v>35</v>
      </c>
      <c r="O270" s="58"/>
      <c r="P270" s="163">
        <f t="shared" si="36"/>
        <v>0</v>
      </c>
      <c r="Q270" s="163">
        <v>0</v>
      </c>
      <c r="R270" s="163">
        <f t="shared" si="37"/>
        <v>0</v>
      </c>
      <c r="S270" s="163">
        <v>0</v>
      </c>
      <c r="T270" s="164">
        <f t="shared" si="38"/>
        <v>0</v>
      </c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R270" s="165" t="s">
        <v>213</v>
      </c>
      <c r="AT270" s="165" t="s">
        <v>181</v>
      </c>
      <c r="AU270" s="165" t="s">
        <v>82</v>
      </c>
      <c r="AY270" s="14" t="s">
        <v>179</v>
      </c>
      <c r="BE270" s="166">
        <f t="shared" si="39"/>
        <v>0</v>
      </c>
      <c r="BF270" s="166">
        <f t="shared" si="40"/>
        <v>0</v>
      </c>
      <c r="BG270" s="166">
        <f t="shared" si="41"/>
        <v>0</v>
      </c>
      <c r="BH270" s="166">
        <f t="shared" si="42"/>
        <v>0</v>
      </c>
      <c r="BI270" s="166">
        <f t="shared" si="43"/>
        <v>0</v>
      </c>
      <c r="BJ270" s="14" t="s">
        <v>82</v>
      </c>
      <c r="BK270" s="166">
        <f t="shared" si="44"/>
        <v>0</v>
      </c>
      <c r="BL270" s="14" t="s">
        <v>213</v>
      </c>
      <c r="BM270" s="165" t="s">
        <v>718</v>
      </c>
    </row>
    <row r="271" spans="1:65" s="2" customFormat="1" ht="37.9" customHeight="1">
      <c r="A271" s="29"/>
      <c r="B271" s="152"/>
      <c r="C271" s="167" t="s">
        <v>425</v>
      </c>
      <c r="D271" s="167" t="s">
        <v>202</v>
      </c>
      <c r="E271" s="168" t="s">
        <v>2369</v>
      </c>
      <c r="F271" s="169" t="s">
        <v>2370</v>
      </c>
      <c r="G271" s="170" t="s">
        <v>217</v>
      </c>
      <c r="H271" s="171">
        <v>5</v>
      </c>
      <c r="I271" s="172"/>
      <c r="J271" s="151">
        <v>0</v>
      </c>
      <c r="K271" s="174"/>
      <c r="L271" s="175"/>
      <c r="M271" s="176" t="s">
        <v>1</v>
      </c>
      <c r="N271" s="177" t="s">
        <v>35</v>
      </c>
      <c r="O271" s="58"/>
      <c r="P271" s="163">
        <f t="shared" si="36"/>
        <v>0</v>
      </c>
      <c r="Q271" s="163">
        <v>9.5999999999999992E-3</v>
      </c>
      <c r="R271" s="163">
        <f t="shared" si="37"/>
        <v>4.7999999999999994E-2</v>
      </c>
      <c r="S271" s="163">
        <v>0</v>
      </c>
      <c r="T271" s="164">
        <f t="shared" si="38"/>
        <v>0</v>
      </c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R271" s="165" t="s">
        <v>242</v>
      </c>
      <c r="AT271" s="165" t="s">
        <v>202</v>
      </c>
      <c r="AU271" s="165" t="s">
        <v>82</v>
      </c>
      <c r="AY271" s="14" t="s">
        <v>179</v>
      </c>
      <c r="BE271" s="166">
        <f t="shared" si="39"/>
        <v>0</v>
      </c>
      <c r="BF271" s="166">
        <f t="shared" si="40"/>
        <v>0</v>
      </c>
      <c r="BG271" s="166">
        <f t="shared" si="41"/>
        <v>0</v>
      </c>
      <c r="BH271" s="166">
        <f t="shared" si="42"/>
        <v>0</v>
      </c>
      <c r="BI271" s="166">
        <f t="shared" si="43"/>
        <v>0</v>
      </c>
      <c r="BJ271" s="14" t="s">
        <v>82</v>
      </c>
      <c r="BK271" s="166">
        <f t="shared" si="44"/>
        <v>0</v>
      </c>
      <c r="BL271" s="14" t="s">
        <v>213</v>
      </c>
      <c r="BM271" s="165" t="s">
        <v>721</v>
      </c>
    </row>
    <row r="272" spans="1:65" s="2" customFormat="1" ht="37.9" customHeight="1">
      <c r="A272" s="29"/>
      <c r="B272" s="152"/>
      <c r="C272" s="153" t="s">
        <v>657</v>
      </c>
      <c r="D272" s="153" t="s">
        <v>181</v>
      </c>
      <c r="E272" s="154" t="s">
        <v>2371</v>
      </c>
      <c r="F272" s="155" t="s">
        <v>2372</v>
      </c>
      <c r="G272" s="156" t="s">
        <v>217</v>
      </c>
      <c r="H272" s="157">
        <v>1</v>
      </c>
      <c r="I272" s="158"/>
      <c r="J272" s="151">
        <v>0</v>
      </c>
      <c r="K272" s="160"/>
      <c r="L272" s="30"/>
      <c r="M272" s="161" t="s">
        <v>1</v>
      </c>
      <c r="N272" s="162" t="s">
        <v>35</v>
      </c>
      <c r="O272" s="58"/>
      <c r="P272" s="163">
        <f t="shared" si="36"/>
        <v>0</v>
      </c>
      <c r="Q272" s="163">
        <v>5.0000000000000002E-5</v>
      </c>
      <c r="R272" s="163">
        <f t="shared" si="37"/>
        <v>5.0000000000000002E-5</v>
      </c>
      <c r="S272" s="163">
        <v>0</v>
      </c>
      <c r="T272" s="164">
        <f t="shared" si="38"/>
        <v>0</v>
      </c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R272" s="165" t="s">
        <v>213</v>
      </c>
      <c r="AT272" s="165" t="s">
        <v>181</v>
      </c>
      <c r="AU272" s="165" t="s">
        <v>82</v>
      </c>
      <c r="AY272" s="14" t="s">
        <v>179</v>
      </c>
      <c r="BE272" s="166">
        <f t="shared" si="39"/>
        <v>0</v>
      </c>
      <c r="BF272" s="166">
        <f t="shared" si="40"/>
        <v>0</v>
      </c>
      <c r="BG272" s="166">
        <f t="shared" si="41"/>
        <v>0</v>
      </c>
      <c r="BH272" s="166">
        <f t="shared" si="42"/>
        <v>0</v>
      </c>
      <c r="BI272" s="166">
        <f t="shared" si="43"/>
        <v>0</v>
      </c>
      <c r="BJ272" s="14" t="s">
        <v>82</v>
      </c>
      <c r="BK272" s="166">
        <f t="shared" si="44"/>
        <v>0</v>
      </c>
      <c r="BL272" s="14" t="s">
        <v>213</v>
      </c>
      <c r="BM272" s="165" t="s">
        <v>725</v>
      </c>
    </row>
    <row r="273" spans="1:65" s="2" customFormat="1" ht="55.5" customHeight="1">
      <c r="A273" s="29"/>
      <c r="B273" s="152"/>
      <c r="C273" s="167" t="s">
        <v>428</v>
      </c>
      <c r="D273" s="167" t="s">
        <v>202</v>
      </c>
      <c r="E273" s="168" t="s">
        <v>2373</v>
      </c>
      <c r="F273" s="338" t="s">
        <v>3436</v>
      </c>
      <c r="G273" s="170" t="s">
        <v>217</v>
      </c>
      <c r="H273" s="171">
        <v>1</v>
      </c>
      <c r="I273" s="172"/>
      <c r="J273" s="151">
        <v>0</v>
      </c>
      <c r="K273" s="174"/>
      <c r="L273" s="175"/>
      <c r="M273" s="176" t="s">
        <v>1</v>
      </c>
      <c r="N273" s="177" t="s">
        <v>35</v>
      </c>
      <c r="O273" s="58"/>
      <c r="P273" s="163">
        <f t="shared" si="36"/>
        <v>0</v>
      </c>
      <c r="Q273" s="163">
        <v>9.5999999999999992E-3</v>
      </c>
      <c r="R273" s="163">
        <f t="shared" si="37"/>
        <v>9.5999999999999992E-3</v>
      </c>
      <c r="S273" s="163">
        <v>0</v>
      </c>
      <c r="T273" s="164">
        <f t="shared" si="38"/>
        <v>0</v>
      </c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R273" s="165" t="s">
        <v>242</v>
      </c>
      <c r="AT273" s="165" t="s">
        <v>202</v>
      </c>
      <c r="AU273" s="165" t="s">
        <v>82</v>
      </c>
      <c r="AY273" s="14" t="s">
        <v>179</v>
      </c>
      <c r="BE273" s="166">
        <f t="shared" si="39"/>
        <v>0</v>
      </c>
      <c r="BF273" s="166">
        <f t="shared" si="40"/>
        <v>0</v>
      </c>
      <c r="BG273" s="166">
        <f t="shared" si="41"/>
        <v>0</v>
      </c>
      <c r="BH273" s="166">
        <f t="shared" si="42"/>
        <v>0</v>
      </c>
      <c r="BI273" s="166">
        <f t="shared" si="43"/>
        <v>0</v>
      </c>
      <c r="BJ273" s="14" t="s">
        <v>82</v>
      </c>
      <c r="BK273" s="166">
        <f t="shared" si="44"/>
        <v>0</v>
      </c>
      <c r="BL273" s="14" t="s">
        <v>213</v>
      </c>
      <c r="BM273" s="165" t="s">
        <v>728</v>
      </c>
    </row>
    <row r="274" spans="1:65" s="2" customFormat="1" ht="21.75" customHeight="1">
      <c r="A274" s="29"/>
      <c r="B274" s="152"/>
      <c r="C274" s="153" t="s">
        <v>664</v>
      </c>
      <c r="D274" s="153" t="s">
        <v>181</v>
      </c>
      <c r="E274" s="154" t="s">
        <v>2374</v>
      </c>
      <c r="F274" s="155" t="s">
        <v>2375</v>
      </c>
      <c r="G274" s="156" t="s">
        <v>1202</v>
      </c>
      <c r="H274" s="157">
        <v>14</v>
      </c>
      <c r="I274" s="158"/>
      <c r="J274" s="151">
        <v>0</v>
      </c>
      <c r="K274" s="160"/>
      <c r="L274" s="30"/>
      <c r="M274" s="161" t="s">
        <v>1</v>
      </c>
      <c r="N274" s="162" t="s">
        <v>35</v>
      </c>
      <c r="O274" s="58"/>
      <c r="P274" s="163">
        <f t="shared" si="36"/>
        <v>0</v>
      </c>
      <c r="Q274" s="163">
        <v>1.8571428571428599E-5</v>
      </c>
      <c r="R274" s="163">
        <f t="shared" si="37"/>
        <v>2.6000000000000036E-4</v>
      </c>
      <c r="S274" s="163">
        <v>0</v>
      </c>
      <c r="T274" s="164">
        <f t="shared" si="38"/>
        <v>0</v>
      </c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R274" s="165" t="s">
        <v>213</v>
      </c>
      <c r="AT274" s="165" t="s">
        <v>181</v>
      </c>
      <c r="AU274" s="165" t="s">
        <v>82</v>
      </c>
      <c r="AY274" s="14" t="s">
        <v>179</v>
      </c>
      <c r="BE274" s="166">
        <f t="shared" si="39"/>
        <v>0</v>
      </c>
      <c r="BF274" s="166">
        <f t="shared" si="40"/>
        <v>0</v>
      </c>
      <c r="BG274" s="166">
        <f t="shared" si="41"/>
        <v>0</v>
      </c>
      <c r="BH274" s="166">
        <f t="shared" si="42"/>
        <v>0</v>
      </c>
      <c r="BI274" s="166">
        <f t="shared" si="43"/>
        <v>0</v>
      </c>
      <c r="BJ274" s="14" t="s">
        <v>82</v>
      </c>
      <c r="BK274" s="166">
        <f t="shared" si="44"/>
        <v>0</v>
      </c>
      <c r="BL274" s="14" t="s">
        <v>213</v>
      </c>
      <c r="BM274" s="165" t="s">
        <v>743</v>
      </c>
    </row>
    <row r="275" spans="1:65" s="2" customFormat="1" ht="24.2" customHeight="1">
      <c r="A275" s="29"/>
      <c r="B275" s="152"/>
      <c r="C275" s="153" t="s">
        <v>432</v>
      </c>
      <c r="D275" s="153" t="s">
        <v>181</v>
      </c>
      <c r="E275" s="154" t="s">
        <v>2376</v>
      </c>
      <c r="F275" s="155" t="s">
        <v>2377</v>
      </c>
      <c r="G275" s="156" t="s">
        <v>1202</v>
      </c>
      <c r="H275" s="157">
        <v>2</v>
      </c>
      <c r="I275" s="158"/>
      <c r="J275" s="151">
        <v>0</v>
      </c>
      <c r="K275" s="160"/>
      <c r="L275" s="30"/>
      <c r="M275" s="161" t="s">
        <v>1</v>
      </c>
      <c r="N275" s="162" t="s">
        <v>35</v>
      </c>
      <c r="O275" s="58"/>
      <c r="P275" s="163">
        <f t="shared" si="36"/>
        <v>0</v>
      </c>
      <c r="Q275" s="163">
        <v>6.2E-4</v>
      </c>
      <c r="R275" s="163">
        <f t="shared" si="37"/>
        <v>1.24E-3</v>
      </c>
      <c r="S275" s="163">
        <v>0</v>
      </c>
      <c r="T275" s="164">
        <f t="shared" si="38"/>
        <v>0</v>
      </c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R275" s="165" t="s">
        <v>213</v>
      </c>
      <c r="AT275" s="165" t="s">
        <v>181</v>
      </c>
      <c r="AU275" s="165" t="s">
        <v>82</v>
      </c>
      <c r="AY275" s="14" t="s">
        <v>179</v>
      </c>
      <c r="BE275" s="166">
        <f t="shared" si="39"/>
        <v>0</v>
      </c>
      <c r="BF275" s="166">
        <f t="shared" si="40"/>
        <v>0</v>
      </c>
      <c r="BG275" s="166">
        <f t="shared" si="41"/>
        <v>0</v>
      </c>
      <c r="BH275" s="166">
        <f t="shared" si="42"/>
        <v>0</v>
      </c>
      <c r="BI275" s="166">
        <f t="shared" si="43"/>
        <v>0</v>
      </c>
      <c r="BJ275" s="14" t="s">
        <v>82</v>
      </c>
      <c r="BK275" s="166">
        <f t="shared" si="44"/>
        <v>0</v>
      </c>
      <c r="BL275" s="14" t="s">
        <v>213</v>
      </c>
      <c r="BM275" s="165" t="s">
        <v>747</v>
      </c>
    </row>
    <row r="276" spans="1:65" s="2" customFormat="1" ht="24.2" customHeight="1">
      <c r="A276" s="29"/>
      <c r="B276" s="152"/>
      <c r="C276" s="153" t="s">
        <v>671</v>
      </c>
      <c r="D276" s="153" t="s">
        <v>181</v>
      </c>
      <c r="E276" s="154" t="s">
        <v>2378</v>
      </c>
      <c r="F276" s="155" t="s">
        <v>2379</v>
      </c>
      <c r="G276" s="156" t="s">
        <v>1202</v>
      </c>
      <c r="H276" s="157">
        <v>1</v>
      </c>
      <c r="I276" s="158"/>
      <c r="J276" s="151">
        <v>0</v>
      </c>
      <c r="K276" s="160"/>
      <c r="L276" s="30"/>
      <c r="M276" s="161" t="s">
        <v>1</v>
      </c>
      <c r="N276" s="162" t="s">
        <v>35</v>
      </c>
      <c r="O276" s="58"/>
      <c r="P276" s="163">
        <f t="shared" si="36"/>
        <v>0</v>
      </c>
      <c r="Q276" s="163">
        <v>6.2E-4</v>
      </c>
      <c r="R276" s="163">
        <f t="shared" si="37"/>
        <v>6.2E-4</v>
      </c>
      <c r="S276" s="163">
        <v>0</v>
      </c>
      <c r="T276" s="164">
        <f t="shared" si="38"/>
        <v>0</v>
      </c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R276" s="165" t="s">
        <v>213</v>
      </c>
      <c r="AT276" s="165" t="s">
        <v>181</v>
      </c>
      <c r="AU276" s="165" t="s">
        <v>82</v>
      </c>
      <c r="AY276" s="14" t="s">
        <v>179</v>
      </c>
      <c r="BE276" s="166">
        <f t="shared" si="39"/>
        <v>0</v>
      </c>
      <c r="BF276" s="166">
        <f t="shared" si="40"/>
        <v>0</v>
      </c>
      <c r="BG276" s="166">
        <f t="shared" si="41"/>
        <v>0</v>
      </c>
      <c r="BH276" s="166">
        <f t="shared" si="42"/>
        <v>0</v>
      </c>
      <c r="BI276" s="166">
        <f t="shared" si="43"/>
        <v>0</v>
      </c>
      <c r="BJ276" s="14" t="s">
        <v>82</v>
      </c>
      <c r="BK276" s="166">
        <f t="shared" si="44"/>
        <v>0</v>
      </c>
      <c r="BL276" s="14" t="s">
        <v>213</v>
      </c>
      <c r="BM276" s="165" t="s">
        <v>750</v>
      </c>
    </row>
    <row r="277" spans="1:65" s="2" customFormat="1" ht="44.25" customHeight="1">
      <c r="A277" s="29"/>
      <c r="B277" s="152"/>
      <c r="C277" s="167" t="s">
        <v>435</v>
      </c>
      <c r="D277" s="167" t="s">
        <v>202</v>
      </c>
      <c r="E277" s="168" t="s">
        <v>2380</v>
      </c>
      <c r="F277" s="338" t="s">
        <v>3437</v>
      </c>
      <c r="G277" s="170" t="s">
        <v>217</v>
      </c>
      <c r="H277" s="171">
        <v>1</v>
      </c>
      <c r="I277" s="172"/>
      <c r="J277" s="151">
        <v>0</v>
      </c>
      <c r="K277" s="174"/>
      <c r="L277" s="175"/>
      <c r="M277" s="176" t="s">
        <v>1</v>
      </c>
      <c r="N277" s="177" t="s">
        <v>35</v>
      </c>
      <c r="O277" s="58"/>
      <c r="P277" s="163">
        <f t="shared" si="36"/>
        <v>0</v>
      </c>
      <c r="Q277" s="163">
        <v>2.15E-3</v>
      </c>
      <c r="R277" s="163">
        <f t="shared" si="37"/>
        <v>2.15E-3</v>
      </c>
      <c r="S277" s="163">
        <v>0</v>
      </c>
      <c r="T277" s="164">
        <f t="shared" si="38"/>
        <v>0</v>
      </c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R277" s="165" t="s">
        <v>242</v>
      </c>
      <c r="AT277" s="165" t="s">
        <v>202</v>
      </c>
      <c r="AU277" s="165" t="s">
        <v>82</v>
      </c>
      <c r="AY277" s="14" t="s">
        <v>179</v>
      </c>
      <c r="BE277" s="166">
        <f t="shared" si="39"/>
        <v>0</v>
      </c>
      <c r="BF277" s="166">
        <f t="shared" si="40"/>
        <v>0</v>
      </c>
      <c r="BG277" s="166">
        <f t="shared" si="41"/>
        <v>0</v>
      </c>
      <c r="BH277" s="166">
        <f t="shared" si="42"/>
        <v>0</v>
      </c>
      <c r="BI277" s="166">
        <f t="shared" si="43"/>
        <v>0</v>
      </c>
      <c r="BJ277" s="14" t="s">
        <v>82</v>
      </c>
      <c r="BK277" s="166">
        <f t="shared" si="44"/>
        <v>0</v>
      </c>
      <c r="BL277" s="14" t="s">
        <v>213</v>
      </c>
      <c r="BM277" s="165" t="s">
        <v>754</v>
      </c>
    </row>
    <row r="278" spans="1:65" s="2" customFormat="1" ht="44.25" customHeight="1">
      <c r="A278" s="29"/>
      <c r="B278" s="152"/>
      <c r="C278" s="167" t="s">
        <v>678</v>
      </c>
      <c r="D278" s="167" t="s">
        <v>202</v>
      </c>
      <c r="E278" s="168" t="s">
        <v>2381</v>
      </c>
      <c r="F278" s="338" t="s">
        <v>3438</v>
      </c>
      <c r="G278" s="170" t="s">
        <v>217</v>
      </c>
      <c r="H278" s="171">
        <v>1</v>
      </c>
      <c r="I278" s="172"/>
      <c r="J278" s="151">
        <v>0</v>
      </c>
      <c r="K278" s="174"/>
      <c r="L278" s="175"/>
      <c r="M278" s="176" t="s">
        <v>1</v>
      </c>
      <c r="N278" s="177" t="s">
        <v>35</v>
      </c>
      <c r="O278" s="58"/>
      <c r="P278" s="163">
        <f t="shared" si="36"/>
        <v>0</v>
      </c>
      <c r="Q278" s="163">
        <v>2.15E-3</v>
      </c>
      <c r="R278" s="163">
        <f t="shared" si="37"/>
        <v>2.15E-3</v>
      </c>
      <c r="S278" s="163">
        <v>0</v>
      </c>
      <c r="T278" s="164">
        <f t="shared" si="38"/>
        <v>0</v>
      </c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R278" s="165" t="s">
        <v>242</v>
      </c>
      <c r="AT278" s="165" t="s">
        <v>202</v>
      </c>
      <c r="AU278" s="165" t="s">
        <v>82</v>
      </c>
      <c r="AY278" s="14" t="s">
        <v>179</v>
      </c>
      <c r="BE278" s="166">
        <f t="shared" si="39"/>
        <v>0</v>
      </c>
      <c r="BF278" s="166">
        <f t="shared" si="40"/>
        <v>0</v>
      </c>
      <c r="BG278" s="166">
        <f t="shared" si="41"/>
        <v>0</v>
      </c>
      <c r="BH278" s="166">
        <f t="shared" si="42"/>
        <v>0</v>
      </c>
      <c r="BI278" s="166">
        <f t="shared" si="43"/>
        <v>0</v>
      </c>
      <c r="BJ278" s="14" t="s">
        <v>82</v>
      </c>
      <c r="BK278" s="166">
        <f t="shared" si="44"/>
        <v>0</v>
      </c>
      <c r="BL278" s="14" t="s">
        <v>213</v>
      </c>
      <c r="BM278" s="165" t="s">
        <v>757</v>
      </c>
    </row>
    <row r="279" spans="1:65" s="2" customFormat="1" ht="44.25" customHeight="1">
      <c r="A279" s="29"/>
      <c r="B279" s="152"/>
      <c r="C279" s="167" t="s">
        <v>439</v>
      </c>
      <c r="D279" s="167" t="s">
        <v>202</v>
      </c>
      <c r="E279" s="168" t="s">
        <v>2382</v>
      </c>
      <c r="F279" s="338" t="s">
        <v>3439</v>
      </c>
      <c r="G279" s="170" t="s">
        <v>217</v>
      </c>
      <c r="H279" s="171">
        <v>1</v>
      </c>
      <c r="I279" s="172"/>
      <c r="J279" s="151">
        <v>0</v>
      </c>
      <c r="K279" s="174"/>
      <c r="L279" s="175"/>
      <c r="M279" s="176" t="s">
        <v>1</v>
      </c>
      <c r="N279" s="177" t="s">
        <v>35</v>
      </c>
      <c r="O279" s="58"/>
      <c r="P279" s="163">
        <f t="shared" si="36"/>
        <v>0</v>
      </c>
      <c r="Q279" s="163">
        <v>2.15E-3</v>
      </c>
      <c r="R279" s="163">
        <f t="shared" si="37"/>
        <v>2.15E-3</v>
      </c>
      <c r="S279" s="163">
        <v>0</v>
      </c>
      <c r="T279" s="164">
        <f t="shared" si="38"/>
        <v>0</v>
      </c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R279" s="165" t="s">
        <v>242</v>
      </c>
      <c r="AT279" s="165" t="s">
        <v>202</v>
      </c>
      <c r="AU279" s="165" t="s">
        <v>82</v>
      </c>
      <c r="AY279" s="14" t="s">
        <v>179</v>
      </c>
      <c r="BE279" s="166">
        <f t="shared" si="39"/>
        <v>0</v>
      </c>
      <c r="BF279" s="166">
        <f t="shared" si="40"/>
        <v>0</v>
      </c>
      <c r="BG279" s="166">
        <f t="shared" si="41"/>
        <v>0</v>
      </c>
      <c r="BH279" s="166">
        <f t="shared" si="42"/>
        <v>0</v>
      </c>
      <c r="BI279" s="166">
        <f t="shared" si="43"/>
        <v>0</v>
      </c>
      <c r="BJ279" s="14" t="s">
        <v>82</v>
      </c>
      <c r="BK279" s="166">
        <f t="shared" si="44"/>
        <v>0</v>
      </c>
      <c r="BL279" s="14" t="s">
        <v>213</v>
      </c>
      <c r="BM279" s="165" t="s">
        <v>761</v>
      </c>
    </row>
    <row r="280" spans="1:65" s="2" customFormat="1" ht="44.25" customHeight="1">
      <c r="A280" s="29"/>
      <c r="B280" s="152"/>
      <c r="C280" s="167" t="s">
        <v>685</v>
      </c>
      <c r="D280" s="167" t="s">
        <v>202</v>
      </c>
      <c r="E280" s="168" t="s">
        <v>2383</v>
      </c>
      <c r="F280" s="338" t="s">
        <v>3440</v>
      </c>
      <c r="G280" s="170" t="s">
        <v>217</v>
      </c>
      <c r="H280" s="171">
        <v>1</v>
      </c>
      <c r="I280" s="172"/>
      <c r="J280" s="151">
        <v>0</v>
      </c>
      <c r="K280" s="174"/>
      <c r="L280" s="175"/>
      <c r="M280" s="176" t="s">
        <v>1</v>
      </c>
      <c r="N280" s="177" t="s">
        <v>35</v>
      </c>
      <c r="O280" s="58"/>
      <c r="P280" s="163">
        <f t="shared" si="36"/>
        <v>0</v>
      </c>
      <c r="Q280" s="163">
        <v>2.15E-3</v>
      </c>
      <c r="R280" s="163">
        <f t="shared" si="37"/>
        <v>2.15E-3</v>
      </c>
      <c r="S280" s="163">
        <v>0</v>
      </c>
      <c r="T280" s="164">
        <f t="shared" si="38"/>
        <v>0</v>
      </c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R280" s="165" t="s">
        <v>242</v>
      </c>
      <c r="AT280" s="165" t="s">
        <v>202</v>
      </c>
      <c r="AU280" s="165" t="s">
        <v>82</v>
      </c>
      <c r="AY280" s="14" t="s">
        <v>179</v>
      </c>
      <c r="BE280" s="166">
        <f t="shared" si="39"/>
        <v>0</v>
      </c>
      <c r="BF280" s="166">
        <f t="shared" si="40"/>
        <v>0</v>
      </c>
      <c r="BG280" s="166">
        <f t="shared" si="41"/>
        <v>0</v>
      </c>
      <c r="BH280" s="166">
        <f t="shared" si="42"/>
        <v>0</v>
      </c>
      <c r="BI280" s="166">
        <f t="shared" si="43"/>
        <v>0</v>
      </c>
      <c r="BJ280" s="14" t="s">
        <v>82</v>
      </c>
      <c r="BK280" s="166">
        <f t="shared" si="44"/>
        <v>0</v>
      </c>
      <c r="BL280" s="14" t="s">
        <v>213</v>
      </c>
      <c r="BM280" s="165" t="s">
        <v>764</v>
      </c>
    </row>
    <row r="281" spans="1:65" s="2" customFormat="1" ht="44.25" customHeight="1">
      <c r="A281" s="29"/>
      <c r="B281" s="152"/>
      <c r="C281" s="167" t="s">
        <v>442</v>
      </c>
      <c r="D281" s="167" t="s">
        <v>202</v>
      </c>
      <c r="E281" s="168" t="s">
        <v>2384</v>
      </c>
      <c r="F281" s="338" t="s">
        <v>3441</v>
      </c>
      <c r="G281" s="170" t="s">
        <v>217</v>
      </c>
      <c r="H281" s="171">
        <v>1</v>
      </c>
      <c r="I281" s="172"/>
      <c r="J281" s="151">
        <v>0</v>
      </c>
      <c r="K281" s="174"/>
      <c r="L281" s="175"/>
      <c r="M281" s="176" t="s">
        <v>1</v>
      </c>
      <c r="N281" s="177" t="s">
        <v>35</v>
      </c>
      <c r="O281" s="58"/>
      <c r="P281" s="163">
        <f t="shared" si="36"/>
        <v>0</v>
      </c>
      <c r="Q281" s="163">
        <v>2.15E-3</v>
      </c>
      <c r="R281" s="163">
        <f t="shared" si="37"/>
        <v>2.15E-3</v>
      </c>
      <c r="S281" s="163">
        <v>0</v>
      </c>
      <c r="T281" s="164">
        <f t="shared" si="38"/>
        <v>0</v>
      </c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R281" s="165" t="s">
        <v>242</v>
      </c>
      <c r="AT281" s="165" t="s">
        <v>202</v>
      </c>
      <c r="AU281" s="165" t="s">
        <v>82</v>
      </c>
      <c r="AY281" s="14" t="s">
        <v>179</v>
      </c>
      <c r="BE281" s="166">
        <f t="shared" si="39"/>
        <v>0</v>
      </c>
      <c r="BF281" s="166">
        <f t="shared" si="40"/>
        <v>0</v>
      </c>
      <c r="BG281" s="166">
        <f t="shared" si="41"/>
        <v>0</v>
      </c>
      <c r="BH281" s="166">
        <f t="shared" si="42"/>
        <v>0</v>
      </c>
      <c r="BI281" s="166">
        <f t="shared" si="43"/>
        <v>0</v>
      </c>
      <c r="BJ281" s="14" t="s">
        <v>82</v>
      </c>
      <c r="BK281" s="166">
        <f t="shared" si="44"/>
        <v>0</v>
      </c>
      <c r="BL281" s="14" t="s">
        <v>213</v>
      </c>
      <c r="BM281" s="165" t="s">
        <v>768</v>
      </c>
    </row>
    <row r="282" spans="1:65" s="2" customFormat="1" ht="44.25" customHeight="1">
      <c r="A282" s="29"/>
      <c r="B282" s="152"/>
      <c r="C282" s="167" t="s">
        <v>692</v>
      </c>
      <c r="D282" s="167" t="s">
        <v>202</v>
      </c>
      <c r="E282" s="168" t="s">
        <v>2385</v>
      </c>
      <c r="F282" s="338" t="s">
        <v>3442</v>
      </c>
      <c r="G282" s="170" t="s">
        <v>217</v>
      </c>
      <c r="H282" s="171">
        <v>1</v>
      </c>
      <c r="I282" s="172"/>
      <c r="J282" s="151">
        <v>0</v>
      </c>
      <c r="K282" s="174"/>
      <c r="L282" s="175"/>
      <c r="M282" s="176" t="s">
        <v>1</v>
      </c>
      <c r="N282" s="177" t="s">
        <v>35</v>
      </c>
      <c r="O282" s="58"/>
      <c r="P282" s="163">
        <f t="shared" si="36"/>
        <v>0</v>
      </c>
      <c r="Q282" s="163">
        <v>2.15E-3</v>
      </c>
      <c r="R282" s="163">
        <f t="shared" si="37"/>
        <v>2.15E-3</v>
      </c>
      <c r="S282" s="163">
        <v>0</v>
      </c>
      <c r="T282" s="164">
        <f t="shared" si="38"/>
        <v>0</v>
      </c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R282" s="165" t="s">
        <v>242</v>
      </c>
      <c r="AT282" s="165" t="s">
        <v>202</v>
      </c>
      <c r="AU282" s="165" t="s">
        <v>82</v>
      </c>
      <c r="AY282" s="14" t="s">
        <v>179</v>
      </c>
      <c r="BE282" s="166">
        <f t="shared" si="39"/>
        <v>0</v>
      </c>
      <c r="BF282" s="166">
        <f t="shared" si="40"/>
        <v>0</v>
      </c>
      <c r="BG282" s="166">
        <f t="shared" si="41"/>
        <v>0</v>
      </c>
      <c r="BH282" s="166">
        <f t="shared" si="42"/>
        <v>0</v>
      </c>
      <c r="BI282" s="166">
        <f t="shared" si="43"/>
        <v>0</v>
      </c>
      <c r="BJ282" s="14" t="s">
        <v>82</v>
      </c>
      <c r="BK282" s="166">
        <f t="shared" si="44"/>
        <v>0</v>
      </c>
      <c r="BL282" s="14" t="s">
        <v>213</v>
      </c>
      <c r="BM282" s="165" t="s">
        <v>771</v>
      </c>
    </row>
    <row r="283" spans="1:65" s="2" customFormat="1" ht="44.25" customHeight="1">
      <c r="A283" s="29"/>
      <c r="B283" s="152"/>
      <c r="C283" s="167" t="s">
        <v>446</v>
      </c>
      <c r="D283" s="167" t="s">
        <v>202</v>
      </c>
      <c r="E283" s="168" t="s">
        <v>2386</v>
      </c>
      <c r="F283" s="338" t="s">
        <v>3443</v>
      </c>
      <c r="G283" s="170" t="s">
        <v>217</v>
      </c>
      <c r="H283" s="171">
        <v>1</v>
      </c>
      <c r="I283" s="172"/>
      <c r="J283" s="151">
        <v>0</v>
      </c>
      <c r="K283" s="174"/>
      <c r="L283" s="175"/>
      <c r="M283" s="176" t="s">
        <v>1</v>
      </c>
      <c r="N283" s="177" t="s">
        <v>35</v>
      </c>
      <c r="O283" s="58"/>
      <c r="P283" s="163">
        <f t="shared" si="36"/>
        <v>0</v>
      </c>
      <c r="Q283" s="163">
        <v>2.15E-3</v>
      </c>
      <c r="R283" s="163">
        <f t="shared" si="37"/>
        <v>2.15E-3</v>
      </c>
      <c r="S283" s="163">
        <v>0</v>
      </c>
      <c r="T283" s="164">
        <f t="shared" si="38"/>
        <v>0</v>
      </c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R283" s="165" t="s">
        <v>242</v>
      </c>
      <c r="AT283" s="165" t="s">
        <v>202</v>
      </c>
      <c r="AU283" s="165" t="s">
        <v>82</v>
      </c>
      <c r="AY283" s="14" t="s">
        <v>179</v>
      </c>
      <c r="BE283" s="166">
        <f t="shared" si="39"/>
        <v>0</v>
      </c>
      <c r="BF283" s="166">
        <f t="shared" si="40"/>
        <v>0</v>
      </c>
      <c r="BG283" s="166">
        <f t="shared" si="41"/>
        <v>0</v>
      </c>
      <c r="BH283" s="166">
        <f t="shared" si="42"/>
        <v>0</v>
      </c>
      <c r="BI283" s="166">
        <f t="shared" si="43"/>
        <v>0</v>
      </c>
      <c r="BJ283" s="14" t="s">
        <v>82</v>
      </c>
      <c r="BK283" s="166">
        <f t="shared" si="44"/>
        <v>0</v>
      </c>
      <c r="BL283" s="14" t="s">
        <v>213</v>
      </c>
      <c r="BM283" s="165" t="s">
        <v>775</v>
      </c>
    </row>
    <row r="284" spans="1:65" s="2" customFormat="1" ht="44.25" customHeight="1">
      <c r="A284" s="29"/>
      <c r="B284" s="152"/>
      <c r="C284" s="167" t="s">
        <v>701</v>
      </c>
      <c r="D284" s="167" t="s">
        <v>202</v>
      </c>
      <c r="E284" s="168" t="s">
        <v>2387</v>
      </c>
      <c r="F284" s="338" t="s">
        <v>3444</v>
      </c>
      <c r="G284" s="170" t="s">
        <v>217</v>
      </c>
      <c r="H284" s="171">
        <v>1</v>
      </c>
      <c r="I284" s="172"/>
      <c r="J284" s="151">
        <v>0</v>
      </c>
      <c r="K284" s="174"/>
      <c r="L284" s="175"/>
      <c r="M284" s="176" t="s">
        <v>1</v>
      </c>
      <c r="N284" s="177" t="s">
        <v>35</v>
      </c>
      <c r="O284" s="58"/>
      <c r="P284" s="163">
        <f t="shared" ref="P284:P300" si="45">O284*H284</f>
        <v>0</v>
      </c>
      <c r="Q284" s="163">
        <v>2.15E-3</v>
      </c>
      <c r="R284" s="163">
        <f t="shared" ref="R284:R300" si="46">Q284*H284</f>
        <v>2.15E-3</v>
      </c>
      <c r="S284" s="163">
        <v>0</v>
      </c>
      <c r="T284" s="164">
        <f t="shared" ref="T284:T300" si="47">S284*H284</f>
        <v>0</v>
      </c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R284" s="165" t="s">
        <v>242</v>
      </c>
      <c r="AT284" s="165" t="s">
        <v>202</v>
      </c>
      <c r="AU284" s="165" t="s">
        <v>82</v>
      </c>
      <c r="AY284" s="14" t="s">
        <v>179</v>
      </c>
      <c r="BE284" s="166">
        <f t="shared" ref="BE284:BE300" si="48">IF(N284="základná",J284,0)</f>
        <v>0</v>
      </c>
      <c r="BF284" s="166">
        <f t="shared" ref="BF284:BF300" si="49">IF(N284="znížená",J284,0)</f>
        <v>0</v>
      </c>
      <c r="BG284" s="166">
        <f t="shared" ref="BG284:BG300" si="50">IF(N284="zákl. prenesená",J284,0)</f>
        <v>0</v>
      </c>
      <c r="BH284" s="166">
        <f t="shared" ref="BH284:BH300" si="51">IF(N284="zníž. prenesená",J284,0)</f>
        <v>0</v>
      </c>
      <c r="BI284" s="166">
        <f t="shared" ref="BI284:BI300" si="52">IF(N284="nulová",J284,0)</f>
        <v>0</v>
      </c>
      <c r="BJ284" s="14" t="s">
        <v>82</v>
      </c>
      <c r="BK284" s="166">
        <f t="shared" ref="BK284:BK300" si="53">ROUND(I284*H284,2)</f>
        <v>0</v>
      </c>
      <c r="BL284" s="14" t="s">
        <v>213</v>
      </c>
      <c r="BM284" s="165" t="s">
        <v>778</v>
      </c>
    </row>
    <row r="285" spans="1:65" s="2" customFormat="1" ht="44.25" customHeight="1">
      <c r="A285" s="29"/>
      <c r="B285" s="152"/>
      <c r="C285" s="167" t="s">
        <v>449</v>
      </c>
      <c r="D285" s="167" t="s">
        <v>202</v>
      </c>
      <c r="E285" s="168" t="s">
        <v>2388</v>
      </c>
      <c r="F285" s="338" t="s">
        <v>3445</v>
      </c>
      <c r="G285" s="170" t="s">
        <v>217</v>
      </c>
      <c r="H285" s="171">
        <v>1</v>
      </c>
      <c r="I285" s="172"/>
      <c r="J285" s="151">
        <v>0</v>
      </c>
      <c r="K285" s="174"/>
      <c r="L285" s="175"/>
      <c r="M285" s="176" t="s">
        <v>1</v>
      </c>
      <c r="N285" s="177" t="s">
        <v>35</v>
      </c>
      <c r="O285" s="58"/>
      <c r="P285" s="163">
        <f t="shared" si="45"/>
        <v>0</v>
      </c>
      <c r="Q285" s="163">
        <v>2.15E-3</v>
      </c>
      <c r="R285" s="163">
        <f t="shared" si="46"/>
        <v>2.15E-3</v>
      </c>
      <c r="S285" s="163">
        <v>0</v>
      </c>
      <c r="T285" s="164">
        <f t="shared" si="47"/>
        <v>0</v>
      </c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R285" s="165" t="s">
        <v>242</v>
      </c>
      <c r="AT285" s="165" t="s">
        <v>202</v>
      </c>
      <c r="AU285" s="165" t="s">
        <v>82</v>
      </c>
      <c r="AY285" s="14" t="s">
        <v>179</v>
      </c>
      <c r="BE285" s="166">
        <f t="shared" si="48"/>
        <v>0</v>
      </c>
      <c r="BF285" s="166">
        <f t="shared" si="49"/>
        <v>0</v>
      </c>
      <c r="BG285" s="166">
        <f t="shared" si="50"/>
        <v>0</v>
      </c>
      <c r="BH285" s="166">
        <f t="shared" si="51"/>
        <v>0</v>
      </c>
      <c r="BI285" s="166">
        <f t="shared" si="52"/>
        <v>0</v>
      </c>
      <c r="BJ285" s="14" t="s">
        <v>82</v>
      </c>
      <c r="BK285" s="166">
        <f t="shared" si="53"/>
        <v>0</v>
      </c>
      <c r="BL285" s="14" t="s">
        <v>213</v>
      </c>
      <c r="BM285" s="165" t="s">
        <v>781</v>
      </c>
    </row>
    <row r="286" spans="1:65" s="2" customFormat="1" ht="44.25" customHeight="1">
      <c r="A286" s="29"/>
      <c r="B286" s="152"/>
      <c r="C286" s="167" t="s">
        <v>708</v>
      </c>
      <c r="D286" s="167" t="s">
        <v>202</v>
      </c>
      <c r="E286" s="168" t="s">
        <v>2388</v>
      </c>
      <c r="F286" s="338" t="s">
        <v>3445</v>
      </c>
      <c r="G286" s="170" t="s">
        <v>217</v>
      </c>
      <c r="H286" s="171">
        <v>1</v>
      </c>
      <c r="I286" s="172"/>
      <c r="J286" s="151">
        <v>0</v>
      </c>
      <c r="K286" s="174"/>
      <c r="L286" s="175"/>
      <c r="M286" s="176" t="s">
        <v>1</v>
      </c>
      <c r="N286" s="177" t="s">
        <v>35</v>
      </c>
      <c r="O286" s="58"/>
      <c r="P286" s="163">
        <f t="shared" si="45"/>
        <v>0</v>
      </c>
      <c r="Q286" s="163">
        <v>2.15E-3</v>
      </c>
      <c r="R286" s="163">
        <f t="shared" si="46"/>
        <v>2.15E-3</v>
      </c>
      <c r="S286" s="163">
        <v>0</v>
      </c>
      <c r="T286" s="164">
        <f t="shared" si="47"/>
        <v>0</v>
      </c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R286" s="165" t="s">
        <v>242</v>
      </c>
      <c r="AT286" s="165" t="s">
        <v>202</v>
      </c>
      <c r="AU286" s="165" t="s">
        <v>82</v>
      </c>
      <c r="AY286" s="14" t="s">
        <v>179</v>
      </c>
      <c r="BE286" s="166">
        <f t="shared" si="48"/>
        <v>0</v>
      </c>
      <c r="BF286" s="166">
        <f t="shared" si="49"/>
        <v>0</v>
      </c>
      <c r="BG286" s="166">
        <f t="shared" si="50"/>
        <v>0</v>
      </c>
      <c r="BH286" s="166">
        <f t="shared" si="51"/>
        <v>0</v>
      </c>
      <c r="BI286" s="166">
        <f t="shared" si="52"/>
        <v>0</v>
      </c>
      <c r="BJ286" s="14" t="s">
        <v>82</v>
      </c>
      <c r="BK286" s="166">
        <f t="shared" si="53"/>
        <v>0</v>
      </c>
      <c r="BL286" s="14" t="s">
        <v>213</v>
      </c>
      <c r="BM286" s="165" t="s">
        <v>784</v>
      </c>
    </row>
    <row r="287" spans="1:65" s="2" customFormat="1" ht="37.9" customHeight="1">
      <c r="A287" s="29"/>
      <c r="B287" s="152"/>
      <c r="C287" s="167" t="s">
        <v>453</v>
      </c>
      <c r="D287" s="167" t="s">
        <v>202</v>
      </c>
      <c r="E287" s="168" t="s">
        <v>2389</v>
      </c>
      <c r="F287" s="338" t="s">
        <v>3446</v>
      </c>
      <c r="G287" s="170" t="s">
        <v>217</v>
      </c>
      <c r="H287" s="171">
        <v>1</v>
      </c>
      <c r="I287" s="172"/>
      <c r="J287" s="151">
        <v>0</v>
      </c>
      <c r="K287" s="174"/>
      <c r="L287" s="175"/>
      <c r="M287" s="176" t="s">
        <v>1</v>
      </c>
      <c r="N287" s="177" t="s">
        <v>35</v>
      </c>
      <c r="O287" s="58"/>
      <c r="P287" s="163">
        <f t="shared" si="45"/>
        <v>0</v>
      </c>
      <c r="Q287" s="163">
        <v>2.15E-3</v>
      </c>
      <c r="R287" s="163">
        <f t="shared" si="46"/>
        <v>2.15E-3</v>
      </c>
      <c r="S287" s="163">
        <v>0</v>
      </c>
      <c r="T287" s="164">
        <f t="shared" si="47"/>
        <v>0</v>
      </c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R287" s="165" t="s">
        <v>242</v>
      </c>
      <c r="AT287" s="165" t="s">
        <v>202</v>
      </c>
      <c r="AU287" s="165" t="s">
        <v>82</v>
      </c>
      <c r="AY287" s="14" t="s">
        <v>179</v>
      </c>
      <c r="BE287" s="166">
        <f t="shared" si="48"/>
        <v>0</v>
      </c>
      <c r="BF287" s="166">
        <f t="shared" si="49"/>
        <v>0</v>
      </c>
      <c r="BG287" s="166">
        <f t="shared" si="50"/>
        <v>0</v>
      </c>
      <c r="BH287" s="166">
        <f t="shared" si="51"/>
        <v>0</v>
      </c>
      <c r="BI287" s="166">
        <f t="shared" si="52"/>
        <v>0</v>
      </c>
      <c r="BJ287" s="14" t="s">
        <v>82</v>
      </c>
      <c r="BK287" s="166">
        <f t="shared" si="53"/>
        <v>0</v>
      </c>
      <c r="BL287" s="14" t="s">
        <v>213</v>
      </c>
      <c r="BM287" s="165" t="s">
        <v>788</v>
      </c>
    </row>
    <row r="288" spans="1:65" s="2" customFormat="1" ht="44.25" customHeight="1">
      <c r="A288" s="29"/>
      <c r="B288" s="152"/>
      <c r="C288" s="167" t="s">
        <v>715</v>
      </c>
      <c r="D288" s="167" t="s">
        <v>202</v>
      </c>
      <c r="E288" s="168" t="s">
        <v>2390</v>
      </c>
      <c r="F288" s="338" t="s">
        <v>3447</v>
      </c>
      <c r="G288" s="170" t="s">
        <v>217</v>
      </c>
      <c r="H288" s="171">
        <v>1</v>
      </c>
      <c r="I288" s="172"/>
      <c r="J288" s="151">
        <v>0</v>
      </c>
      <c r="K288" s="174"/>
      <c r="L288" s="175"/>
      <c r="M288" s="176" t="s">
        <v>1</v>
      </c>
      <c r="N288" s="177" t="s">
        <v>35</v>
      </c>
      <c r="O288" s="58"/>
      <c r="P288" s="163">
        <f t="shared" si="45"/>
        <v>0</v>
      </c>
      <c r="Q288" s="163">
        <v>2.15E-3</v>
      </c>
      <c r="R288" s="163">
        <f t="shared" si="46"/>
        <v>2.15E-3</v>
      </c>
      <c r="S288" s="163">
        <v>0</v>
      </c>
      <c r="T288" s="164">
        <f t="shared" si="47"/>
        <v>0</v>
      </c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R288" s="165" t="s">
        <v>242</v>
      </c>
      <c r="AT288" s="165" t="s">
        <v>202</v>
      </c>
      <c r="AU288" s="165" t="s">
        <v>82</v>
      </c>
      <c r="AY288" s="14" t="s">
        <v>179</v>
      </c>
      <c r="BE288" s="166">
        <f t="shared" si="48"/>
        <v>0</v>
      </c>
      <c r="BF288" s="166">
        <f t="shared" si="49"/>
        <v>0</v>
      </c>
      <c r="BG288" s="166">
        <f t="shared" si="50"/>
        <v>0</v>
      </c>
      <c r="BH288" s="166">
        <f t="shared" si="51"/>
        <v>0</v>
      </c>
      <c r="BI288" s="166">
        <f t="shared" si="52"/>
        <v>0</v>
      </c>
      <c r="BJ288" s="14" t="s">
        <v>82</v>
      </c>
      <c r="BK288" s="166">
        <f t="shared" si="53"/>
        <v>0</v>
      </c>
      <c r="BL288" s="14" t="s">
        <v>213</v>
      </c>
      <c r="BM288" s="165" t="s">
        <v>791</v>
      </c>
    </row>
    <row r="289" spans="1:65" s="2" customFormat="1" ht="37.9" customHeight="1">
      <c r="A289" s="29"/>
      <c r="B289" s="152"/>
      <c r="C289" s="167" t="s">
        <v>456</v>
      </c>
      <c r="D289" s="167" t="s">
        <v>202</v>
      </c>
      <c r="E289" s="168" t="s">
        <v>2391</v>
      </c>
      <c r="F289" s="338" t="s">
        <v>3448</v>
      </c>
      <c r="G289" s="170" t="s">
        <v>217</v>
      </c>
      <c r="H289" s="171">
        <v>1</v>
      </c>
      <c r="I289" s="172"/>
      <c r="J289" s="151">
        <v>0</v>
      </c>
      <c r="K289" s="174"/>
      <c r="L289" s="175"/>
      <c r="M289" s="176" t="s">
        <v>1</v>
      </c>
      <c r="N289" s="177" t="s">
        <v>35</v>
      </c>
      <c r="O289" s="58"/>
      <c r="P289" s="163">
        <f t="shared" si="45"/>
        <v>0</v>
      </c>
      <c r="Q289" s="163">
        <v>2.15E-3</v>
      </c>
      <c r="R289" s="163">
        <f t="shared" si="46"/>
        <v>2.15E-3</v>
      </c>
      <c r="S289" s="163">
        <v>0</v>
      </c>
      <c r="T289" s="164">
        <f t="shared" si="47"/>
        <v>0</v>
      </c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R289" s="165" t="s">
        <v>242</v>
      </c>
      <c r="AT289" s="165" t="s">
        <v>202</v>
      </c>
      <c r="AU289" s="165" t="s">
        <v>82</v>
      </c>
      <c r="AY289" s="14" t="s">
        <v>179</v>
      </c>
      <c r="BE289" s="166">
        <f t="shared" si="48"/>
        <v>0</v>
      </c>
      <c r="BF289" s="166">
        <f t="shared" si="49"/>
        <v>0</v>
      </c>
      <c r="BG289" s="166">
        <f t="shared" si="50"/>
        <v>0</v>
      </c>
      <c r="BH289" s="166">
        <f t="shared" si="51"/>
        <v>0</v>
      </c>
      <c r="BI289" s="166">
        <f t="shared" si="52"/>
        <v>0</v>
      </c>
      <c r="BJ289" s="14" t="s">
        <v>82</v>
      </c>
      <c r="BK289" s="166">
        <f t="shared" si="53"/>
        <v>0</v>
      </c>
      <c r="BL289" s="14" t="s">
        <v>213</v>
      </c>
      <c r="BM289" s="165" t="s">
        <v>795</v>
      </c>
    </row>
    <row r="290" spans="1:65" s="2" customFormat="1" ht="37.9" customHeight="1">
      <c r="A290" s="29"/>
      <c r="B290" s="152"/>
      <c r="C290" s="167" t="s">
        <v>722</v>
      </c>
      <c r="D290" s="167" t="s">
        <v>202</v>
      </c>
      <c r="E290" s="168" t="s">
        <v>2392</v>
      </c>
      <c r="F290" s="338" t="s">
        <v>3449</v>
      </c>
      <c r="G290" s="170" t="s">
        <v>217</v>
      </c>
      <c r="H290" s="171">
        <v>1</v>
      </c>
      <c r="I290" s="172"/>
      <c r="J290" s="151">
        <v>0</v>
      </c>
      <c r="K290" s="174"/>
      <c r="L290" s="175"/>
      <c r="M290" s="176" t="s">
        <v>1</v>
      </c>
      <c r="N290" s="177" t="s">
        <v>35</v>
      </c>
      <c r="O290" s="58"/>
      <c r="P290" s="163">
        <f t="shared" si="45"/>
        <v>0</v>
      </c>
      <c r="Q290" s="163">
        <v>2.15E-3</v>
      </c>
      <c r="R290" s="163">
        <f t="shared" si="46"/>
        <v>2.15E-3</v>
      </c>
      <c r="S290" s="163">
        <v>0</v>
      </c>
      <c r="T290" s="164">
        <f t="shared" si="47"/>
        <v>0</v>
      </c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R290" s="165" t="s">
        <v>242</v>
      </c>
      <c r="AT290" s="165" t="s">
        <v>202</v>
      </c>
      <c r="AU290" s="165" t="s">
        <v>82</v>
      </c>
      <c r="AY290" s="14" t="s">
        <v>179</v>
      </c>
      <c r="BE290" s="166">
        <f t="shared" si="48"/>
        <v>0</v>
      </c>
      <c r="BF290" s="166">
        <f t="shared" si="49"/>
        <v>0</v>
      </c>
      <c r="BG290" s="166">
        <f t="shared" si="50"/>
        <v>0</v>
      </c>
      <c r="BH290" s="166">
        <f t="shared" si="51"/>
        <v>0</v>
      </c>
      <c r="BI290" s="166">
        <f t="shared" si="52"/>
        <v>0</v>
      </c>
      <c r="BJ290" s="14" t="s">
        <v>82</v>
      </c>
      <c r="BK290" s="166">
        <f t="shared" si="53"/>
        <v>0</v>
      </c>
      <c r="BL290" s="14" t="s">
        <v>213</v>
      </c>
      <c r="BM290" s="165" t="s">
        <v>798</v>
      </c>
    </row>
    <row r="291" spans="1:65" s="2" customFormat="1" ht="37.9" customHeight="1">
      <c r="A291" s="29"/>
      <c r="B291" s="152"/>
      <c r="C291" s="167" t="s">
        <v>460</v>
      </c>
      <c r="D291" s="167" t="s">
        <v>202</v>
      </c>
      <c r="E291" s="168" t="s">
        <v>2393</v>
      </c>
      <c r="F291" s="338" t="s">
        <v>3450</v>
      </c>
      <c r="G291" s="170" t="s">
        <v>217</v>
      </c>
      <c r="H291" s="171">
        <v>1</v>
      </c>
      <c r="I291" s="172"/>
      <c r="J291" s="151">
        <v>0</v>
      </c>
      <c r="K291" s="174"/>
      <c r="L291" s="175"/>
      <c r="M291" s="176" t="s">
        <v>1</v>
      </c>
      <c r="N291" s="177" t="s">
        <v>35</v>
      </c>
      <c r="O291" s="58"/>
      <c r="P291" s="163">
        <f t="shared" si="45"/>
        <v>0</v>
      </c>
      <c r="Q291" s="163">
        <v>2.15E-3</v>
      </c>
      <c r="R291" s="163">
        <f t="shared" si="46"/>
        <v>2.15E-3</v>
      </c>
      <c r="S291" s="163">
        <v>0</v>
      </c>
      <c r="T291" s="164">
        <f t="shared" si="47"/>
        <v>0</v>
      </c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R291" s="165" t="s">
        <v>242</v>
      </c>
      <c r="AT291" s="165" t="s">
        <v>202</v>
      </c>
      <c r="AU291" s="165" t="s">
        <v>82</v>
      </c>
      <c r="AY291" s="14" t="s">
        <v>179</v>
      </c>
      <c r="BE291" s="166">
        <f t="shared" si="48"/>
        <v>0</v>
      </c>
      <c r="BF291" s="166">
        <f t="shared" si="49"/>
        <v>0</v>
      </c>
      <c r="BG291" s="166">
        <f t="shared" si="50"/>
        <v>0</v>
      </c>
      <c r="BH291" s="166">
        <f t="shared" si="51"/>
        <v>0</v>
      </c>
      <c r="BI291" s="166">
        <f t="shared" si="52"/>
        <v>0</v>
      </c>
      <c r="BJ291" s="14" t="s">
        <v>82</v>
      </c>
      <c r="BK291" s="166">
        <f t="shared" si="53"/>
        <v>0</v>
      </c>
      <c r="BL291" s="14" t="s">
        <v>213</v>
      </c>
      <c r="BM291" s="165" t="s">
        <v>802</v>
      </c>
    </row>
    <row r="292" spans="1:65" s="2" customFormat="1" ht="37.9" customHeight="1">
      <c r="A292" s="29"/>
      <c r="B292" s="152"/>
      <c r="C292" s="167" t="s">
        <v>731</v>
      </c>
      <c r="D292" s="167" t="s">
        <v>202</v>
      </c>
      <c r="E292" s="168" t="s">
        <v>2394</v>
      </c>
      <c r="F292" s="338" t="s">
        <v>3451</v>
      </c>
      <c r="G292" s="170" t="s">
        <v>217</v>
      </c>
      <c r="H292" s="171">
        <v>1</v>
      </c>
      <c r="I292" s="172"/>
      <c r="J292" s="151">
        <v>0</v>
      </c>
      <c r="K292" s="174"/>
      <c r="L292" s="175"/>
      <c r="M292" s="176" t="s">
        <v>1</v>
      </c>
      <c r="N292" s="177" t="s">
        <v>35</v>
      </c>
      <c r="O292" s="58"/>
      <c r="P292" s="163">
        <f t="shared" si="45"/>
        <v>0</v>
      </c>
      <c r="Q292" s="163">
        <v>2.15E-3</v>
      </c>
      <c r="R292" s="163">
        <f t="shared" si="46"/>
        <v>2.15E-3</v>
      </c>
      <c r="S292" s="163">
        <v>0</v>
      </c>
      <c r="T292" s="164">
        <f t="shared" si="47"/>
        <v>0</v>
      </c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R292" s="165" t="s">
        <v>242</v>
      </c>
      <c r="AT292" s="165" t="s">
        <v>202</v>
      </c>
      <c r="AU292" s="165" t="s">
        <v>82</v>
      </c>
      <c r="AY292" s="14" t="s">
        <v>179</v>
      </c>
      <c r="BE292" s="166">
        <f t="shared" si="48"/>
        <v>0</v>
      </c>
      <c r="BF292" s="166">
        <f t="shared" si="49"/>
        <v>0</v>
      </c>
      <c r="BG292" s="166">
        <f t="shared" si="50"/>
        <v>0</v>
      </c>
      <c r="BH292" s="166">
        <f t="shared" si="51"/>
        <v>0</v>
      </c>
      <c r="BI292" s="166">
        <f t="shared" si="52"/>
        <v>0</v>
      </c>
      <c r="BJ292" s="14" t="s">
        <v>82</v>
      </c>
      <c r="BK292" s="166">
        <f t="shared" si="53"/>
        <v>0</v>
      </c>
      <c r="BL292" s="14" t="s">
        <v>213</v>
      </c>
      <c r="BM292" s="165" t="s">
        <v>805</v>
      </c>
    </row>
    <row r="293" spans="1:65" s="2" customFormat="1" ht="55.5" customHeight="1">
      <c r="A293" s="29"/>
      <c r="B293" s="152"/>
      <c r="C293" s="167" t="s">
        <v>463</v>
      </c>
      <c r="D293" s="167" t="s">
        <v>202</v>
      </c>
      <c r="E293" s="168" t="s">
        <v>2395</v>
      </c>
      <c r="F293" s="338" t="s">
        <v>3452</v>
      </c>
      <c r="G293" s="170" t="s">
        <v>217</v>
      </c>
      <c r="H293" s="171">
        <v>1</v>
      </c>
      <c r="I293" s="172"/>
      <c r="J293" s="151">
        <v>0</v>
      </c>
      <c r="K293" s="174"/>
      <c r="L293" s="175"/>
      <c r="M293" s="176" t="s">
        <v>1</v>
      </c>
      <c r="N293" s="177" t="s">
        <v>35</v>
      </c>
      <c r="O293" s="58"/>
      <c r="P293" s="163">
        <f t="shared" si="45"/>
        <v>0</v>
      </c>
      <c r="Q293" s="163">
        <v>2.1499999999999998E-2</v>
      </c>
      <c r="R293" s="163">
        <f t="shared" si="46"/>
        <v>2.1499999999999998E-2</v>
      </c>
      <c r="S293" s="163">
        <v>0</v>
      </c>
      <c r="T293" s="164">
        <f t="shared" si="47"/>
        <v>0</v>
      </c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R293" s="165" t="s">
        <v>242</v>
      </c>
      <c r="AT293" s="165" t="s">
        <v>202</v>
      </c>
      <c r="AU293" s="165" t="s">
        <v>82</v>
      </c>
      <c r="AY293" s="14" t="s">
        <v>179</v>
      </c>
      <c r="BE293" s="166">
        <f t="shared" si="48"/>
        <v>0</v>
      </c>
      <c r="BF293" s="166">
        <f t="shared" si="49"/>
        <v>0</v>
      </c>
      <c r="BG293" s="166">
        <f t="shared" si="50"/>
        <v>0</v>
      </c>
      <c r="BH293" s="166">
        <f t="shared" si="51"/>
        <v>0</v>
      </c>
      <c r="BI293" s="166">
        <f t="shared" si="52"/>
        <v>0</v>
      </c>
      <c r="BJ293" s="14" t="s">
        <v>82</v>
      </c>
      <c r="BK293" s="166">
        <f t="shared" si="53"/>
        <v>0</v>
      </c>
      <c r="BL293" s="14" t="s">
        <v>213</v>
      </c>
      <c r="BM293" s="165" t="s">
        <v>808</v>
      </c>
    </row>
    <row r="294" spans="1:65" s="2" customFormat="1" ht="55.5" customHeight="1">
      <c r="A294" s="29"/>
      <c r="B294" s="152"/>
      <c r="C294" s="167" t="s">
        <v>737</v>
      </c>
      <c r="D294" s="167" t="s">
        <v>202</v>
      </c>
      <c r="E294" s="168" t="s">
        <v>2396</v>
      </c>
      <c r="F294" s="338" t="s">
        <v>3453</v>
      </c>
      <c r="G294" s="170" t="s">
        <v>217</v>
      </c>
      <c r="H294" s="171">
        <v>1</v>
      </c>
      <c r="I294" s="172"/>
      <c r="J294" s="151">
        <v>0</v>
      </c>
      <c r="K294" s="174"/>
      <c r="L294" s="175"/>
      <c r="M294" s="176" t="s">
        <v>1</v>
      </c>
      <c r="N294" s="177" t="s">
        <v>35</v>
      </c>
      <c r="O294" s="58"/>
      <c r="P294" s="163">
        <f t="shared" si="45"/>
        <v>0</v>
      </c>
      <c r="Q294" s="163">
        <v>2.15E-3</v>
      </c>
      <c r="R294" s="163">
        <f t="shared" si="46"/>
        <v>2.15E-3</v>
      </c>
      <c r="S294" s="163">
        <v>0</v>
      </c>
      <c r="T294" s="164">
        <f t="shared" si="47"/>
        <v>0</v>
      </c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R294" s="165" t="s">
        <v>242</v>
      </c>
      <c r="AT294" s="165" t="s">
        <v>202</v>
      </c>
      <c r="AU294" s="165" t="s">
        <v>82</v>
      </c>
      <c r="AY294" s="14" t="s">
        <v>179</v>
      </c>
      <c r="BE294" s="166">
        <f t="shared" si="48"/>
        <v>0</v>
      </c>
      <c r="BF294" s="166">
        <f t="shared" si="49"/>
        <v>0</v>
      </c>
      <c r="BG294" s="166">
        <f t="shared" si="50"/>
        <v>0</v>
      </c>
      <c r="BH294" s="166">
        <f t="shared" si="51"/>
        <v>0</v>
      </c>
      <c r="BI294" s="166">
        <f t="shared" si="52"/>
        <v>0</v>
      </c>
      <c r="BJ294" s="14" t="s">
        <v>82</v>
      </c>
      <c r="BK294" s="166">
        <f t="shared" si="53"/>
        <v>0</v>
      </c>
      <c r="BL294" s="14" t="s">
        <v>213</v>
      </c>
      <c r="BM294" s="165" t="s">
        <v>811</v>
      </c>
    </row>
    <row r="295" spans="1:65" s="2" customFormat="1" ht="62.65" customHeight="1">
      <c r="A295" s="29"/>
      <c r="B295" s="152"/>
      <c r="C295" s="167" t="s">
        <v>467</v>
      </c>
      <c r="D295" s="167" t="s">
        <v>202</v>
      </c>
      <c r="E295" s="168" t="s">
        <v>2397</v>
      </c>
      <c r="F295" s="338" t="s">
        <v>3454</v>
      </c>
      <c r="G295" s="170" t="s">
        <v>217</v>
      </c>
      <c r="H295" s="171">
        <v>1</v>
      </c>
      <c r="I295" s="172"/>
      <c r="J295" s="151">
        <v>0</v>
      </c>
      <c r="K295" s="174"/>
      <c r="L295" s="175"/>
      <c r="M295" s="176" t="s">
        <v>1</v>
      </c>
      <c r="N295" s="177" t="s">
        <v>35</v>
      </c>
      <c r="O295" s="58"/>
      <c r="P295" s="163">
        <f t="shared" si="45"/>
        <v>0</v>
      </c>
      <c r="Q295" s="163">
        <v>2.15E-3</v>
      </c>
      <c r="R295" s="163">
        <f t="shared" si="46"/>
        <v>2.15E-3</v>
      </c>
      <c r="S295" s="163">
        <v>0</v>
      </c>
      <c r="T295" s="164">
        <f t="shared" si="47"/>
        <v>0</v>
      </c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R295" s="165" t="s">
        <v>242</v>
      </c>
      <c r="AT295" s="165" t="s">
        <v>202</v>
      </c>
      <c r="AU295" s="165" t="s">
        <v>82</v>
      </c>
      <c r="AY295" s="14" t="s">
        <v>179</v>
      </c>
      <c r="BE295" s="166">
        <f t="shared" si="48"/>
        <v>0</v>
      </c>
      <c r="BF295" s="166">
        <f t="shared" si="49"/>
        <v>0</v>
      </c>
      <c r="BG295" s="166">
        <f t="shared" si="50"/>
        <v>0</v>
      </c>
      <c r="BH295" s="166">
        <f t="shared" si="51"/>
        <v>0</v>
      </c>
      <c r="BI295" s="166">
        <f t="shared" si="52"/>
        <v>0</v>
      </c>
      <c r="BJ295" s="14" t="s">
        <v>82</v>
      </c>
      <c r="BK295" s="166">
        <f t="shared" si="53"/>
        <v>0</v>
      </c>
      <c r="BL295" s="14" t="s">
        <v>213</v>
      </c>
      <c r="BM295" s="165" t="s">
        <v>815</v>
      </c>
    </row>
    <row r="296" spans="1:65" s="2" customFormat="1" ht="24.2" customHeight="1">
      <c r="A296" s="29"/>
      <c r="B296" s="152"/>
      <c r="C296" s="167" t="s">
        <v>744</v>
      </c>
      <c r="D296" s="167" t="s">
        <v>202</v>
      </c>
      <c r="E296" s="168" t="s">
        <v>2398</v>
      </c>
      <c r="F296" s="169" t="s">
        <v>2399</v>
      </c>
      <c r="G296" s="170" t="s">
        <v>217</v>
      </c>
      <c r="H296" s="171">
        <v>3</v>
      </c>
      <c r="I296" s="172"/>
      <c r="J296" s="151">
        <v>0</v>
      </c>
      <c r="K296" s="174"/>
      <c r="L296" s="175"/>
      <c r="M296" s="176" t="s">
        <v>1</v>
      </c>
      <c r="N296" s="177" t="s">
        <v>35</v>
      </c>
      <c r="O296" s="58"/>
      <c r="P296" s="163">
        <f t="shared" si="45"/>
        <v>0</v>
      </c>
      <c r="Q296" s="163">
        <v>2.15E-3</v>
      </c>
      <c r="R296" s="163">
        <f t="shared" si="46"/>
        <v>6.45E-3</v>
      </c>
      <c r="S296" s="163">
        <v>0</v>
      </c>
      <c r="T296" s="164">
        <f t="shared" si="47"/>
        <v>0</v>
      </c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R296" s="165" t="s">
        <v>242</v>
      </c>
      <c r="AT296" s="165" t="s">
        <v>202</v>
      </c>
      <c r="AU296" s="165" t="s">
        <v>82</v>
      </c>
      <c r="AY296" s="14" t="s">
        <v>179</v>
      </c>
      <c r="BE296" s="166">
        <f t="shared" si="48"/>
        <v>0</v>
      </c>
      <c r="BF296" s="166">
        <f t="shared" si="49"/>
        <v>0</v>
      </c>
      <c r="BG296" s="166">
        <f t="shared" si="50"/>
        <v>0</v>
      </c>
      <c r="BH296" s="166">
        <f t="shared" si="51"/>
        <v>0</v>
      </c>
      <c r="BI296" s="166">
        <f t="shared" si="52"/>
        <v>0</v>
      </c>
      <c r="BJ296" s="14" t="s">
        <v>82</v>
      </c>
      <c r="BK296" s="166">
        <f t="shared" si="53"/>
        <v>0</v>
      </c>
      <c r="BL296" s="14" t="s">
        <v>213</v>
      </c>
      <c r="BM296" s="165" t="s">
        <v>818</v>
      </c>
    </row>
    <row r="297" spans="1:65" s="2" customFormat="1" ht="16.5" customHeight="1">
      <c r="A297" s="29"/>
      <c r="B297" s="152"/>
      <c r="C297" s="153" t="s">
        <v>470</v>
      </c>
      <c r="D297" s="153" t="s">
        <v>181</v>
      </c>
      <c r="E297" s="154" t="s">
        <v>2400</v>
      </c>
      <c r="F297" s="155" t="s">
        <v>2401</v>
      </c>
      <c r="G297" s="156" t="s">
        <v>1202</v>
      </c>
      <c r="H297" s="157">
        <v>64</v>
      </c>
      <c r="I297" s="158"/>
      <c r="J297" s="151">
        <v>0</v>
      </c>
      <c r="K297" s="160"/>
      <c r="L297" s="30"/>
      <c r="M297" s="161" t="s">
        <v>1</v>
      </c>
      <c r="N297" s="162" t="s">
        <v>35</v>
      </c>
      <c r="O297" s="58"/>
      <c r="P297" s="163">
        <f t="shared" si="45"/>
        <v>0</v>
      </c>
      <c r="Q297" s="163">
        <v>1.1503125000000001E-3</v>
      </c>
      <c r="R297" s="163">
        <f t="shared" si="46"/>
        <v>7.3620000000000005E-2</v>
      </c>
      <c r="S297" s="163">
        <v>0</v>
      </c>
      <c r="T297" s="164">
        <f t="shared" si="47"/>
        <v>0</v>
      </c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R297" s="165" t="s">
        <v>213</v>
      </c>
      <c r="AT297" s="165" t="s">
        <v>181</v>
      </c>
      <c r="AU297" s="165" t="s">
        <v>82</v>
      </c>
      <c r="AY297" s="14" t="s">
        <v>179</v>
      </c>
      <c r="BE297" s="166">
        <f t="shared" si="48"/>
        <v>0</v>
      </c>
      <c r="BF297" s="166">
        <f t="shared" si="49"/>
        <v>0</v>
      </c>
      <c r="BG297" s="166">
        <f t="shared" si="50"/>
        <v>0</v>
      </c>
      <c r="BH297" s="166">
        <f t="shared" si="51"/>
        <v>0</v>
      </c>
      <c r="BI297" s="166">
        <f t="shared" si="52"/>
        <v>0</v>
      </c>
      <c r="BJ297" s="14" t="s">
        <v>82</v>
      </c>
      <c r="BK297" s="166">
        <f t="shared" si="53"/>
        <v>0</v>
      </c>
      <c r="BL297" s="14" t="s">
        <v>213</v>
      </c>
      <c r="BM297" s="165" t="s">
        <v>822</v>
      </c>
    </row>
    <row r="298" spans="1:65" s="2" customFormat="1" ht="16.5" customHeight="1">
      <c r="A298" s="29"/>
      <c r="B298" s="152"/>
      <c r="C298" s="167" t="s">
        <v>751</v>
      </c>
      <c r="D298" s="167" t="s">
        <v>202</v>
      </c>
      <c r="E298" s="168" t="s">
        <v>2402</v>
      </c>
      <c r="F298" s="169" t="s">
        <v>2403</v>
      </c>
      <c r="G298" s="170" t="s">
        <v>217</v>
      </c>
      <c r="H298" s="171">
        <v>64</v>
      </c>
      <c r="I298" s="172"/>
      <c r="J298" s="151">
        <v>0</v>
      </c>
      <c r="K298" s="174"/>
      <c r="L298" s="175"/>
      <c r="M298" s="176" t="s">
        <v>1</v>
      </c>
      <c r="N298" s="177" t="s">
        <v>35</v>
      </c>
      <c r="O298" s="58"/>
      <c r="P298" s="163">
        <f t="shared" si="45"/>
        <v>0</v>
      </c>
      <c r="Q298" s="163">
        <v>1.4999999999999999E-4</v>
      </c>
      <c r="R298" s="163">
        <f t="shared" si="46"/>
        <v>9.5999999999999992E-3</v>
      </c>
      <c r="S298" s="163">
        <v>0</v>
      </c>
      <c r="T298" s="164">
        <f t="shared" si="47"/>
        <v>0</v>
      </c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R298" s="165" t="s">
        <v>242</v>
      </c>
      <c r="AT298" s="165" t="s">
        <v>202</v>
      </c>
      <c r="AU298" s="165" t="s">
        <v>82</v>
      </c>
      <c r="AY298" s="14" t="s">
        <v>179</v>
      </c>
      <c r="BE298" s="166">
        <f t="shared" si="48"/>
        <v>0</v>
      </c>
      <c r="BF298" s="166">
        <f t="shared" si="49"/>
        <v>0</v>
      </c>
      <c r="BG298" s="166">
        <f t="shared" si="50"/>
        <v>0</v>
      </c>
      <c r="BH298" s="166">
        <f t="shared" si="51"/>
        <v>0</v>
      </c>
      <c r="BI298" s="166">
        <f t="shared" si="52"/>
        <v>0</v>
      </c>
      <c r="BJ298" s="14" t="s">
        <v>82</v>
      </c>
      <c r="BK298" s="166">
        <f t="shared" si="53"/>
        <v>0</v>
      </c>
      <c r="BL298" s="14" t="s">
        <v>213</v>
      </c>
      <c r="BM298" s="165" t="s">
        <v>825</v>
      </c>
    </row>
    <row r="299" spans="1:65" s="2" customFormat="1" ht="37.9" customHeight="1">
      <c r="A299" s="29"/>
      <c r="B299" s="152"/>
      <c r="C299" s="153" t="s">
        <v>474</v>
      </c>
      <c r="D299" s="153" t="s">
        <v>181</v>
      </c>
      <c r="E299" s="154" t="s">
        <v>2404</v>
      </c>
      <c r="F299" s="155" t="s">
        <v>2405</v>
      </c>
      <c r="G299" s="156" t="s">
        <v>191</v>
      </c>
      <c r="H299" s="157">
        <v>7.3879999999999999</v>
      </c>
      <c r="I299" s="158"/>
      <c r="J299" s="151">
        <v>0</v>
      </c>
      <c r="K299" s="160"/>
      <c r="L299" s="30"/>
      <c r="M299" s="161" t="s">
        <v>1</v>
      </c>
      <c r="N299" s="162" t="s">
        <v>35</v>
      </c>
      <c r="O299" s="58"/>
      <c r="P299" s="163">
        <f t="shared" si="45"/>
        <v>0</v>
      </c>
      <c r="Q299" s="163">
        <v>0</v>
      </c>
      <c r="R299" s="163">
        <f t="shared" si="46"/>
        <v>0</v>
      </c>
      <c r="S299" s="163">
        <v>0</v>
      </c>
      <c r="T299" s="164">
        <f t="shared" si="47"/>
        <v>0</v>
      </c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R299" s="165" t="s">
        <v>213</v>
      </c>
      <c r="AT299" s="165" t="s">
        <v>181</v>
      </c>
      <c r="AU299" s="165" t="s">
        <v>82</v>
      </c>
      <c r="AY299" s="14" t="s">
        <v>179</v>
      </c>
      <c r="BE299" s="166">
        <f t="shared" si="48"/>
        <v>0</v>
      </c>
      <c r="BF299" s="166">
        <f t="shared" si="49"/>
        <v>0</v>
      </c>
      <c r="BG299" s="166">
        <f t="shared" si="50"/>
        <v>0</v>
      </c>
      <c r="BH299" s="166">
        <f t="shared" si="51"/>
        <v>0</v>
      </c>
      <c r="BI299" s="166">
        <f t="shared" si="52"/>
        <v>0</v>
      </c>
      <c r="BJ299" s="14" t="s">
        <v>82</v>
      </c>
      <c r="BK299" s="166">
        <f t="shared" si="53"/>
        <v>0</v>
      </c>
      <c r="BL299" s="14" t="s">
        <v>213</v>
      </c>
      <c r="BM299" s="165" t="s">
        <v>829</v>
      </c>
    </row>
    <row r="300" spans="1:65" s="2" customFormat="1" ht="24.2" customHeight="1">
      <c r="A300" s="29"/>
      <c r="B300" s="152"/>
      <c r="C300" s="153" t="s">
        <v>758</v>
      </c>
      <c r="D300" s="153" t="s">
        <v>181</v>
      </c>
      <c r="E300" s="154" t="s">
        <v>2406</v>
      </c>
      <c r="F300" s="155" t="s">
        <v>2407</v>
      </c>
      <c r="G300" s="156" t="s">
        <v>585</v>
      </c>
      <c r="H300" s="178"/>
      <c r="I300" s="158"/>
      <c r="J300" s="151">
        <v>0</v>
      </c>
      <c r="K300" s="160"/>
      <c r="L300" s="30"/>
      <c r="M300" s="161" t="s">
        <v>1</v>
      </c>
      <c r="N300" s="162" t="s">
        <v>35</v>
      </c>
      <c r="O300" s="58"/>
      <c r="P300" s="163">
        <f t="shared" si="45"/>
        <v>0</v>
      </c>
      <c r="Q300" s="163">
        <v>0</v>
      </c>
      <c r="R300" s="163">
        <f t="shared" si="46"/>
        <v>0</v>
      </c>
      <c r="S300" s="163">
        <v>0</v>
      </c>
      <c r="T300" s="164">
        <f t="shared" si="47"/>
        <v>0</v>
      </c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R300" s="165" t="s">
        <v>213</v>
      </c>
      <c r="AT300" s="165" t="s">
        <v>181</v>
      </c>
      <c r="AU300" s="165" t="s">
        <v>82</v>
      </c>
      <c r="AY300" s="14" t="s">
        <v>179</v>
      </c>
      <c r="BE300" s="166">
        <f t="shared" si="48"/>
        <v>0</v>
      </c>
      <c r="BF300" s="166">
        <f t="shared" si="49"/>
        <v>0</v>
      </c>
      <c r="BG300" s="166">
        <f t="shared" si="50"/>
        <v>0</v>
      </c>
      <c r="BH300" s="166">
        <f t="shared" si="51"/>
        <v>0</v>
      </c>
      <c r="BI300" s="166">
        <f t="shared" si="52"/>
        <v>0</v>
      </c>
      <c r="BJ300" s="14" t="s">
        <v>82</v>
      </c>
      <c r="BK300" s="166">
        <f t="shared" si="53"/>
        <v>0</v>
      </c>
      <c r="BL300" s="14" t="s">
        <v>213</v>
      </c>
      <c r="BM300" s="165" t="s">
        <v>832</v>
      </c>
    </row>
    <row r="301" spans="1:65" s="12" customFormat="1" ht="22.9" customHeight="1">
      <c r="B301" s="139"/>
      <c r="D301" s="140" t="s">
        <v>68</v>
      </c>
      <c r="E301" s="150" t="s">
        <v>2408</v>
      </c>
      <c r="F301" s="150" t="s">
        <v>2409</v>
      </c>
      <c r="I301" s="142"/>
      <c r="J301" s="151">
        <v>0</v>
      </c>
      <c r="L301" s="139"/>
      <c r="M301" s="144"/>
      <c r="N301" s="145"/>
      <c r="O301" s="145"/>
      <c r="P301" s="146">
        <f>SUM(P302:P326)</f>
        <v>0</v>
      </c>
      <c r="Q301" s="145"/>
      <c r="R301" s="146">
        <f>SUM(R302:R326)</f>
        <v>9.17455</v>
      </c>
      <c r="S301" s="145"/>
      <c r="T301" s="147">
        <f>SUM(T302:T326)</f>
        <v>0</v>
      </c>
      <c r="AR301" s="140" t="s">
        <v>82</v>
      </c>
      <c r="AT301" s="148" t="s">
        <v>68</v>
      </c>
      <c r="AU301" s="148" t="s">
        <v>76</v>
      </c>
      <c r="AY301" s="140" t="s">
        <v>179</v>
      </c>
      <c r="BK301" s="149">
        <f>SUM(BK302:BK326)</f>
        <v>0</v>
      </c>
    </row>
    <row r="302" spans="1:65" s="2" customFormat="1" ht="24.2" customHeight="1">
      <c r="A302" s="29"/>
      <c r="B302" s="152"/>
      <c r="C302" s="153" t="s">
        <v>478</v>
      </c>
      <c r="D302" s="153" t="s">
        <v>181</v>
      </c>
      <c r="E302" s="154" t="s">
        <v>2410</v>
      </c>
      <c r="F302" s="155" t="s">
        <v>2411</v>
      </c>
      <c r="G302" s="156" t="s">
        <v>293</v>
      </c>
      <c r="H302" s="157">
        <v>342</v>
      </c>
      <c r="I302" s="158"/>
      <c r="J302" s="151">
        <v>0</v>
      </c>
      <c r="K302" s="160"/>
      <c r="L302" s="30"/>
      <c r="M302" s="161" t="s">
        <v>1</v>
      </c>
      <c r="N302" s="162" t="s">
        <v>35</v>
      </c>
      <c r="O302" s="58"/>
      <c r="P302" s="163">
        <f t="shared" ref="P302:P326" si="54">O302*H302</f>
        <v>0</v>
      </c>
      <c r="Q302" s="163">
        <v>2.0146198830409399E-5</v>
      </c>
      <c r="R302" s="163">
        <f t="shared" ref="R302:R326" si="55">Q302*H302</f>
        <v>6.8900000000000142E-3</v>
      </c>
      <c r="S302" s="163">
        <v>0</v>
      </c>
      <c r="T302" s="164">
        <f t="shared" ref="T302:T326" si="56">S302*H302</f>
        <v>0</v>
      </c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R302" s="165" t="s">
        <v>213</v>
      </c>
      <c r="AT302" s="165" t="s">
        <v>181</v>
      </c>
      <c r="AU302" s="165" t="s">
        <v>82</v>
      </c>
      <c r="AY302" s="14" t="s">
        <v>179</v>
      </c>
      <c r="BE302" s="166">
        <f t="shared" ref="BE302:BE326" si="57">IF(N302="základná",J302,0)</f>
        <v>0</v>
      </c>
      <c r="BF302" s="166">
        <f t="shared" ref="BF302:BF326" si="58">IF(N302="znížená",J302,0)</f>
        <v>0</v>
      </c>
      <c r="BG302" s="166">
        <f t="shared" ref="BG302:BG326" si="59">IF(N302="zákl. prenesená",J302,0)</f>
        <v>0</v>
      </c>
      <c r="BH302" s="166">
        <f t="shared" ref="BH302:BH326" si="60">IF(N302="zníž. prenesená",J302,0)</f>
        <v>0</v>
      </c>
      <c r="BI302" s="166">
        <f t="shared" ref="BI302:BI326" si="61">IF(N302="nulová",J302,0)</f>
        <v>0</v>
      </c>
      <c r="BJ302" s="14" t="s">
        <v>82</v>
      </c>
      <c r="BK302" s="166">
        <f t="shared" ref="BK302:BK326" si="62">ROUND(I302*H302,2)</f>
        <v>0</v>
      </c>
      <c r="BL302" s="14" t="s">
        <v>213</v>
      </c>
      <c r="BM302" s="165" t="s">
        <v>836</v>
      </c>
    </row>
    <row r="303" spans="1:65" s="2" customFormat="1" ht="24.2" customHeight="1">
      <c r="A303" s="29"/>
      <c r="B303" s="152"/>
      <c r="C303" s="153" t="s">
        <v>765</v>
      </c>
      <c r="D303" s="153" t="s">
        <v>181</v>
      </c>
      <c r="E303" s="154" t="s">
        <v>2412</v>
      </c>
      <c r="F303" s="155" t="s">
        <v>2413</v>
      </c>
      <c r="G303" s="156" t="s">
        <v>293</v>
      </c>
      <c r="H303" s="157">
        <v>185</v>
      </c>
      <c r="I303" s="158"/>
      <c r="J303" s="151">
        <v>0</v>
      </c>
      <c r="K303" s="160"/>
      <c r="L303" s="30"/>
      <c r="M303" s="161" t="s">
        <v>1</v>
      </c>
      <c r="N303" s="162" t="s">
        <v>35</v>
      </c>
      <c r="O303" s="58"/>
      <c r="P303" s="163">
        <f t="shared" si="54"/>
        <v>0</v>
      </c>
      <c r="Q303" s="163">
        <v>5.0486486486486502E-5</v>
      </c>
      <c r="R303" s="163">
        <f t="shared" si="55"/>
        <v>9.3400000000000028E-3</v>
      </c>
      <c r="S303" s="163">
        <v>0</v>
      </c>
      <c r="T303" s="164">
        <f t="shared" si="56"/>
        <v>0</v>
      </c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R303" s="165" t="s">
        <v>213</v>
      </c>
      <c r="AT303" s="165" t="s">
        <v>181</v>
      </c>
      <c r="AU303" s="165" t="s">
        <v>82</v>
      </c>
      <c r="AY303" s="14" t="s">
        <v>179</v>
      </c>
      <c r="BE303" s="166">
        <f t="shared" si="57"/>
        <v>0</v>
      </c>
      <c r="BF303" s="166">
        <f t="shared" si="58"/>
        <v>0</v>
      </c>
      <c r="BG303" s="166">
        <f t="shared" si="59"/>
        <v>0</v>
      </c>
      <c r="BH303" s="166">
        <f t="shared" si="60"/>
        <v>0</v>
      </c>
      <c r="BI303" s="166">
        <f t="shared" si="61"/>
        <v>0</v>
      </c>
      <c r="BJ303" s="14" t="s">
        <v>82</v>
      </c>
      <c r="BK303" s="166">
        <f t="shared" si="62"/>
        <v>0</v>
      </c>
      <c r="BL303" s="14" t="s">
        <v>213</v>
      </c>
      <c r="BM303" s="165" t="s">
        <v>839</v>
      </c>
    </row>
    <row r="304" spans="1:65" s="2" customFormat="1" ht="24.2" customHeight="1">
      <c r="A304" s="29"/>
      <c r="B304" s="152"/>
      <c r="C304" s="153" t="s">
        <v>482</v>
      </c>
      <c r="D304" s="153" t="s">
        <v>181</v>
      </c>
      <c r="E304" s="154" t="s">
        <v>2414</v>
      </c>
      <c r="F304" s="155" t="s">
        <v>2415</v>
      </c>
      <c r="G304" s="156" t="s">
        <v>293</v>
      </c>
      <c r="H304" s="157">
        <v>210</v>
      </c>
      <c r="I304" s="158"/>
      <c r="J304" s="151">
        <v>0</v>
      </c>
      <c r="K304" s="160"/>
      <c r="L304" s="30"/>
      <c r="M304" s="161" t="s">
        <v>1</v>
      </c>
      <c r="N304" s="162" t="s">
        <v>35</v>
      </c>
      <c r="O304" s="58"/>
      <c r="P304" s="163">
        <f t="shared" si="54"/>
        <v>0</v>
      </c>
      <c r="Q304" s="163">
        <v>8.9619047619047604E-5</v>
      </c>
      <c r="R304" s="163">
        <f t="shared" si="55"/>
        <v>1.8819999999999996E-2</v>
      </c>
      <c r="S304" s="163">
        <v>0</v>
      </c>
      <c r="T304" s="164">
        <f t="shared" si="56"/>
        <v>0</v>
      </c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R304" s="165" t="s">
        <v>213</v>
      </c>
      <c r="AT304" s="165" t="s">
        <v>181</v>
      </c>
      <c r="AU304" s="165" t="s">
        <v>82</v>
      </c>
      <c r="AY304" s="14" t="s">
        <v>179</v>
      </c>
      <c r="BE304" s="166">
        <f t="shared" si="57"/>
        <v>0</v>
      </c>
      <c r="BF304" s="166">
        <f t="shared" si="58"/>
        <v>0</v>
      </c>
      <c r="BG304" s="166">
        <f t="shared" si="59"/>
        <v>0</v>
      </c>
      <c r="BH304" s="166">
        <f t="shared" si="60"/>
        <v>0</v>
      </c>
      <c r="BI304" s="166">
        <f t="shared" si="61"/>
        <v>0</v>
      </c>
      <c r="BJ304" s="14" t="s">
        <v>82</v>
      </c>
      <c r="BK304" s="166">
        <f t="shared" si="62"/>
        <v>0</v>
      </c>
      <c r="BL304" s="14" t="s">
        <v>213</v>
      </c>
      <c r="BM304" s="165" t="s">
        <v>843</v>
      </c>
    </row>
    <row r="305" spans="1:65" s="2" customFormat="1" ht="24.2" customHeight="1">
      <c r="A305" s="29"/>
      <c r="B305" s="152"/>
      <c r="C305" s="153" t="s">
        <v>772</v>
      </c>
      <c r="D305" s="153" t="s">
        <v>181</v>
      </c>
      <c r="E305" s="154" t="s">
        <v>2416</v>
      </c>
      <c r="F305" s="155" t="s">
        <v>2417</v>
      </c>
      <c r="G305" s="156" t="s">
        <v>293</v>
      </c>
      <c r="H305" s="157">
        <v>145</v>
      </c>
      <c r="I305" s="158"/>
      <c r="J305" s="151">
        <v>0</v>
      </c>
      <c r="K305" s="160"/>
      <c r="L305" s="30"/>
      <c r="M305" s="161" t="s">
        <v>1</v>
      </c>
      <c r="N305" s="162" t="s">
        <v>35</v>
      </c>
      <c r="O305" s="58"/>
      <c r="P305" s="163">
        <f t="shared" si="54"/>
        <v>0</v>
      </c>
      <c r="Q305" s="163">
        <v>1.0096551724137899E-4</v>
      </c>
      <c r="R305" s="163">
        <f t="shared" si="55"/>
        <v>1.4639999999999953E-2</v>
      </c>
      <c r="S305" s="163">
        <v>0</v>
      </c>
      <c r="T305" s="164">
        <f t="shared" si="56"/>
        <v>0</v>
      </c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R305" s="165" t="s">
        <v>213</v>
      </c>
      <c r="AT305" s="165" t="s">
        <v>181</v>
      </c>
      <c r="AU305" s="165" t="s">
        <v>82</v>
      </c>
      <c r="AY305" s="14" t="s">
        <v>179</v>
      </c>
      <c r="BE305" s="166">
        <f t="shared" si="57"/>
        <v>0</v>
      </c>
      <c r="BF305" s="166">
        <f t="shared" si="58"/>
        <v>0</v>
      </c>
      <c r="BG305" s="166">
        <f t="shared" si="59"/>
        <v>0</v>
      </c>
      <c r="BH305" s="166">
        <f t="shared" si="60"/>
        <v>0</v>
      </c>
      <c r="BI305" s="166">
        <f t="shared" si="61"/>
        <v>0</v>
      </c>
      <c r="BJ305" s="14" t="s">
        <v>82</v>
      </c>
      <c r="BK305" s="166">
        <f t="shared" si="62"/>
        <v>0</v>
      </c>
      <c r="BL305" s="14" t="s">
        <v>213</v>
      </c>
      <c r="BM305" s="165" t="s">
        <v>846</v>
      </c>
    </row>
    <row r="306" spans="1:65" s="2" customFormat="1" ht="24.2" customHeight="1">
      <c r="A306" s="29"/>
      <c r="B306" s="152"/>
      <c r="C306" s="153" t="s">
        <v>485</v>
      </c>
      <c r="D306" s="153" t="s">
        <v>181</v>
      </c>
      <c r="E306" s="154" t="s">
        <v>2418</v>
      </c>
      <c r="F306" s="155" t="s">
        <v>2419</v>
      </c>
      <c r="G306" s="156" t="s">
        <v>293</v>
      </c>
      <c r="H306" s="157">
        <v>180</v>
      </c>
      <c r="I306" s="158"/>
      <c r="J306" s="151">
        <v>0</v>
      </c>
      <c r="K306" s="160"/>
      <c r="L306" s="30"/>
      <c r="M306" s="161" t="s">
        <v>1</v>
      </c>
      <c r="N306" s="162" t="s">
        <v>35</v>
      </c>
      <c r="O306" s="58"/>
      <c r="P306" s="163">
        <f t="shared" si="54"/>
        <v>0</v>
      </c>
      <c r="Q306" s="163">
        <v>7.5629444444444398E-3</v>
      </c>
      <c r="R306" s="163">
        <f t="shared" si="55"/>
        <v>1.3613299999999993</v>
      </c>
      <c r="S306" s="163">
        <v>0</v>
      </c>
      <c r="T306" s="164">
        <f t="shared" si="56"/>
        <v>0</v>
      </c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R306" s="165" t="s">
        <v>213</v>
      </c>
      <c r="AT306" s="165" t="s">
        <v>181</v>
      </c>
      <c r="AU306" s="165" t="s">
        <v>82</v>
      </c>
      <c r="AY306" s="14" t="s">
        <v>179</v>
      </c>
      <c r="BE306" s="166">
        <f t="shared" si="57"/>
        <v>0</v>
      </c>
      <c r="BF306" s="166">
        <f t="shared" si="58"/>
        <v>0</v>
      </c>
      <c r="BG306" s="166">
        <f t="shared" si="59"/>
        <v>0</v>
      </c>
      <c r="BH306" s="166">
        <f t="shared" si="60"/>
        <v>0</v>
      </c>
      <c r="BI306" s="166">
        <f t="shared" si="61"/>
        <v>0</v>
      </c>
      <c r="BJ306" s="14" t="s">
        <v>82</v>
      </c>
      <c r="BK306" s="166">
        <f t="shared" si="62"/>
        <v>0</v>
      </c>
      <c r="BL306" s="14" t="s">
        <v>213</v>
      </c>
      <c r="BM306" s="165" t="s">
        <v>850</v>
      </c>
    </row>
    <row r="307" spans="1:65" s="2" customFormat="1" ht="24.2" customHeight="1">
      <c r="A307" s="29"/>
      <c r="B307" s="152"/>
      <c r="C307" s="153" t="s">
        <v>779</v>
      </c>
      <c r="D307" s="153" t="s">
        <v>181</v>
      </c>
      <c r="E307" s="154" t="s">
        <v>2420</v>
      </c>
      <c r="F307" s="155" t="s">
        <v>2421</v>
      </c>
      <c r="G307" s="156" t="s">
        <v>293</v>
      </c>
      <c r="H307" s="157">
        <v>158</v>
      </c>
      <c r="I307" s="158"/>
      <c r="J307" s="151">
        <v>0</v>
      </c>
      <c r="K307" s="160"/>
      <c r="L307" s="30"/>
      <c r="M307" s="161" t="s">
        <v>1</v>
      </c>
      <c r="N307" s="162" t="s">
        <v>35</v>
      </c>
      <c r="O307" s="58"/>
      <c r="P307" s="163">
        <f t="shared" si="54"/>
        <v>0</v>
      </c>
      <c r="Q307" s="163">
        <v>1.03254430379747E-2</v>
      </c>
      <c r="R307" s="163">
        <f t="shared" si="55"/>
        <v>1.6314200000000025</v>
      </c>
      <c r="S307" s="163">
        <v>0</v>
      </c>
      <c r="T307" s="164">
        <f t="shared" si="56"/>
        <v>0</v>
      </c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R307" s="165" t="s">
        <v>213</v>
      </c>
      <c r="AT307" s="165" t="s">
        <v>181</v>
      </c>
      <c r="AU307" s="165" t="s">
        <v>82</v>
      </c>
      <c r="AY307" s="14" t="s">
        <v>179</v>
      </c>
      <c r="BE307" s="166">
        <f t="shared" si="57"/>
        <v>0</v>
      </c>
      <c r="BF307" s="166">
        <f t="shared" si="58"/>
        <v>0</v>
      </c>
      <c r="BG307" s="166">
        <f t="shared" si="59"/>
        <v>0</v>
      </c>
      <c r="BH307" s="166">
        <f t="shared" si="60"/>
        <v>0</v>
      </c>
      <c r="BI307" s="166">
        <f t="shared" si="61"/>
        <v>0</v>
      </c>
      <c r="BJ307" s="14" t="s">
        <v>82</v>
      </c>
      <c r="BK307" s="166">
        <f t="shared" si="62"/>
        <v>0</v>
      </c>
      <c r="BL307" s="14" t="s">
        <v>213</v>
      </c>
      <c r="BM307" s="165" t="s">
        <v>853</v>
      </c>
    </row>
    <row r="308" spans="1:65" s="2" customFormat="1" ht="24.2" customHeight="1">
      <c r="A308" s="29"/>
      <c r="B308" s="152"/>
      <c r="C308" s="153" t="s">
        <v>489</v>
      </c>
      <c r="D308" s="153" t="s">
        <v>181</v>
      </c>
      <c r="E308" s="154" t="s">
        <v>2422</v>
      </c>
      <c r="F308" s="155" t="s">
        <v>2423</v>
      </c>
      <c r="G308" s="156" t="s">
        <v>293</v>
      </c>
      <c r="H308" s="157">
        <v>33</v>
      </c>
      <c r="I308" s="158"/>
      <c r="J308" s="151">
        <v>0</v>
      </c>
      <c r="K308" s="160"/>
      <c r="L308" s="30"/>
      <c r="M308" s="161" t="s">
        <v>1</v>
      </c>
      <c r="N308" s="162" t="s">
        <v>35</v>
      </c>
      <c r="O308" s="58"/>
      <c r="P308" s="163">
        <f t="shared" si="54"/>
        <v>0</v>
      </c>
      <c r="Q308" s="163">
        <v>1.3732727272727299E-2</v>
      </c>
      <c r="R308" s="163">
        <f t="shared" si="55"/>
        <v>0.45318000000000086</v>
      </c>
      <c r="S308" s="163">
        <v>0</v>
      </c>
      <c r="T308" s="164">
        <f t="shared" si="56"/>
        <v>0</v>
      </c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R308" s="165" t="s">
        <v>213</v>
      </c>
      <c r="AT308" s="165" t="s">
        <v>181</v>
      </c>
      <c r="AU308" s="165" t="s">
        <v>82</v>
      </c>
      <c r="AY308" s="14" t="s">
        <v>179</v>
      </c>
      <c r="BE308" s="166">
        <f t="shared" si="57"/>
        <v>0</v>
      </c>
      <c r="BF308" s="166">
        <f t="shared" si="58"/>
        <v>0</v>
      </c>
      <c r="BG308" s="166">
        <f t="shared" si="59"/>
        <v>0</v>
      </c>
      <c r="BH308" s="166">
        <f t="shared" si="60"/>
        <v>0</v>
      </c>
      <c r="BI308" s="166">
        <f t="shared" si="61"/>
        <v>0</v>
      </c>
      <c r="BJ308" s="14" t="s">
        <v>82</v>
      </c>
      <c r="BK308" s="166">
        <f t="shared" si="62"/>
        <v>0</v>
      </c>
      <c r="BL308" s="14" t="s">
        <v>213</v>
      </c>
      <c r="BM308" s="165" t="s">
        <v>857</v>
      </c>
    </row>
    <row r="309" spans="1:65" s="2" customFormat="1" ht="24.2" customHeight="1">
      <c r="A309" s="29"/>
      <c r="B309" s="152"/>
      <c r="C309" s="153" t="s">
        <v>785</v>
      </c>
      <c r="D309" s="153" t="s">
        <v>181</v>
      </c>
      <c r="E309" s="154" t="s">
        <v>2424</v>
      </c>
      <c r="F309" s="155" t="s">
        <v>2425</v>
      </c>
      <c r="G309" s="156" t="s">
        <v>293</v>
      </c>
      <c r="H309" s="157">
        <v>113</v>
      </c>
      <c r="I309" s="158"/>
      <c r="J309" s="151">
        <v>0</v>
      </c>
      <c r="K309" s="160"/>
      <c r="L309" s="30"/>
      <c r="M309" s="161" t="s">
        <v>1</v>
      </c>
      <c r="N309" s="162" t="s">
        <v>35</v>
      </c>
      <c r="O309" s="58"/>
      <c r="P309" s="163">
        <f t="shared" si="54"/>
        <v>0</v>
      </c>
      <c r="Q309" s="163">
        <v>1.8222035398230099E-2</v>
      </c>
      <c r="R309" s="163">
        <f t="shared" si="55"/>
        <v>2.0590900000000012</v>
      </c>
      <c r="S309" s="163">
        <v>0</v>
      </c>
      <c r="T309" s="164">
        <f t="shared" si="56"/>
        <v>0</v>
      </c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R309" s="165" t="s">
        <v>213</v>
      </c>
      <c r="AT309" s="165" t="s">
        <v>181</v>
      </c>
      <c r="AU309" s="165" t="s">
        <v>82</v>
      </c>
      <c r="AY309" s="14" t="s">
        <v>179</v>
      </c>
      <c r="BE309" s="166">
        <f t="shared" si="57"/>
        <v>0</v>
      </c>
      <c r="BF309" s="166">
        <f t="shared" si="58"/>
        <v>0</v>
      </c>
      <c r="BG309" s="166">
        <f t="shared" si="59"/>
        <v>0</v>
      </c>
      <c r="BH309" s="166">
        <f t="shared" si="60"/>
        <v>0</v>
      </c>
      <c r="BI309" s="166">
        <f t="shared" si="61"/>
        <v>0</v>
      </c>
      <c r="BJ309" s="14" t="s">
        <v>82</v>
      </c>
      <c r="BK309" s="166">
        <f t="shared" si="62"/>
        <v>0</v>
      </c>
      <c r="BL309" s="14" t="s">
        <v>213</v>
      </c>
      <c r="BM309" s="165" t="s">
        <v>860</v>
      </c>
    </row>
    <row r="310" spans="1:65" s="2" customFormat="1" ht="24.2" customHeight="1">
      <c r="A310" s="29"/>
      <c r="B310" s="152"/>
      <c r="C310" s="153" t="s">
        <v>492</v>
      </c>
      <c r="D310" s="153" t="s">
        <v>181</v>
      </c>
      <c r="E310" s="154" t="s">
        <v>2426</v>
      </c>
      <c r="F310" s="155" t="s">
        <v>2427</v>
      </c>
      <c r="G310" s="156" t="s">
        <v>293</v>
      </c>
      <c r="H310" s="157">
        <v>128</v>
      </c>
      <c r="I310" s="158"/>
      <c r="J310" s="151">
        <v>0</v>
      </c>
      <c r="K310" s="160"/>
      <c r="L310" s="30"/>
      <c r="M310" s="161" t="s">
        <v>1</v>
      </c>
      <c r="N310" s="162" t="s">
        <v>35</v>
      </c>
      <c r="O310" s="58"/>
      <c r="P310" s="163">
        <f t="shared" si="54"/>
        <v>0</v>
      </c>
      <c r="Q310" s="163">
        <v>2.1249375000000001E-2</v>
      </c>
      <c r="R310" s="163">
        <f t="shared" si="55"/>
        <v>2.7199200000000001</v>
      </c>
      <c r="S310" s="163">
        <v>0</v>
      </c>
      <c r="T310" s="164">
        <f t="shared" si="56"/>
        <v>0</v>
      </c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R310" s="165" t="s">
        <v>213</v>
      </c>
      <c r="AT310" s="165" t="s">
        <v>181</v>
      </c>
      <c r="AU310" s="165" t="s">
        <v>82</v>
      </c>
      <c r="AY310" s="14" t="s">
        <v>179</v>
      </c>
      <c r="BE310" s="166">
        <f t="shared" si="57"/>
        <v>0</v>
      </c>
      <c r="BF310" s="166">
        <f t="shared" si="58"/>
        <v>0</v>
      </c>
      <c r="BG310" s="166">
        <f t="shared" si="59"/>
        <v>0</v>
      </c>
      <c r="BH310" s="166">
        <f t="shared" si="60"/>
        <v>0</v>
      </c>
      <c r="BI310" s="166">
        <f t="shared" si="61"/>
        <v>0</v>
      </c>
      <c r="BJ310" s="14" t="s">
        <v>82</v>
      </c>
      <c r="BK310" s="166">
        <f t="shared" si="62"/>
        <v>0</v>
      </c>
      <c r="BL310" s="14" t="s">
        <v>213</v>
      </c>
      <c r="BM310" s="165" t="s">
        <v>864</v>
      </c>
    </row>
    <row r="311" spans="1:65" s="2" customFormat="1" ht="24.2" customHeight="1">
      <c r="A311" s="29"/>
      <c r="B311" s="152"/>
      <c r="C311" s="153" t="s">
        <v>792</v>
      </c>
      <c r="D311" s="153" t="s">
        <v>181</v>
      </c>
      <c r="E311" s="154" t="s">
        <v>2428</v>
      </c>
      <c r="F311" s="155" t="s">
        <v>2429</v>
      </c>
      <c r="G311" s="156" t="s">
        <v>217</v>
      </c>
      <c r="H311" s="157">
        <v>23</v>
      </c>
      <c r="I311" s="158"/>
      <c r="J311" s="151">
        <v>0</v>
      </c>
      <c r="K311" s="160"/>
      <c r="L311" s="30"/>
      <c r="M311" s="161" t="s">
        <v>1</v>
      </c>
      <c r="N311" s="162" t="s">
        <v>35</v>
      </c>
      <c r="O311" s="58"/>
      <c r="P311" s="163">
        <f t="shared" si="54"/>
        <v>0</v>
      </c>
      <c r="Q311" s="163">
        <v>1.88565217391304E-3</v>
      </c>
      <c r="R311" s="163">
        <f t="shared" si="55"/>
        <v>4.3369999999999923E-2</v>
      </c>
      <c r="S311" s="163">
        <v>0</v>
      </c>
      <c r="T311" s="164">
        <f t="shared" si="56"/>
        <v>0</v>
      </c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R311" s="165" t="s">
        <v>213</v>
      </c>
      <c r="AT311" s="165" t="s">
        <v>181</v>
      </c>
      <c r="AU311" s="165" t="s">
        <v>82</v>
      </c>
      <c r="AY311" s="14" t="s">
        <v>179</v>
      </c>
      <c r="BE311" s="166">
        <f t="shared" si="57"/>
        <v>0</v>
      </c>
      <c r="BF311" s="166">
        <f t="shared" si="58"/>
        <v>0</v>
      </c>
      <c r="BG311" s="166">
        <f t="shared" si="59"/>
        <v>0</v>
      </c>
      <c r="BH311" s="166">
        <f t="shared" si="60"/>
        <v>0</v>
      </c>
      <c r="BI311" s="166">
        <f t="shared" si="61"/>
        <v>0</v>
      </c>
      <c r="BJ311" s="14" t="s">
        <v>82</v>
      </c>
      <c r="BK311" s="166">
        <f t="shared" si="62"/>
        <v>0</v>
      </c>
      <c r="BL311" s="14" t="s">
        <v>213</v>
      </c>
      <c r="BM311" s="165" t="s">
        <v>867</v>
      </c>
    </row>
    <row r="312" spans="1:65" s="2" customFormat="1" ht="24.2" customHeight="1">
      <c r="A312" s="29"/>
      <c r="B312" s="152"/>
      <c r="C312" s="153" t="s">
        <v>496</v>
      </c>
      <c r="D312" s="153" t="s">
        <v>181</v>
      </c>
      <c r="E312" s="154" t="s">
        <v>2430</v>
      </c>
      <c r="F312" s="155" t="s">
        <v>2431</v>
      </c>
      <c r="G312" s="156" t="s">
        <v>293</v>
      </c>
      <c r="H312" s="157">
        <v>21</v>
      </c>
      <c r="I312" s="158"/>
      <c r="J312" s="151">
        <v>0</v>
      </c>
      <c r="K312" s="160"/>
      <c r="L312" s="30"/>
      <c r="M312" s="161" t="s">
        <v>1</v>
      </c>
      <c r="N312" s="162" t="s">
        <v>35</v>
      </c>
      <c r="O312" s="58"/>
      <c r="P312" s="163">
        <f t="shared" si="54"/>
        <v>0</v>
      </c>
      <c r="Q312" s="163">
        <v>6.4380952380952404E-4</v>
      </c>
      <c r="R312" s="163">
        <f t="shared" si="55"/>
        <v>1.3520000000000004E-2</v>
      </c>
      <c r="S312" s="163">
        <v>0</v>
      </c>
      <c r="T312" s="164">
        <f t="shared" si="56"/>
        <v>0</v>
      </c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R312" s="165" t="s">
        <v>213</v>
      </c>
      <c r="AT312" s="165" t="s">
        <v>181</v>
      </c>
      <c r="AU312" s="165" t="s">
        <v>82</v>
      </c>
      <c r="AY312" s="14" t="s">
        <v>179</v>
      </c>
      <c r="BE312" s="166">
        <f t="shared" si="57"/>
        <v>0</v>
      </c>
      <c r="BF312" s="166">
        <f t="shared" si="58"/>
        <v>0</v>
      </c>
      <c r="BG312" s="166">
        <f t="shared" si="59"/>
        <v>0</v>
      </c>
      <c r="BH312" s="166">
        <f t="shared" si="60"/>
        <v>0</v>
      </c>
      <c r="BI312" s="166">
        <f t="shared" si="61"/>
        <v>0</v>
      </c>
      <c r="BJ312" s="14" t="s">
        <v>82</v>
      </c>
      <c r="BK312" s="166">
        <f t="shared" si="62"/>
        <v>0</v>
      </c>
      <c r="BL312" s="14" t="s">
        <v>213</v>
      </c>
      <c r="BM312" s="165" t="s">
        <v>871</v>
      </c>
    </row>
    <row r="313" spans="1:65" s="2" customFormat="1" ht="24.2" customHeight="1">
      <c r="A313" s="29"/>
      <c r="B313" s="152"/>
      <c r="C313" s="153" t="s">
        <v>799</v>
      </c>
      <c r="D313" s="153" t="s">
        <v>181</v>
      </c>
      <c r="E313" s="154" t="s">
        <v>2432</v>
      </c>
      <c r="F313" s="155" t="s">
        <v>2433</v>
      </c>
      <c r="G313" s="156" t="s">
        <v>293</v>
      </c>
      <c r="H313" s="157">
        <v>86</v>
      </c>
      <c r="I313" s="158"/>
      <c r="J313" s="151">
        <v>0</v>
      </c>
      <c r="K313" s="160"/>
      <c r="L313" s="30"/>
      <c r="M313" s="161" t="s">
        <v>1</v>
      </c>
      <c r="N313" s="162" t="s">
        <v>35</v>
      </c>
      <c r="O313" s="58"/>
      <c r="P313" s="163">
        <f t="shared" si="54"/>
        <v>0</v>
      </c>
      <c r="Q313" s="163">
        <v>7.4058139534883703E-4</v>
      </c>
      <c r="R313" s="163">
        <f t="shared" si="55"/>
        <v>6.3689999999999983E-2</v>
      </c>
      <c r="S313" s="163">
        <v>0</v>
      </c>
      <c r="T313" s="164">
        <f t="shared" si="56"/>
        <v>0</v>
      </c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R313" s="165" t="s">
        <v>213</v>
      </c>
      <c r="AT313" s="165" t="s">
        <v>181</v>
      </c>
      <c r="AU313" s="165" t="s">
        <v>82</v>
      </c>
      <c r="AY313" s="14" t="s">
        <v>179</v>
      </c>
      <c r="BE313" s="166">
        <f t="shared" si="57"/>
        <v>0</v>
      </c>
      <c r="BF313" s="166">
        <f t="shared" si="58"/>
        <v>0</v>
      </c>
      <c r="BG313" s="166">
        <f t="shared" si="59"/>
        <v>0</v>
      </c>
      <c r="BH313" s="166">
        <f t="shared" si="60"/>
        <v>0</v>
      </c>
      <c r="BI313" s="166">
        <f t="shared" si="61"/>
        <v>0</v>
      </c>
      <c r="BJ313" s="14" t="s">
        <v>82</v>
      </c>
      <c r="BK313" s="166">
        <f t="shared" si="62"/>
        <v>0</v>
      </c>
      <c r="BL313" s="14" t="s">
        <v>213</v>
      </c>
      <c r="BM313" s="165" t="s">
        <v>874</v>
      </c>
    </row>
    <row r="314" spans="1:65" s="2" customFormat="1" ht="24.2" customHeight="1">
      <c r="A314" s="29"/>
      <c r="B314" s="152"/>
      <c r="C314" s="153" t="s">
        <v>499</v>
      </c>
      <c r="D314" s="153" t="s">
        <v>181</v>
      </c>
      <c r="E314" s="154" t="s">
        <v>2434</v>
      </c>
      <c r="F314" s="155" t="s">
        <v>2435</v>
      </c>
      <c r="G314" s="156" t="s">
        <v>293</v>
      </c>
      <c r="H314" s="157">
        <v>40</v>
      </c>
      <c r="I314" s="158"/>
      <c r="J314" s="151">
        <v>0</v>
      </c>
      <c r="K314" s="160"/>
      <c r="L314" s="30"/>
      <c r="M314" s="161" t="s">
        <v>1</v>
      </c>
      <c r="N314" s="162" t="s">
        <v>35</v>
      </c>
      <c r="O314" s="58"/>
      <c r="P314" s="163">
        <f t="shared" si="54"/>
        <v>0</v>
      </c>
      <c r="Q314" s="163">
        <v>1.0315000000000001E-3</v>
      </c>
      <c r="R314" s="163">
        <f t="shared" si="55"/>
        <v>4.1260000000000005E-2</v>
      </c>
      <c r="S314" s="163">
        <v>0</v>
      </c>
      <c r="T314" s="164">
        <f t="shared" si="56"/>
        <v>0</v>
      </c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R314" s="165" t="s">
        <v>213</v>
      </c>
      <c r="AT314" s="165" t="s">
        <v>181</v>
      </c>
      <c r="AU314" s="165" t="s">
        <v>82</v>
      </c>
      <c r="AY314" s="14" t="s">
        <v>179</v>
      </c>
      <c r="BE314" s="166">
        <f t="shared" si="57"/>
        <v>0</v>
      </c>
      <c r="BF314" s="166">
        <f t="shared" si="58"/>
        <v>0</v>
      </c>
      <c r="BG314" s="166">
        <f t="shared" si="59"/>
        <v>0</v>
      </c>
      <c r="BH314" s="166">
        <f t="shared" si="60"/>
        <v>0</v>
      </c>
      <c r="BI314" s="166">
        <f t="shared" si="61"/>
        <v>0</v>
      </c>
      <c r="BJ314" s="14" t="s">
        <v>82</v>
      </c>
      <c r="BK314" s="166">
        <f t="shared" si="62"/>
        <v>0</v>
      </c>
      <c r="BL314" s="14" t="s">
        <v>213</v>
      </c>
      <c r="BM314" s="165" t="s">
        <v>878</v>
      </c>
    </row>
    <row r="315" spans="1:65" s="2" customFormat="1" ht="24.2" customHeight="1">
      <c r="A315" s="29"/>
      <c r="B315" s="152"/>
      <c r="C315" s="153" t="s">
        <v>806</v>
      </c>
      <c r="D315" s="153" t="s">
        <v>181</v>
      </c>
      <c r="E315" s="154" t="s">
        <v>2436</v>
      </c>
      <c r="F315" s="155" t="s">
        <v>2437</v>
      </c>
      <c r="G315" s="156" t="s">
        <v>293</v>
      </c>
      <c r="H315" s="157">
        <v>25</v>
      </c>
      <c r="I315" s="158"/>
      <c r="J315" s="151">
        <v>0</v>
      </c>
      <c r="K315" s="160"/>
      <c r="L315" s="30"/>
      <c r="M315" s="161" t="s">
        <v>1</v>
      </c>
      <c r="N315" s="162" t="s">
        <v>35</v>
      </c>
      <c r="O315" s="58"/>
      <c r="P315" s="163">
        <f t="shared" si="54"/>
        <v>0</v>
      </c>
      <c r="Q315" s="163">
        <v>1.284E-3</v>
      </c>
      <c r="R315" s="163">
        <f t="shared" si="55"/>
        <v>3.2099999999999997E-2</v>
      </c>
      <c r="S315" s="163">
        <v>0</v>
      </c>
      <c r="T315" s="164">
        <f t="shared" si="56"/>
        <v>0</v>
      </c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R315" s="165" t="s">
        <v>213</v>
      </c>
      <c r="AT315" s="165" t="s">
        <v>181</v>
      </c>
      <c r="AU315" s="165" t="s">
        <v>82</v>
      </c>
      <c r="AY315" s="14" t="s">
        <v>179</v>
      </c>
      <c r="BE315" s="166">
        <f t="shared" si="57"/>
        <v>0</v>
      </c>
      <c r="BF315" s="166">
        <f t="shared" si="58"/>
        <v>0</v>
      </c>
      <c r="BG315" s="166">
        <f t="shared" si="59"/>
        <v>0</v>
      </c>
      <c r="BH315" s="166">
        <f t="shared" si="60"/>
        <v>0</v>
      </c>
      <c r="BI315" s="166">
        <f t="shared" si="61"/>
        <v>0</v>
      </c>
      <c r="BJ315" s="14" t="s">
        <v>82</v>
      </c>
      <c r="BK315" s="166">
        <f t="shared" si="62"/>
        <v>0</v>
      </c>
      <c r="BL315" s="14" t="s">
        <v>213</v>
      </c>
      <c r="BM315" s="165" t="s">
        <v>881</v>
      </c>
    </row>
    <row r="316" spans="1:65" s="2" customFormat="1" ht="24.2" customHeight="1">
      <c r="A316" s="29"/>
      <c r="B316" s="152"/>
      <c r="C316" s="153" t="s">
        <v>503</v>
      </c>
      <c r="D316" s="153" t="s">
        <v>181</v>
      </c>
      <c r="E316" s="154" t="s">
        <v>2438</v>
      </c>
      <c r="F316" s="155" t="s">
        <v>2439</v>
      </c>
      <c r="G316" s="156" t="s">
        <v>293</v>
      </c>
      <c r="H316" s="157">
        <v>102</v>
      </c>
      <c r="I316" s="158"/>
      <c r="J316" s="151">
        <v>0</v>
      </c>
      <c r="K316" s="160"/>
      <c r="L316" s="30"/>
      <c r="M316" s="161" t="s">
        <v>1</v>
      </c>
      <c r="N316" s="162" t="s">
        <v>35</v>
      </c>
      <c r="O316" s="58"/>
      <c r="P316" s="163">
        <f t="shared" si="54"/>
        <v>0</v>
      </c>
      <c r="Q316" s="163">
        <v>1.58186274509804E-3</v>
      </c>
      <c r="R316" s="163">
        <f t="shared" si="55"/>
        <v>0.16135000000000008</v>
      </c>
      <c r="S316" s="163">
        <v>0</v>
      </c>
      <c r="T316" s="164">
        <f t="shared" si="56"/>
        <v>0</v>
      </c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R316" s="165" t="s">
        <v>213</v>
      </c>
      <c r="AT316" s="165" t="s">
        <v>181</v>
      </c>
      <c r="AU316" s="165" t="s">
        <v>82</v>
      </c>
      <c r="AY316" s="14" t="s">
        <v>179</v>
      </c>
      <c r="BE316" s="166">
        <f t="shared" si="57"/>
        <v>0</v>
      </c>
      <c r="BF316" s="166">
        <f t="shared" si="58"/>
        <v>0</v>
      </c>
      <c r="BG316" s="166">
        <f t="shared" si="59"/>
        <v>0</v>
      </c>
      <c r="BH316" s="166">
        <f t="shared" si="60"/>
        <v>0</v>
      </c>
      <c r="BI316" s="166">
        <f t="shared" si="61"/>
        <v>0</v>
      </c>
      <c r="BJ316" s="14" t="s">
        <v>82</v>
      </c>
      <c r="BK316" s="166">
        <f t="shared" si="62"/>
        <v>0</v>
      </c>
      <c r="BL316" s="14" t="s">
        <v>213</v>
      </c>
      <c r="BM316" s="165" t="s">
        <v>885</v>
      </c>
    </row>
    <row r="317" spans="1:65" s="2" customFormat="1" ht="24.2" customHeight="1">
      <c r="A317" s="29"/>
      <c r="B317" s="152"/>
      <c r="C317" s="153" t="s">
        <v>812</v>
      </c>
      <c r="D317" s="153" t="s">
        <v>181</v>
      </c>
      <c r="E317" s="154" t="s">
        <v>2440</v>
      </c>
      <c r="F317" s="155" t="s">
        <v>2441</v>
      </c>
      <c r="G317" s="156" t="s">
        <v>293</v>
      </c>
      <c r="H317" s="157">
        <v>156</v>
      </c>
      <c r="I317" s="158"/>
      <c r="J317" s="151">
        <v>0</v>
      </c>
      <c r="K317" s="160"/>
      <c r="L317" s="30"/>
      <c r="M317" s="161" t="s">
        <v>1</v>
      </c>
      <c r="N317" s="162" t="s">
        <v>35</v>
      </c>
      <c r="O317" s="58"/>
      <c r="P317" s="163">
        <f t="shared" si="54"/>
        <v>0</v>
      </c>
      <c r="Q317" s="163">
        <v>1.9066025641025601E-3</v>
      </c>
      <c r="R317" s="163">
        <f t="shared" si="55"/>
        <v>0.29742999999999936</v>
      </c>
      <c r="S317" s="163">
        <v>0</v>
      </c>
      <c r="T317" s="164">
        <f t="shared" si="56"/>
        <v>0</v>
      </c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R317" s="165" t="s">
        <v>213</v>
      </c>
      <c r="AT317" s="165" t="s">
        <v>181</v>
      </c>
      <c r="AU317" s="165" t="s">
        <v>82</v>
      </c>
      <c r="AY317" s="14" t="s">
        <v>179</v>
      </c>
      <c r="BE317" s="166">
        <f t="shared" si="57"/>
        <v>0</v>
      </c>
      <c r="BF317" s="166">
        <f t="shared" si="58"/>
        <v>0</v>
      </c>
      <c r="BG317" s="166">
        <f t="shared" si="59"/>
        <v>0</v>
      </c>
      <c r="BH317" s="166">
        <f t="shared" si="60"/>
        <v>0</v>
      </c>
      <c r="BI317" s="166">
        <f t="shared" si="61"/>
        <v>0</v>
      </c>
      <c r="BJ317" s="14" t="s">
        <v>82</v>
      </c>
      <c r="BK317" s="166">
        <f t="shared" si="62"/>
        <v>0</v>
      </c>
      <c r="BL317" s="14" t="s">
        <v>213</v>
      </c>
      <c r="BM317" s="165" t="s">
        <v>890</v>
      </c>
    </row>
    <row r="318" spans="1:65" s="2" customFormat="1" ht="24.2" customHeight="1">
      <c r="A318" s="29"/>
      <c r="B318" s="152"/>
      <c r="C318" s="153" t="s">
        <v>506</v>
      </c>
      <c r="D318" s="153" t="s">
        <v>181</v>
      </c>
      <c r="E318" s="154" t="s">
        <v>2442</v>
      </c>
      <c r="F318" s="155" t="s">
        <v>2443</v>
      </c>
      <c r="G318" s="156" t="s">
        <v>293</v>
      </c>
      <c r="H318" s="157">
        <v>78</v>
      </c>
      <c r="I318" s="158"/>
      <c r="J318" s="151">
        <v>0</v>
      </c>
      <c r="K318" s="160"/>
      <c r="L318" s="30"/>
      <c r="M318" s="161" t="s">
        <v>1</v>
      </c>
      <c r="N318" s="162" t="s">
        <v>35</v>
      </c>
      <c r="O318" s="58"/>
      <c r="P318" s="163">
        <f t="shared" si="54"/>
        <v>0</v>
      </c>
      <c r="Q318" s="163">
        <v>2.5046153846153799E-3</v>
      </c>
      <c r="R318" s="163">
        <f t="shared" si="55"/>
        <v>0.19535999999999962</v>
      </c>
      <c r="S318" s="163">
        <v>0</v>
      </c>
      <c r="T318" s="164">
        <f t="shared" si="56"/>
        <v>0</v>
      </c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R318" s="165" t="s">
        <v>213</v>
      </c>
      <c r="AT318" s="165" t="s">
        <v>181</v>
      </c>
      <c r="AU318" s="165" t="s">
        <v>82</v>
      </c>
      <c r="AY318" s="14" t="s">
        <v>179</v>
      </c>
      <c r="BE318" s="166">
        <f t="shared" si="57"/>
        <v>0</v>
      </c>
      <c r="BF318" s="166">
        <f t="shared" si="58"/>
        <v>0</v>
      </c>
      <c r="BG318" s="166">
        <f t="shared" si="59"/>
        <v>0</v>
      </c>
      <c r="BH318" s="166">
        <f t="shared" si="60"/>
        <v>0</v>
      </c>
      <c r="BI318" s="166">
        <f t="shared" si="61"/>
        <v>0</v>
      </c>
      <c r="BJ318" s="14" t="s">
        <v>82</v>
      </c>
      <c r="BK318" s="166">
        <f t="shared" si="62"/>
        <v>0</v>
      </c>
      <c r="BL318" s="14" t="s">
        <v>213</v>
      </c>
      <c r="BM318" s="165" t="s">
        <v>894</v>
      </c>
    </row>
    <row r="319" spans="1:65" s="2" customFormat="1" ht="21.75" customHeight="1">
      <c r="A319" s="29"/>
      <c r="B319" s="152"/>
      <c r="C319" s="153" t="s">
        <v>819</v>
      </c>
      <c r="D319" s="153" t="s">
        <v>181</v>
      </c>
      <c r="E319" s="154" t="s">
        <v>2444</v>
      </c>
      <c r="F319" s="155" t="s">
        <v>2445</v>
      </c>
      <c r="G319" s="156" t="s">
        <v>217</v>
      </c>
      <c r="H319" s="157">
        <v>143</v>
      </c>
      <c r="I319" s="158"/>
      <c r="J319" s="151">
        <v>0</v>
      </c>
      <c r="K319" s="160"/>
      <c r="L319" s="30"/>
      <c r="M319" s="161" t="s">
        <v>1</v>
      </c>
      <c r="N319" s="162" t="s">
        <v>35</v>
      </c>
      <c r="O319" s="58"/>
      <c r="P319" s="163">
        <f t="shared" si="54"/>
        <v>0</v>
      </c>
      <c r="Q319" s="163">
        <v>1E-4</v>
      </c>
      <c r="R319" s="163">
        <f t="shared" si="55"/>
        <v>1.43E-2</v>
      </c>
      <c r="S319" s="163">
        <v>0</v>
      </c>
      <c r="T319" s="164">
        <f t="shared" si="56"/>
        <v>0</v>
      </c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R319" s="165" t="s">
        <v>213</v>
      </c>
      <c r="AT319" s="165" t="s">
        <v>181</v>
      </c>
      <c r="AU319" s="165" t="s">
        <v>82</v>
      </c>
      <c r="AY319" s="14" t="s">
        <v>179</v>
      </c>
      <c r="BE319" s="166">
        <f t="shared" si="57"/>
        <v>0</v>
      </c>
      <c r="BF319" s="166">
        <f t="shared" si="58"/>
        <v>0</v>
      </c>
      <c r="BG319" s="166">
        <f t="shared" si="59"/>
        <v>0</v>
      </c>
      <c r="BH319" s="166">
        <f t="shared" si="60"/>
        <v>0</v>
      </c>
      <c r="BI319" s="166">
        <f t="shared" si="61"/>
        <v>0</v>
      </c>
      <c r="BJ319" s="14" t="s">
        <v>82</v>
      </c>
      <c r="BK319" s="166">
        <f t="shared" si="62"/>
        <v>0</v>
      </c>
      <c r="BL319" s="14" t="s">
        <v>213</v>
      </c>
      <c r="BM319" s="165" t="s">
        <v>899</v>
      </c>
    </row>
    <row r="320" spans="1:65" s="2" customFormat="1" ht="24.2" customHeight="1">
      <c r="A320" s="29"/>
      <c r="B320" s="152"/>
      <c r="C320" s="153" t="s">
        <v>510</v>
      </c>
      <c r="D320" s="153" t="s">
        <v>181</v>
      </c>
      <c r="E320" s="154" t="s">
        <v>2446</v>
      </c>
      <c r="F320" s="155" t="s">
        <v>2447</v>
      </c>
      <c r="G320" s="156" t="s">
        <v>293</v>
      </c>
      <c r="H320" s="157">
        <v>12</v>
      </c>
      <c r="I320" s="158"/>
      <c r="J320" s="151">
        <v>0</v>
      </c>
      <c r="K320" s="160"/>
      <c r="L320" s="30"/>
      <c r="M320" s="161" t="s">
        <v>1</v>
      </c>
      <c r="N320" s="162" t="s">
        <v>35</v>
      </c>
      <c r="O320" s="58"/>
      <c r="P320" s="163">
        <f t="shared" si="54"/>
        <v>0</v>
      </c>
      <c r="Q320" s="163">
        <v>5.2416666666666703E-4</v>
      </c>
      <c r="R320" s="163">
        <f t="shared" si="55"/>
        <v>6.2900000000000039E-3</v>
      </c>
      <c r="S320" s="163">
        <v>0</v>
      </c>
      <c r="T320" s="164">
        <f t="shared" si="56"/>
        <v>0</v>
      </c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R320" s="165" t="s">
        <v>213</v>
      </c>
      <c r="AT320" s="165" t="s">
        <v>181</v>
      </c>
      <c r="AU320" s="165" t="s">
        <v>82</v>
      </c>
      <c r="AY320" s="14" t="s">
        <v>179</v>
      </c>
      <c r="BE320" s="166">
        <f t="shared" si="57"/>
        <v>0</v>
      </c>
      <c r="BF320" s="166">
        <f t="shared" si="58"/>
        <v>0</v>
      </c>
      <c r="BG320" s="166">
        <f t="shared" si="59"/>
        <v>0</v>
      </c>
      <c r="BH320" s="166">
        <f t="shared" si="60"/>
        <v>0</v>
      </c>
      <c r="BI320" s="166">
        <f t="shared" si="61"/>
        <v>0</v>
      </c>
      <c r="BJ320" s="14" t="s">
        <v>82</v>
      </c>
      <c r="BK320" s="166">
        <f t="shared" si="62"/>
        <v>0</v>
      </c>
      <c r="BL320" s="14" t="s">
        <v>213</v>
      </c>
      <c r="BM320" s="165" t="s">
        <v>903</v>
      </c>
    </row>
    <row r="321" spans="1:65" s="2" customFormat="1" ht="21.75" customHeight="1">
      <c r="A321" s="29"/>
      <c r="B321" s="152"/>
      <c r="C321" s="153" t="s">
        <v>826</v>
      </c>
      <c r="D321" s="153" t="s">
        <v>181</v>
      </c>
      <c r="E321" s="154" t="s">
        <v>2448</v>
      </c>
      <c r="F321" s="155" t="s">
        <v>2449</v>
      </c>
      <c r="G321" s="156" t="s">
        <v>293</v>
      </c>
      <c r="H321" s="157">
        <v>22</v>
      </c>
      <c r="I321" s="158"/>
      <c r="J321" s="151">
        <v>0</v>
      </c>
      <c r="K321" s="160"/>
      <c r="L321" s="30"/>
      <c r="M321" s="161" t="s">
        <v>1</v>
      </c>
      <c r="N321" s="162" t="s">
        <v>35</v>
      </c>
      <c r="O321" s="58"/>
      <c r="P321" s="163">
        <f t="shared" si="54"/>
        <v>0</v>
      </c>
      <c r="Q321" s="163">
        <v>1.42045454545455E-3</v>
      </c>
      <c r="R321" s="163">
        <f t="shared" si="55"/>
        <v>3.1250000000000104E-2</v>
      </c>
      <c r="S321" s="163">
        <v>0</v>
      </c>
      <c r="T321" s="164">
        <f t="shared" si="56"/>
        <v>0</v>
      </c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R321" s="165" t="s">
        <v>213</v>
      </c>
      <c r="AT321" s="165" t="s">
        <v>181</v>
      </c>
      <c r="AU321" s="165" t="s">
        <v>82</v>
      </c>
      <c r="AY321" s="14" t="s">
        <v>179</v>
      </c>
      <c r="BE321" s="166">
        <f t="shared" si="57"/>
        <v>0</v>
      </c>
      <c r="BF321" s="166">
        <f t="shared" si="58"/>
        <v>0</v>
      </c>
      <c r="BG321" s="166">
        <f t="shared" si="59"/>
        <v>0</v>
      </c>
      <c r="BH321" s="166">
        <f t="shared" si="60"/>
        <v>0</v>
      </c>
      <c r="BI321" s="166">
        <f t="shared" si="61"/>
        <v>0</v>
      </c>
      <c r="BJ321" s="14" t="s">
        <v>82</v>
      </c>
      <c r="BK321" s="166">
        <f t="shared" si="62"/>
        <v>0</v>
      </c>
      <c r="BL321" s="14" t="s">
        <v>213</v>
      </c>
      <c r="BM321" s="165" t="s">
        <v>906</v>
      </c>
    </row>
    <row r="322" spans="1:65" s="2" customFormat="1" ht="24.2" customHeight="1">
      <c r="A322" s="29"/>
      <c r="B322" s="152"/>
      <c r="C322" s="153" t="s">
        <v>517</v>
      </c>
      <c r="D322" s="153" t="s">
        <v>181</v>
      </c>
      <c r="E322" s="154" t="s">
        <v>2450</v>
      </c>
      <c r="F322" s="155" t="s">
        <v>2451</v>
      </c>
      <c r="G322" s="156" t="s">
        <v>293</v>
      </c>
      <c r="H322" s="157">
        <v>508</v>
      </c>
      <c r="I322" s="158"/>
      <c r="J322" s="151">
        <v>0</v>
      </c>
      <c r="K322" s="160"/>
      <c r="L322" s="30"/>
      <c r="M322" s="161" t="s">
        <v>1</v>
      </c>
      <c r="N322" s="162" t="s">
        <v>35</v>
      </c>
      <c r="O322" s="58"/>
      <c r="P322" s="163">
        <f t="shared" si="54"/>
        <v>0</v>
      </c>
      <c r="Q322" s="163">
        <v>0</v>
      </c>
      <c r="R322" s="163">
        <f t="shared" si="55"/>
        <v>0</v>
      </c>
      <c r="S322" s="163">
        <v>0</v>
      </c>
      <c r="T322" s="164">
        <f t="shared" si="56"/>
        <v>0</v>
      </c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R322" s="165" t="s">
        <v>213</v>
      </c>
      <c r="AT322" s="165" t="s">
        <v>181</v>
      </c>
      <c r="AU322" s="165" t="s">
        <v>82</v>
      </c>
      <c r="AY322" s="14" t="s">
        <v>179</v>
      </c>
      <c r="BE322" s="166">
        <f t="shared" si="57"/>
        <v>0</v>
      </c>
      <c r="BF322" s="166">
        <f t="shared" si="58"/>
        <v>0</v>
      </c>
      <c r="BG322" s="166">
        <f t="shared" si="59"/>
        <v>0</v>
      </c>
      <c r="BH322" s="166">
        <f t="shared" si="60"/>
        <v>0</v>
      </c>
      <c r="BI322" s="166">
        <f t="shared" si="61"/>
        <v>0</v>
      </c>
      <c r="BJ322" s="14" t="s">
        <v>82</v>
      </c>
      <c r="BK322" s="166">
        <f t="shared" si="62"/>
        <v>0</v>
      </c>
      <c r="BL322" s="14" t="s">
        <v>213</v>
      </c>
      <c r="BM322" s="165" t="s">
        <v>910</v>
      </c>
    </row>
    <row r="323" spans="1:65" s="2" customFormat="1" ht="24.2" customHeight="1">
      <c r="A323" s="29"/>
      <c r="B323" s="152"/>
      <c r="C323" s="153" t="s">
        <v>833</v>
      </c>
      <c r="D323" s="153" t="s">
        <v>181</v>
      </c>
      <c r="E323" s="154" t="s">
        <v>2452</v>
      </c>
      <c r="F323" s="155" t="s">
        <v>2453</v>
      </c>
      <c r="G323" s="156" t="s">
        <v>293</v>
      </c>
      <c r="H323" s="157">
        <v>432</v>
      </c>
      <c r="I323" s="158"/>
      <c r="J323" s="151">
        <v>0</v>
      </c>
      <c r="K323" s="160"/>
      <c r="L323" s="30"/>
      <c r="M323" s="161" t="s">
        <v>1</v>
      </c>
      <c r="N323" s="162" t="s">
        <v>35</v>
      </c>
      <c r="O323" s="58"/>
      <c r="P323" s="163">
        <f t="shared" si="54"/>
        <v>0</v>
      </c>
      <c r="Q323" s="163">
        <v>0</v>
      </c>
      <c r="R323" s="163">
        <f t="shared" si="55"/>
        <v>0</v>
      </c>
      <c r="S323" s="163">
        <v>0</v>
      </c>
      <c r="T323" s="164">
        <f t="shared" si="56"/>
        <v>0</v>
      </c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R323" s="165" t="s">
        <v>213</v>
      </c>
      <c r="AT323" s="165" t="s">
        <v>181</v>
      </c>
      <c r="AU323" s="165" t="s">
        <v>82</v>
      </c>
      <c r="AY323" s="14" t="s">
        <v>179</v>
      </c>
      <c r="BE323" s="166">
        <f t="shared" si="57"/>
        <v>0</v>
      </c>
      <c r="BF323" s="166">
        <f t="shared" si="58"/>
        <v>0</v>
      </c>
      <c r="BG323" s="166">
        <f t="shared" si="59"/>
        <v>0</v>
      </c>
      <c r="BH323" s="166">
        <f t="shared" si="60"/>
        <v>0</v>
      </c>
      <c r="BI323" s="166">
        <f t="shared" si="61"/>
        <v>0</v>
      </c>
      <c r="BJ323" s="14" t="s">
        <v>82</v>
      </c>
      <c r="BK323" s="166">
        <f t="shared" si="62"/>
        <v>0</v>
      </c>
      <c r="BL323" s="14" t="s">
        <v>213</v>
      </c>
      <c r="BM323" s="165" t="s">
        <v>915</v>
      </c>
    </row>
    <row r="324" spans="1:65" s="2" customFormat="1" ht="16.5" customHeight="1">
      <c r="A324" s="29"/>
      <c r="B324" s="152"/>
      <c r="C324" s="153" t="s">
        <v>520</v>
      </c>
      <c r="D324" s="153" t="s">
        <v>181</v>
      </c>
      <c r="E324" s="154" t="s">
        <v>2454</v>
      </c>
      <c r="F324" s="155" t="s">
        <v>2455</v>
      </c>
      <c r="G324" s="156" t="s">
        <v>293</v>
      </c>
      <c r="H324" s="157">
        <v>34</v>
      </c>
      <c r="I324" s="158"/>
      <c r="J324" s="151">
        <v>0</v>
      </c>
      <c r="K324" s="160"/>
      <c r="L324" s="30"/>
      <c r="M324" s="161" t="s">
        <v>1</v>
      </c>
      <c r="N324" s="162" t="s">
        <v>35</v>
      </c>
      <c r="O324" s="58"/>
      <c r="P324" s="163">
        <f t="shared" si="54"/>
        <v>0</v>
      </c>
      <c r="Q324" s="163">
        <v>0</v>
      </c>
      <c r="R324" s="163">
        <f t="shared" si="55"/>
        <v>0</v>
      </c>
      <c r="S324" s="163">
        <v>0</v>
      </c>
      <c r="T324" s="164">
        <f t="shared" si="56"/>
        <v>0</v>
      </c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R324" s="165" t="s">
        <v>213</v>
      </c>
      <c r="AT324" s="165" t="s">
        <v>181</v>
      </c>
      <c r="AU324" s="165" t="s">
        <v>82</v>
      </c>
      <c r="AY324" s="14" t="s">
        <v>179</v>
      </c>
      <c r="BE324" s="166">
        <f t="shared" si="57"/>
        <v>0</v>
      </c>
      <c r="BF324" s="166">
        <f t="shared" si="58"/>
        <v>0</v>
      </c>
      <c r="BG324" s="166">
        <f t="shared" si="59"/>
        <v>0</v>
      </c>
      <c r="BH324" s="166">
        <f t="shared" si="60"/>
        <v>0</v>
      </c>
      <c r="BI324" s="166">
        <f t="shared" si="61"/>
        <v>0</v>
      </c>
      <c r="BJ324" s="14" t="s">
        <v>82</v>
      </c>
      <c r="BK324" s="166">
        <f t="shared" si="62"/>
        <v>0</v>
      </c>
      <c r="BL324" s="14" t="s">
        <v>213</v>
      </c>
      <c r="BM324" s="165" t="s">
        <v>919</v>
      </c>
    </row>
    <row r="325" spans="1:65" s="2" customFormat="1" ht="33" customHeight="1">
      <c r="A325" s="29"/>
      <c r="B325" s="152"/>
      <c r="C325" s="153" t="s">
        <v>840</v>
      </c>
      <c r="D325" s="153" t="s">
        <v>181</v>
      </c>
      <c r="E325" s="154" t="s">
        <v>2456</v>
      </c>
      <c r="F325" s="155" t="s">
        <v>2457</v>
      </c>
      <c r="G325" s="156" t="s">
        <v>191</v>
      </c>
      <c r="H325" s="157">
        <v>5.8869999999999996</v>
      </c>
      <c r="I325" s="158"/>
      <c r="J325" s="151">
        <v>0</v>
      </c>
      <c r="K325" s="160"/>
      <c r="L325" s="30"/>
      <c r="M325" s="161" t="s">
        <v>1</v>
      </c>
      <c r="N325" s="162" t="s">
        <v>35</v>
      </c>
      <c r="O325" s="58"/>
      <c r="P325" s="163">
        <f t="shared" si="54"/>
        <v>0</v>
      </c>
      <c r="Q325" s="163">
        <v>0</v>
      </c>
      <c r="R325" s="163">
        <f t="shared" si="55"/>
        <v>0</v>
      </c>
      <c r="S325" s="163">
        <v>0</v>
      </c>
      <c r="T325" s="164">
        <f t="shared" si="56"/>
        <v>0</v>
      </c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R325" s="165" t="s">
        <v>213</v>
      </c>
      <c r="AT325" s="165" t="s">
        <v>181</v>
      </c>
      <c r="AU325" s="165" t="s">
        <v>82</v>
      </c>
      <c r="AY325" s="14" t="s">
        <v>179</v>
      </c>
      <c r="BE325" s="166">
        <f t="shared" si="57"/>
        <v>0</v>
      </c>
      <c r="BF325" s="166">
        <f t="shared" si="58"/>
        <v>0</v>
      </c>
      <c r="BG325" s="166">
        <f t="shared" si="59"/>
        <v>0</v>
      </c>
      <c r="BH325" s="166">
        <f t="shared" si="60"/>
        <v>0</v>
      </c>
      <c r="BI325" s="166">
        <f t="shared" si="61"/>
        <v>0</v>
      </c>
      <c r="BJ325" s="14" t="s">
        <v>82</v>
      </c>
      <c r="BK325" s="166">
        <f t="shared" si="62"/>
        <v>0</v>
      </c>
      <c r="BL325" s="14" t="s">
        <v>213</v>
      </c>
      <c r="BM325" s="165" t="s">
        <v>922</v>
      </c>
    </row>
    <row r="326" spans="1:65" s="2" customFormat="1" ht="24.2" customHeight="1">
      <c r="A326" s="29"/>
      <c r="B326" s="152"/>
      <c r="C326" s="153" t="s">
        <v>524</v>
      </c>
      <c r="D326" s="153" t="s">
        <v>181</v>
      </c>
      <c r="E326" s="154" t="s">
        <v>2458</v>
      </c>
      <c r="F326" s="155" t="s">
        <v>2459</v>
      </c>
      <c r="G326" s="156" t="s">
        <v>585</v>
      </c>
      <c r="H326" s="178"/>
      <c r="I326" s="158"/>
      <c r="J326" s="151">
        <v>0</v>
      </c>
      <c r="K326" s="160"/>
      <c r="L326" s="30"/>
      <c r="M326" s="161" t="s">
        <v>1</v>
      </c>
      <c r="N326" s="162" t="s">
        <v>35</v>
      </c>
      <c r="O326" s="58"/>
      <c r="P326" s="163">
        <f t="shared" si="54"/>
        <v>0</v>
      </c>
      <c r="Q326" s="163">
        <v>0</v>
      </c>
      <c r="R326" s="163">
        <f t="shared" si="55"/>
        <v>0</v>
      </c>
      <c r="S326" s="163">
        <v>0</v>
      </c>
      <c r="T326" s="164">
        <f t="shared" si="56"/>
        <v>0</v>
      </c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R326" s="165" t="s">
        <v>213</v>
      </c>
      <c r="AT326" s="165" t="s">
        <v>181</v>
      </c>
      <c r="AU326" s="165" t="s">
        <v>82</v>
      </c>
      <c r="AY326" s="14" t="s">
        <v>179</v>
      </c>
      <c r="BE326" s="166">
        <f t="shared" si="57"/>
        <v>0</v>
      </c>
      <c r="BF326" s="166">
        <f t="shared" si="58"/>
        <v>0</v>
      </c>
      <c r="BG326" s="166">
        <f t="shared" si="59"/>
        <v>0</v>
      </c>
      <c r="BH326" s="166">
        <f t="shared" si="60"/>
        <v>0</v>
      </c>
      <c r="BI326" s="166">
        <f t="shared" si="61"/>
        <v>0</v>
      </c>
      <c r="BJ326" s="14" t="s">
        <v>82</v>
      </c>
      <c r="BK326" s="166">
        <f t="shared" si="62"/>
        <v>0</v>
      </c>
      <c r="BL326" s="14" t="s">
        <v>213</v>
      </c>
      <c r="BM326" s="165" t="s">
        <v>928</v>
      </c>
    </row>
    <row r="327" spans="1:65" s="12" customFormat="1" ht="22.9" customHeight="1">
      <c r="B327" s="139"/>
      <c r="D327" s="140" t="s">
        <v>68</v>
      </c>
      <c r="E327" s="150" t="s">
        <v>2460</v>
      </c>
      <c r="F327" s="150" t="s">
        <v>2461</v>
      </c>
      <c r="I327" s="142"/>
      <c r="J327" s="151">
        <v>0</v>
      </c>
      <c r="L327" s="139"/>
      <c r="M327" s="144"/>
      <c r="N327" s="145"/>
      <c r="O327" s="145"/>
      <c r="P327" s="146">
        <f>SUM(P328:P412)</f>
        <v>0</v>
      </c>
      <c r="Q327" s="145"/>
      <c r="R327" s="146">
        <f>SUM(R328:R412)</f>
        <v>2.0115899999999987</v>
      </c>
      <c r="S327" s="145"/>
      <c r="T327" s="147">
        <f>SUM(T328:T412)</f>
        <v>0</v>
      </c>
      <c r="AR327" s="140" t="s">
        <v>82</v>
      </c>
      <c r="AT327" s="148" t="s">
        <v>68</v>
      </c>
      <c r="AU327" s="148" t="s">
        <v>76</v>
      </c>
      <c r="AY327" s="140" t="s">
        <v>179</v>
      </c>
      <c r="BK327" s="149">
        <f>SUM(BK328:BK412)</f>
        <v>0</v>
      </c>
    </row>
    <row r="328" spans="1:65" s="2" customFormat="1" ht="24.2" customHeight="1">
      <c r="A328" s="29"/>
      <c r="B328" s="152"/>
      <c r="C328" s="153" t="s">
        <v>847</v>
      </c>
      <c r="D328" s="153" t="s">
        <v>181</v>
      </c>
      <c r="E328" s="154" t="s">
        <v>2462</v>
      </c>
      <c r="F328" s="155" t="s">
        <v>2463</v>
      </c>
      <c r="G328" s="156" t="s">
        <v>217</v>
      </c>
      <c r="H328" s="157">
        <v>48</v>
      </c>
      <c r="I328" s="158"/>
      <c r="J328" s="151">
        <v>0</v>
      </c>
      <c r="K328" s="160"/>
      <c r="L328" s="30"/>
      <c r="M328" s="161" t="s">
        <v>1</v>
      </c>
      <c r="N328" s="162" t="s">
        <v>35</v>
      </c>
      <c r="O328" s="58"/>
      <c r="P328" s="163">
        <f t="shared" ref="P328:P359" si="63">O328*H328</f>
        <v>0</v>
      </c>
      <c r="Q328" s="163">
        <v>1.6875E-5</v>
      </c>
      <c r="R328" s="163">
        <f t="shared" ref="R328:R359" si="64">Q328*H328</f>
        <v>8.0999999999999996E-4</v>
      </c>
      <c r="S328" s="163">
        <v>0</v>
      </c>
      <c r="T328" s="164">
        <f t="shared" ref="T328:T359" si="65">S328*H328</f>
        <v>0</v>
      </c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R328" s="165" t="s">
        <v>213</v>
      </c>
      <c r="AT328" s="165" t="s">
        <v>181</v>
      </c>
      <c r="AU328" s="165" t="s">
        <v>82</v>
      </c>
      <c r="AY328" s="14" t="s">
        <v>179</v>
      </c>
      <c r="BE328" s="166">
        <f t="shared" ref="BE328:BE359" si="66">IF(N328="základná",J328,0)</f>
        <v>0</v>
      </c>
      <c r="BF328" s="166">
        <f t="shared" ref="BF328:BF359" si="67">IF(N328="znížená",J328,0)</f>
        <v>0</v>
      </c>
      <c r="BG328" s="166">
        <f t="shared" ref="BG328:BG359" si="68">IF(N328="zákl. prenesená",J328,0)</f>
        <v>0</v>
      </c>
      <c r="BH328" s="166">
        <f t="shared" ref="BH328:BH359" si="69">IF(N328="zníž. prenesená",J328,0)</f>
        <v>0</v>
      </c>
      <c r="BI328" s="166">
        <f t="shared" ref="BI328:BI359" si="70">IF(N328="nulová",J328,0)</f>
        <v>0</v>
      </c>
      <c r="BJ328" s="14" t="s">
        <v>82</v>
      </c>
      <c r="BK328" s="166">
        <f t="shared" ref="BK328:BK359" si="71">ROUND(I328*H328,2)</f>
        <v>0</v>
      </c>
      <c r="BL328" s="14" t="s">
        <v>213</v>
      </c>
      <c r="BM328" s="165" t="s">
        <v>931</v>
      </c>
    </row>
    <row r="329" spans="1:65" s="2" customFormat="1" ht="24.2" customHeight="1">
      <c r="A329" s="29"/>
      <c r="B329" s="152"/>
      <c r="C329" s="153" t="s">
        <v>527</v>
      </c>
      <c r="D329" s="153" t="s">
        <v>181</v>
      </c>
      <c r="E329" s="154" t="s">
        <v>2464</v>
      </c>
      <c r="F329" s="155" t="s">
        <v>2465</v>
      </c>
      <c r="G329" s="156" t="s">
        <v>217</v>
      </c>
      <c r="H329" s="157">
        <v>20</v>
      </c>
      <c r="I329" s="158"/>
      <c r="J329" s="151">
        <v>0</v>
      </c>
      <c r="K329" s="160"/>
      <c r="L329" s="30"/>
      <c r="M329" s="161" t="s">
        <v>1</v>
      </c>
      <c r="N329" s="162" t="s">
        <v>35</v>
      </c>
      <c r="O329" s="58"/>
      <c r="P329" s="163">
        <f t="shared" si="63"/>
        <v>0</v>
      </c>
      <c r="Q329" s="163">
        <v>4.1999999999999998E-5</v>
      </c>
      <c r="R329" s="163">
        <f t="shared" si="64"/>
        <v>8.3999999999999993E-4</v>
      </c>
      <c r="S329" s="163">
        <v>0</v>
      </c>
      <c r="T329" s="164">
        <f t="shared" si="65"/>
        <v>0</v>
      </c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R329" s="165" t="s">
        <v>213</v>
      </c>
      <c r="AT329" s="165" t="s">
        <v>181</v>
      </c>
      <c r="AU329" s="165" t="s">
        <v>82</v>
      </c>
      <c r="AY329" s="14" t="s">
        <v>179</v>
      </c>
      <c r="BE329" s="166">
        <f t="shared" si="66"/>
        <v>0</v>
      </c>
      <c r="BF329" s="166">
        <f t="shared" si="67"/>
        <v>0</v>
      </c>
      <c r="BG329" s="166">
        <f t="shared" si="68"/>
        <v>0</v>
      </c>
      <c r="BH329" s="166">
        <f t="shared" si="69"/>
        <v>0</v>
      </c>
      <c r="BI329" s="166">
        <f t="shared" si="70"/>
        <v>0</v>
      </c>
      <c r="BJ329" s="14" t="s">
        <v>82</v>
      </c>
      <c r="BK329" s="166">
        <f t="shared" si="71"/>
        <v>0</v>
      </c>
      <c r="BL329" s="14" t="s">
        <v>213</v>
      </c>
      <c r="BM329" s="165" t="s">
        <v>935</v>
      </c>
    </row>
    <row r="330" spans="1:65" s="2" customFormat="1" ht="24.2" customHeight="1">
      <c r="A330" s="29"/>
      <c r="B330" s="152"/>
      <c r="C330" s="153" t="s">
        <v>854</v>
      </c>
      <c r="D330" s="153" t="s">
        <v>181</v>
      </c>
      <c r="E330" s="154" t="s">
        <v>2466</v>
      </c>
      <c r="F330" s="155" t="s">
        <v>2467</v>
      </c>
      <c r="G330" s="156" t="s">
        <v>217</v>
      </c>
      <c r="H330" s="157">
        <v>4</v>
      </c>
      <c r="I330" s="158"/>
      <c r="J330" s="151">
        <v>0</v>
      </c>
      <c r="K330" s="160"/>
      <c r="L330" s="30"/>
      <c r="M330" s="161" t="s">
        <v>1</v>
      </c>
      <c r="N330" s="162" t="s">
        <v>35</v>
      </c>
      <c r="O330" s="58"/>
      <c r="P330" s="163">
        <f t="shared" si="63"/>
        <v>0</v>
      </c>
      <c r="Q330" s="163">
        <v>9.0000000000000006E-5</v>
      </c>
      <c r="R330" s="163">
        <f t="shared" si="64"/>
        <v>3.6000000000000002E-4</v>
      </c>
      <c r="S330" s="163">
        <v>0</v>
      </c>
      <c r="T330" s="164">
        <f t="shared" si="65"/>
        <v>0</v>
      </c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R330" s="165" t="s">
        <v>213</v>
      </c>
      <c r="AT330" s="165" t="s">
        <v>181</v>
      </c>
      <c r="AU330" s="165" t="s">
        <v>82</v>
      </c>
      <c r="AY330" s="14" t="s">
        <v>179</v>
      </c>
      <c r="BE330" s="166">
        <f t="shared" si="66"/>
        <v>0</v>
      </c>
      <c r="BF330" s="166">
        <f t="shared" si="67"/>
        <v>0</v>
      </c>
      <c r="BG330" s="166">
        <f t="shared" si="68"/>
        <v>0</v>
      </c>
      <c r="BH330" s="166">
        <f t="shared" si="69"/>
        <v>0</v>
      </c>
      <c r="BI330" s="166">
        <f t="shared" si="70"/>
        <v>0</v>
      </c>
      <c r="BJ330" s="14" t="s">
        <v>82</v>
      </c>
      <c r="BK330" s="166">
        <f t="shared" si="71"/>
        <v>0</v>
      </c>
      <c r="BL330" s="14" t="s">
        <v>213</v>
      </c>
      <c r="BM330" s="165" t="s">
        <v>938</v>
      </c>
    </row>
    <row r="331" spans="1:65" s="2" customFormat="1" ht="24.2" customHeight="1">
      <c r="A331" s="29"/>
      <c r="B331" s="152"/>
      <c r="C331" s="153" t="s">
        <v>531</v>
      </c>
      <c r="D331" s="153" t="s">
        <v>181</v>
      </c>
      <c r="E331" s="154" t="s">
        <v>2468</v>
      </c>
      <c r="F331" s="155" t="s">
        <v>2469</v>
      </c>
      <c r="G331" s="156" t="s">
        <v>217</v>
      </c>
      <c r="H331" s="157">
        <v>39</v>
      </c>
      <c r="I331" s="158"/>
      <c r="J331" s="151">
        <v>0</v>
      </c>
      <c r="K331" s="160"/>
      <c r="L331" s="30"/>
      <c r="M331" s="161" t="s">
        <v>1</v>
      </c>
      <c r="N331" s="162" t="s">
        <v>35</v>
      </c>
      <c r="O331" s="58"/>
      <c r="P331" s="163">
        <f t="shared" si="63"/>
        <v>0</v>
      </c>
      <c r="Q331" s="163">
        <v>9.2051282051282005E-5</v>
      </c>
      <c r="R331" s="163">
        <f t="shared" si="64"/>
        <v>3.5899999999999981E-3</v>
      </c>
      <c r="S331" s="163">
        <v>0</v>
      </c>
      <c r="T331" s="164">
        <f t="shared" si="65"/>
        <v>0</v>
      </c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R331" s="165" t="s">
        <v>213</v>
      </c>
      <c r="AT331" s="165" t="s">
        <v>181</v>
      </c>
      <c r="AU331" s="165" t="s">
        <v>82</v>
      </c>
      <c r="AY331" s="14" t="s">
        <v>179</v>
      </c>
      <c r="BE331" s="166">
        <f t="shared" si="66"/>
        <v>0</v>
      </c>
      <c r="BF331" s="166">
        <f t="shared" si="67"/>
        <v>0</v>
      </c>
      <c r="BG331" s="166">
        <f t="shared" si="68"/>
        <v>0</v>
      </c>
      <c r="BH331" s="166">
        <f t="shared" si="69"/>
        <v>0</v>
      </c>
      <c r="BI331" s="166">
        <f t="shared" si="70"/>
        <v>0</v>
      </c>
      <c r="BJ331" s="14" t="s">
        <v>82</v>
      </c>
      <c r="BK331" s="166">
        <f t="shared" si="71"/>
        <v>0</v>
      </c>
      <c r="BL331" s="14" t="s">
        <v>213</v>
      </c>
      <c r="BM331" s="165" t="s">
        <v>944</v>
      </c>
    </row>
    <row r="332" spans="1:65" s="2" customFormat="1" ht="24.2" customHeight="1">
      <c r="A332" s="29"/>
      <c r="B332" s="152"/>
      <c r="C332" s="153" t="s">
        <v>861</v>
      </c>
      <c r="D332" s="153" t="s">
        <v>181</v>
      </c>
      <c r="E332" s="154" t="s">
        <v>2470</v>
      </c>
      <c r="F332" s="155" t="s">
        <v>2471</v>
      </c>
      <c r="G332" s="156" t="s">
        <v>217</v>
      </c>
      <c r="H332" s="157">
        <v>64</v>
      </c>
      <c r="I332" s="158"/>
      <c r="J332" s="151">
        <v>0</v>
      </c>
      <c r="K332" s="160"/>
      <c r="L332" s="30"/>
      <c r="M332" s="161" t="s">
        <v>1</v>
      </c>
      <c r="N332" s="162" t="s">
        <v>35</v>
      </c>
      <c r="O332" s="58"/>
      <c r="P332" s="163">
        <f t="shared" si="63"/>
        <v>0</v>
      </c>
      <c r="Q332" s="163">
        <v>1.7281250000000001E-4</v>
      </c>
      <c r="R332" s="163">
        <f t="shared" si="64"/>
        <v>1.106E-2</v>
      </c>
      <c r="S332" s="163">
        <v>0</v>
      </c>
      <c r="T332" s="164">
        <f t="shared" si="65"/>
        <v>0</v>
      </c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R332" s="165" t="s">
        <v>213</v>
      </c>
      <c r="AT332" s="165" t="s">
        <v>181</v>
      </c>
      <c r="AU332" s="165" t="s">
        <v>82</v>
      </c>
      <c r="AY332" s="14" t="s">
        <v>179</v>
      </c>
      <c r="BE332" s="166">
        <f t="shared" si="66"/>
        <v>0</v>
      </c>
      <c r="BF332" s="166">
        <f t="shared" si="67"/>
        <v>0</v>
      </c>
      <c r="BG332" s="166">
        <f t="shared" si="68"/>
        <v>0</v>
      </c>
      <c r="BH332" s="166">
        <f t="shared" si="69"/>
        <v>0</v>
      </c>
      <c r="BI332" s="166">
        <f t="shared" si="70"/>
        <v>0</v>
      </c>
      <c r="BJ332" s="14" t="s">
        <v>82</v>
      </c>
      <c r="BK332" s="166">
        <f t="shared" si="71"/>
        <v>0</v>
      </c>
      <c r="BL332" s="14" t="s">
        <v>213</v>
      </c>
      <c r="BM332" s="165" t="s">
        <v>947</v>
      </c>
    </row>
    <row r="333" spans="1:65" s="2" customFormat="1" ht="16.5" customHeight="1">
      <c r="A333" s="29"/>
      <c r="B333" s="152"/>
      <c r="C333" s="153" t="s">
        <v>534</v>
      </c>
      <c r="D333" s="153" t="s">
        <v>181</v>
      </c>
      <c r="E333" s="154" t="s">
        <v>2472</v>
      </c>
      <c r="F333" s="155" t="s">
        <v>2473</v>
      </c>
      <c r="G333" s="156" t="s">
        <v>1202</v>
      </c>
      <c r="H333" s="157">
        <v>10</v>
      </c>
      <c r="I333" s="158"/>
      <c r="J333" s="151">
        <v>0</v>
      </c>
      <c r="K333" s="160"/>
      <c r="L333" s="30"/>
      <c r="M333" s="161" t="s">
        <v>1</v>
      </c>
      <c r="N333" s="162" t="s">
        <v>35</v>
      </c>
      <c r="O333" s="58"/>
      <c r="P333" s="163">
        <f t="shared" si="63"/>
        <v>0</v>
      </c>
      <c r="Q333" s="163">
        <v>8.1119999999999994E-3</v>
      </c>
      <c r="R333" s="163">
        <f t="shared" si="64"/>
        <v>8.1119999999999998E-2</v>
      </c>
      <c r="S333" s="163">
        <v>0</v>
      </c>
      <c r="T333" s="164">
        <f t="shared" si="65"/>
        <v>0</v>
      </c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R333" s="165" t="s">
        <v>213</v>
      </c>
      <c r="AT333" s="165" t="s">
        <v>181</v>
      </c>
      <c r="AU333" s="165" t="s">
        <v>82</v>
      </c>
      <c r="AY333" s="14" t="s">
        <v>179</v>
      </c>
      <c r="BE333" s="166">
        <f t="shared" si="66"/>
        <v>0</v>
      </c>
      <c r="BF333" s="166">
        <f t="shared" si="67"/>
        <v>0</v>
      </c>
      <c r="BG333" s="166">
        <f t="shared" si="68"/>
        <v>0</v>
      </c>
      <c r="BH333" s="166">
        <f t="shared" si="69"/>
        <v>0</v>
      </c>
      <c r="BI333" s="166">
        <f t="shared" si="70"/>
        <v>0</v>
      </c>
      <c r="BJ333" s="14" t="s">
        <v>82</v>
      </c>
      <c r="BK333" s="166">
        <f t="shared" si="71"/>
        <v>0</v>
      </c>
      <c r="BL333" s="14" t="s">
        <v>213</v>
      </c>
      <c r="BM333" s="165" t="s">
        <v>951</v>
      </c>
    </row>
    <row r="334" spans="1:65" s="2" customFormat="1" ht="16.5" customHeight="1">
      <c r="A334" s="29"/>
      <c r="B334" s="152"/>
      <c r="C334" s="153" t="s">
        <v>868</v>
      </c>
      <c r="D334" s="153" t="s">
        <v>181</v>
      </c>
      <c r="E334" s="154" t="s">
        <v>2474</v>
      </c>
      <c r="F334" s="155" t="s">
        <v>2475</v>
      </c>
      <c r="G334" s="156" t="s">
        <v>1202</v>
      </c>
      <c r="H334" s="157">
        <v>2</v>
      </c>
      <c r="I334" s="158"/>
      <c r="J334" s="151">
        <v>0</v>
      </c>
      <c r="K334" s="160"/>
      <c r="L334" s="30"/>
      <c r="M334" s="161" t="s">
        <v>1</v>
      </c>
      <c r="N334" s="162" t="s">
        <v>35</v>
      </c>
      <c r="O334" s="58"/>
      <c r="P334" s="163">
        <f t="shared" si="63"/>
        <v>0</v>
      </c>
      <c r="Q334" s="163">
        <v>1.8960000000000001E-2</v>
      </c>
      <c r="R334" s="163">
        <f t="shared" si="64"/>
        <v>3.7920000000000002E-2</v>
      </c>
      <c r="S334" s="163">
        <v>0</v>
      </c>
      <c r="T334" s="164">
        <f t="shared" si="65"/>
        <v>0</v>
      </c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R334" s="165" t="s">
        <v>213</v>
      </c>
      <c r="AT334" s="165" t="s">
        <v>181</v>
      </c>
      <c r="AU334" s="165" t="s">
        <v>82</v>
      </c>
      <c r="AY334" s="14" t="s">
        <v>179</v>
      </c>
      <c r="BE334" s="166">
        <f t="shared" si="66"/>
        <v>0</v>
      </c>
      <c r="BF334" s="166">
        <f t="shared" si="67"/>
        <v>0</v>
      </c>
      <c r="BG334" s="166">
        <f t="shared" si="68"/>
        <v>0</v>
      </c>
      <c r="BH334" s="166">
        <f t="shared" si="69"/>
        <v>0</v>
      </c>
      <c r="BI334" s="166">
        <f t="shared" si="70"/>
        <v>0</v>
      </c>
      <c r="BJ334" s="14" t="s">
        <v>82</v>
      </c>
      <c r="BK334" s="166">
        <f t="shared" si="71"/>
        <v>0</v>
      </c>
      <c r="BL334" s="14" t="s">
        <v>213</v>
      </c>
      <c r="BM334" s="165" t="s">
        <v>955</v>
      </c>
    </row>
    <row r="335" spans="1:65" s="2" customFormat="1" ht="24.2" customHeight="1">
      <c r="A335" s="29"/>
      <c r="B335" s="152"/>
      <c r="C335" s="153" t="s">
        <v>538</v>
      </c>
      <c r="D335" s="153" t="s">
        <v>181</v>
      </c>
      <c r="E335" s="154" t="s">
        <v>2476</v>
      </c>
      <c r="F335" s="155" t="s">
        <v>2477</v>
      </c>
      <c r="G335" s="156" t="s">
        <v>1202</v>
      </c>
      <c r="H335" s="157">
        <v>4</v>
      </c>
      <c r="I335" s="158"/>
      <c r="J335" s="151">
        <v>0</v>
      </c>
      <c r="K335" s="160"/>
      <c r="L335" s="30"/>
      <c r="M335" s="161" t="s">
        <v>1</v>
      </c>
      <c r="N335" s="162" t="s">
        <v>35</v>
      </c>
      <c r="O335" s="58"/>
      <c r="P335" s="163">
        <f t="shared" si="63"/>
        <v>0</v>
      </c>
      <c r="Q335" s="163">
        <v>4.9399999999999999E-3</v>
      </c>
      <c r="R335" s="163">
        <f t="shared" si="64"/>
        <v>1.976E-2</v>
      </c>
      <c r="S335" s="163">
        <v>0</v>
      </c>
      <c r="T335" s="164">
        <f t="shared" si="65"/>
        <v>0</v>
      </c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R335" s="165" t="s">
        <v>213</v>
      </c>
      <c r="AT335" s="165" t="s">
        <v>181</v>
      </c>
      <c r="AU335" s="165" t="s">
        <v>82</v>
      </c>
      <c r="AY335" s="14" t="s">
        <v>179</v>
      </c>
      <c r="BE335" s="166">
        <f t="shared" si="66"/>
        <v>0</v>
      </c>
      <c r="BF335" s="166">
        <f t="shared" si="67"/>
        <v>0</v>
      </c>
      <c r="BG335" s="166">
        <f t="shared" si="68"/>
        <v>0</v>
      </c>
      <c r="BH335" s="166">
        <f t="shared" si="69"/>
        <v>0</v>
      </c>
      <c r="BI335" s="166">
        <f t="shared" si="70"/>
        <v>0</v>
      </c>
      <c r="BJ335" s="14" t="s">
        <v>82</v>
      </c>
      <c r="BK335" s="166">
        <f t="shared" si="71"/>
        <v>0</v>
      </c>
      <c r="BL335" s="14" t="s">
        <v>213</v>
      </c>
      <c r="BM335" s="165" t="s">
        <v>960</v>
      </c>
    </row>
    <row r="336" spans="1:65" s="2" customFormat="1" ht="24.2" customHeight="1">
      <c r="A336" s="29"/>
      <c r="B336" s="152"/>
      <c r="C336" s="153" t="s">
        <v>875</v>
      </c>
      <c r="D336" s="153" t="s">
        <v>181</v>
      </c>
      <c r="E336" s="154" t="s">
        <v>2478</v>
      </c>
      <c r="F336" s="155" t="s">
        <v>2479</v>
      </c>
      <c r="G336" s="156" t="s">
        <v>1202</v>
      </c>
      <c r="H336" s="157">
        <v>11</v>
      </c>
      <c r="I336" s="158"/>
      <c r="J336" s="151">
        <v>0</v>
      </c>
      <c r="K336" s="160"/>
      <c r="L336" s="30"/>
      <c r="M336" s="161" t="s">
        <v>1</v>
      </c>
      <c r="N336" s="162" t="s">
        <v>35</v>
      </c>
      <c r="O336" s="58"/>
      <c r="P336" s="163">
        <f t="shared" si="63"/>
        <v>0</v>
      </c>
      <c r="Q336" s="163">
        <v>7.8654545454545505E-3</v>
      </c>
      <c r="R336" s="163">
        <f t="shared" si="64"/>
        <v>8.6520000000000055E-2</v>
      </c>
      <c r="S336" s="163">
        <v>0</v>
      </c>
      <c r="T336" s="164">
        <f t="shared" si="65"/>
        <v>0</v>
      </c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R336" s="165" t="s">
        <v>213</v>
      </c>
      <c r="AT336" s="165" t="s">
        <v>181</v>
      </c>
      <c r="AU336" s="165" t="s">
        <v>82</v>
      </c>
      <c r="AY336" s="14" t="s">
        <v>179</v>
      </c>
      <c r="BE336" s="166">
        <f t="shared" si="66"/>
        <v>0</v>
      </c>
      <c r="BF336" s="166">
        <f t="shared" si="67"/>
        <v>0</v>
      </c>
      <c r="BG336" s="166">
        <f t="shared" si="68"/>
        <v>0</v>
      </c>
      <c r="BH336" s="166">
        <f t="shared" si="69"/>
        <v>0</v>
      </c>
      <c r="BI336" s="166">
        <f t="shared" si="70"/>
        <v>0</v>
      </c>
      <c r="BJ336" s="14" t="s">
        <v>82</v>
      </c>
      <c r="BK336" s="166">
        <f t="shared" si="71"/>
        <v>0</v>
      </c>
      <c r="BL336" s="14" t="s">
        <v>213</v>
      </c>
      <c r="BM336" s="165" t="s">
        <v>962</v>
      </c>
    </row>
    <row r="337" spans="1:65" s="2" customFormat="1" ht="24.2" customHeight="1">
      <c r="A337" s="29"/>
      <c r="B337" s="152"/>
      <c r="C337" s="153" t="s">
        <v>541</v>
      </c>
      <c r="D337" s="153" t="s">
        <v>181</v>
      </c>
      <c r="E337" s="154" t="s">
        <v>2480</v>
      </c>
      <c r="F337" s="155" t="s">
        <v>2481</v>
      </c>
      <c r="G337" s="156" t="s">
        <v>1202</v>
      </c>
      <c r="H337" s="157">
        <v>14</v>
      </c>
      <c r="I337" s="158"/>
      <c r="J337" s="151">
        <v>0</v>
      </c>
      <c r="K337" s="160"/>
      <c r="L337" s="30"/>
      <c r="M337" s="161" t="s">
        <v>1</v>
      </c>
      <c r="N337" s="162" t="s">
        <v>35</v>
      </c>
      <c r="O337" s="58"/>
      <c r="P337" s="163">
        <f t="shared" si="63"/>
        <v>0</v>
      </c>
      <c r="Q337" s="163">
        <v>9.0114285714285695E-3</v>
      </c>
      <c r="R337" s="163">
        <f t="shared" si="64"/>
        <v>0.12615999999999997</v>
      </c>
      <c r="S337" s="163">
        <v>0</v>
      </c>
      <c r="T337" s="164">
        <f t="shared" si="65"/>
        <v>0</v>
      </c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R337" s="165" t="s">
        <v>213</v>
      </c>
      <c r="AT337" s="165" t="s">
        <v>181</v>
      </c>
      <c r="AU337" s="165" t="s">
        <v>82</v>
      </c>
      <c r="AY337" s="14" t="s">
        <v>179</v>
      </c>
      <c r="BE337" s="166">
        <f t="shared" si="66"/>
        <v>0</v>
      </c>
      <c r="BF337" s="166">
        <f t="shared" si="67"/>
        <v>0</v>
      </c>
      <c r="BG337" s="166">
        <f t="shared" si="68"/>
        <v>0</v>
      </c>
      <c r="BH337" s="166">
        <f t="shared" si="69"/>
        <v>0</v>
      </c>
      <c r="BI337" s="166">
        <f t="shared" si="70"/>
        <v>0</v>
      </c>
      <c r="BJ337" s="14" t="s">
        <v>82</v>
      </c>
      <c r="BK337" s="166">
        <f t="shared" si="71"/>
        <v>0</v>
      </c>
      <c r="BL337" s="14" t="s">
        <v>213</v>
      </c>
      <c r="BM337" s="165" t="s">
        <v>966</v>
      </c>
    </row>
    <row r="338" spans="1:65" s="2" customFormat="1" ht="24.2" customHeight="1">
      <c r="A338" s="29"/>
      <c r="B338" s="152"/>
      <c r="C338" s="153" t="s">
        <v>882</v>
      </c>
      <c r="D338" s="153" t="s">
        <v>181</v>
      </c>
      <c r="E338" s="154" t="s">
        <v>2482</v>
      </c>
      <c r="F338" s="155" t="s">
        <v>2483</v>
      </c>
      <c r="G338" s="156" t="s">
        <v>1202</v>
      </c>
      <c r="H338" s="157">
        <v>5</v>
      </c>
      <c r="I338" s="158"/>
      <c r="J338" s="151">
        <v>0</v>
      </c>
      <c r="K338" s="160"/>
      <c r="L338" s="30"/>
      <c r="M338" s="161" t="s">
        <v>1</v>
      </c>
      <c r="N338" s="162" t="s">
        <v>35</v>
      </c>
      <c r="O338" s="58"/>
      <c r="P338" s="163">
        <f t="shared" si="63"/>
        <v>0</v>
      </c>
      <c r="Q338" s="163">
        <v>1.393E-2</v>
      </c>
      <c r="R338" s="163">
        <f t="shared" si="64"/>
        <v>6.9650000000000004E-2</v>
      </c>
      <c r="S338" s="163">
        <v>0</v>
      </c>
      <c r="T338" s="164">
        <f t="shared" si="65"/>
        <v>0</v>
      </c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R338" s="165" t="s">
        <v>213</v>
      </c>
      <c r="AT338" s="165" t="s">
        <v>181</v>
      </c>
      <c r="AU338" s="165" t="s">
        <v>82</v>
      </c>
      <c r="AY338" s="14" t="s">
        <v>179</v>
      </c>
      <c r="BE338" s="166">
        <f t="shared" si="66"/>
        <v>0</v>
      </c>
      <c r="BF338" s="166">
        <f t="shared" si="67"/>
        <v>0</v>
      </c>
      <c r="BG338" s="166">
        <f t="shared" si="68"/>
        <v>0</v>
      </c>
      <c r="BH338" s="166">
        <f t="shared" si="69"/>
        <v>0</v>
      </c>
      <c r="BI338" s="166">
        <f t="shared" si="70"/>
        <v>0</v>
      </c>
      <c r="BJ338" s="14" t="s">
        <v>82</v>
      </c>
      <c r="BK338" s="166">
        <f t="shared" si="71"/>
        <v>0</v>
      </c>
      <c r="BL338" s="14" t="s">
        <v>213</v>
      </c>
      <c r="BM338" s="165" t="s">
        <v>969</v>
      </c>
    </row>
    <row r="339" spans="1:65" s="2" customFormat="1" ht="24.2" customHeight="1">
      <c r="A339" s="29"/>
      <c r="B339" s="152"/>
      <c r="C339" s="153" t="s">
        <v>545</v>
      </c>
      <c r="D339" s="153" t="s">
        <v>181</v>
      </c>
      <c r="E339" s="154" t="s">
        <v>2484</v>
      </c>
      <c r="F339" s="155" t="s">
        <v>2485</v>
      </c>
      <c r="G339" s="156" t="s">
        <v>1202</v>
      </c>
      <c r="H339" s="157">
        <v>9</v>
      </c>
      <c r="I339" s="158"/>
      <c r="J339" s="151">
        <v>0</v>
      </c>
      <c r="K339" s="160"/>
      <c r="L339" s="30"/>
      <c r="M339" s="161" t="s">
        <v>1</v>
      </c>
      <c r="N339" s="162" t="s">
        <v>35</v>
      </c>
      <c r="O339" s="58"/>
      <c r="P339" s="163">
        <f t="shared" si="63"/>
        <v>0</v>
      </c>
      <c r="Q339" s="163">
        <v>1.5664444444444401E-2</v>
      </c>
      <c r="R339" s="163">
        <f t="shared" si="64"/>
        <v>0.14097999999999961</v>
      </c>
      <c r="S339" s="163">
        <v>0</v>
      </c>
      <c r="T339" s="164">
        <f t="shared" si="65"/>
        <v>0</v>
      </c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R339" s="165" t="s">
        <v>213</v>
      </c>
      <c r="AT339" s="165" t="s">
        <v>181</v>
      </c>
      <c r="AU339" s="165" t="s">
        <v>82</v>
      </c>
      <c r="AY339" s="14" t="s">
        <v>179</v>
      </c>
      <c r="BE339" s="166">
        <f t="shared" si="66"/>
        <v>0</v>
      </c>
      <c r="BF339" s="166">
        <f t="shared" si="67"/>
        <v>0</v>
      </c>
      <c r="BG339" s="166">
        <f t="shared" si="68"/>
        <v>0</v>
      </c>
      <c r="BH339" s="166">
        <f t="shared" si="69"/>
        <v>0</v>
      </c>
      <c r="BI339" s="166">
        <f t="shared" si="70"/>
        <v>0</v>
      </c>
      <c r="BJ339" s="14" t="s">
        <v>82</v>
      </c>
      <c r="BK339" s="166">
        <f t="shared" si="71"/>
        <v>0</v>
      </c>
      <c r="BL339" s="14" t="s">
        <v>213</v>
      </c>
      <c r="BM339" s="165" t="s">
        <v>973</v>
      </c>
    </row>
    <row r="340" spans="1:65" s="2" customFormat="1" ht="24.2" customHeight="1">
      <c r="A340" s="29"/>
      <c r="B340" s="152"/>
      <c r="C340" s="153" t="s">
        <v>891</v>
      </c>
      <c r="D340" s="153" t="s">
        <v>181</v>
      </c>
      <c r="E340" s="154" t="s">
        <v>2486</v>
      </c>
      <c r="F340" s="155" t="s">
        <v>2487</v>
      </c>
      <c r="G340" s="156" t="s">
        <v>1202</v>
      </c>
      <c r="H340" s="157">
        <v>2</v>
      </c>
      <c r="I340" s="158"/>
      <c r="J340" s="151">
        <v>0</v>
      </c>
      <c r="K340" s="160"/>
      <c r="L340" s="30"/>
      <c r="M340" s="161" t="s">
        <v>1</v>
      </c>
      <c r="N340" s="162" t="s">
        <v>35</v>
      </c>
      <c r="O340" s="58"/>
      <c r="P340" s="163">
        <f t="shared" si="63"/>
        <v>0</v>
      </c>
      <c r="Q340" s="163">
        <v>1.1265000000000001E-2</v>
      </c>
      <c r="R340" s="163">
        <f t="shared" si="64"/>
        <v>2.2530000000000001E-2</v>
      </c>
      <c r="S340" s="163">
        <v>0</v>
      </c>
      <c r="T340" s="164">
        <f t="shared" si="65"/>
        <v>0</v>
      </c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R340" s="165" t="s">
        <v>213</v>
      </c>
      <c r="AT340" s="165" t="s">
        <v>181</v>
      </c>
      <c r="AU340" s="165" t="s">
        <v>82</v>
      </c>
      <c r="AY340" s="14" t="s">
        <v>179</v>
      </c>
      <c r="BE340" s="166">
        <f t="shared" si="66"/>
        <v>0</v>
      </c>
      <c r="BF340" s="166">
        <f t="shared" si="67"/>
        <v>0</v>
      </c>
      <c r="BG340" s="166">
        <f t="shared" si="68"/>
        <v>0</v>
      </c>
      <c r="BH340" s="166">
        <f t="shared" si="69"/>
        <v>0</v>
      </c>
      <c r="BI340" s="166">
        <f t="shared" si="70"/>
        <v>0</v>
      </c>
      <c r="BJ340" s="14" t="s">
        <v>82</v>
      </c>
      <c r="BK340" s="166">
        <f t="shared" si="71"/>
        <v>0</v>
      </c>
      <c r="BL340" s="14" t="s">
        <v>213</v>
      </c>
      <c r="BM340" s="165" t="s">
        <v>1768</v>
      </c>
    </row>
    <row r="341" spans="1:65" s="2" customFormat="1" ht="24.2" customHeight="1">
      <c r="A341" s="29"/>
      <c r="B341" s="152"/>
      <c r="C341" s="153" t="s">
        <v>548</v>
      </c>
      <c r="D341" s="153" t="s">
        <v>181</v>
      </c>
      <c r="E341" s="154" t="s">
        <v>2488</v>
      </c>
      <c r="F341" s="155" t="s">
        <v>2489</v>
      </c>
      <c r="G341" s="156" t="s">
        <v>1202</v>
      </c>
      <c r="H341" s="157">
        <v>3</v>
      </c>
      <c r="I341" s="158"/>
      <c r="J341" s="151">
        <v>0</v>
      </c>
      <c r="K341" s="160"/>
      <c r="L341" s="30"/>
      <c r="M341" s="161" t="s">
        <v>1</v>
      </c>
      <c r="N341" s="162" t="s">
        <v>35</v>
      </c>
      <c r="O341" s="58"/>
      <c r="P341" s="163">
        <f t="shared" si="63"/>
        <v>0</v>
      </c>
      <c r="Q341" s="163">
        <v>1.2976666666666701E-2</v>
      </c>
      <c r="R341" s="163">
        <f t="shared" si="64"/>
        <v>3.8930000000000103E-2</v>
      </c>
      <c r="S341" s="163">
        <v>0</v>
      </c>
      <c r="T341" s="164">
        <f t="shared" si="65"/>
        <v>0</v>
      </c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R341" s="165" t="s">
        <v>213</v>
      </c>
      <c r="AT341" s="165" t="s">
        <v>181</v>
      </c>
      <c r="AU341" s="165" t="s">
        <v>82</v>
      </c>
      <c r="AY341" s="14" t="s">
        <v>179</v>
      </c>
      <c r="BE341" s="166">
        <f t="shared" si="66"/>
        <v>0</v>
      </c>
      <c r="BF341" s="166">
        <f t="shared" si="67"/>
        <v>0</v>
      </c>
      <c r="BG341" s="166">
        <f t="shared" si="68"/>
        <v>0</v>
      </c>
      <c r="BH341" s="166">
        <f t="shared" si="69"/>
        <v>0</v>
      </c>
      <c r="BI341" s="166">
        <f t="shared" si="70"/>
        <v>0</v>
      </c>
      <c r="BJ341" s="14" t="s">
        <v>82</v>
      </c>
      <c r="BK341" s="166">
        <f t="shared" si="71"/>
        <v>0</v>
      </c>
      <c r="BL341" s="14" t="s">
        <v>213</v>
      </c>
      <c r="BM341" s="165" t="s">
        <v>1772</v>
      </c>
    </row>
    <row r="342" spans="1:65" s="2" customFormat="1" ht="24.2" customHeight="1">
      <c r="A342" s="29"/>
      <c r="B342" s="152"/>
      <c r="C342" s="153" t="s">
        <v>900</v>
      </c>
      <c r="D342" s="153" t="s">
        <v>181</v>
      </c>
      <c r="E342" s="154" t="s">
        <v>2490</v>
      </c>
      <c r="F342" s="155" t="s">
        <v>2491</v>
      </c>
      <c r="G342" s="156" t="s">
        <v>1202</v>
      </c>
      <c r="H342" s="157">
        <v>2</v>
      </c>
      <c r="I342" s="158"/>
      <c r="J342" s="151">
        <v>0</v>
      </c>
      <c r="K342" s="160"/>
      <c r="L342" s="30"/>
      <c r="M342" s="161" t="s">
        <v>1</v>
      </c>
      <c r="N342" s="162" t="s">
        <v>35</v>
      </c>
      <c r="O342" s="58"/>
      <c r="P342" s="163">
        <f t="shared" si="63"/>
        <v>0</v>
      </c>
      <c r="Q342" s="163">
        <v>1.4189999999999999E-2</v>
      </c>
      <c r="R342" s="163">
        <f t="shared" si="64"/>
        <v>2.8379999999999999E-2</v>
      </c>
      <c r="S342" s="163">
        <v>0</v>
      </c>
      <c r="T342" s="164">
        <f t="shared" si="65"/>
        <v>0</v>
      </c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R342" s="165" t="s">
        <v>213</v>
      </c>
      <c r="AT342" s="165" t="s">
        <v>181</v>
      </c>
      <c r="AU342" s="165" t="s">
        <v>82</v>
      </c>
      <c r="AY342" s="14" t="s">
        <v>179</v>
      </c>
      <c r="BE342" s="166">
        <f t="shared" si="66"/>
        <v>0</v>
      </c>
      <c r="BF342" s="166">
        <f t="shared" si="67"/>
        <v>0</v>
      </c>
      <c r="BG342" s="166">
        <f t="shared" si="68"/>
        <v>0</v>
      </c>
      <c r="BH342" s="166">
        <f t="shared" si="69"/>
        <v>0</v>
      </c>
      <c r="BI342" s="166">
        <f t="shared" si="70"/>
        <v>0</v>
      </c>
      <c r="BJ342" s="14" t="s">
        <v>82</v>
      </c>
      <c r="BK342" s="166">
        <f t="shared" si="71"/>
        <v>0</v>
      </c>
      <c r="BL342" s="14" t="s">
        <v>213</v>
      </c>
      <c r="BM342" s="165" t="s">
        <v>1775</v>
      </c>
    </row>
    <row r="343" spans="1:65" s="2" customFormat="1" ht="24.2" customHeight="1">
      <c r="A343" s="29"/>
      <c r="B343" s="152"/>
      <c r="C343" s="153" t="s">
        <v>553</v>
      </c>
      <c r="D343" s="153" t="s">
        <v>181</v>
      </c>
      <c r="E343" s="154" t="s">
        <v>2492</v>
      </c>
      <c r="F343" s="155" t="s">
        <v>2493</v>
      </c>
      <c r="G343" s="156" t="s">
        <v>1202</v>
      </c>
      <c r="H343" s="157">
        <v>4</v>
      </c>
      <c r="I343" s="158"/>
      <c r="J343" s="151">
        <v>0</v>
      </c>
      <c r="K343" s="160"/>
      <c r="L343" s="30"/>
      <c r="M343" s="161" t="s">
        <v>1</v>
      </c>
      <c r="N343" s="162" t="s">
        <v>35</v>
      </c>
      <c r="O343" s="58"/>
      <c r="P343" s="163">
        <f t="shared" si="63"/>
        <v>0</v>
      </c>
      <c r="Q343" s="163">
        <v>2.18525E-2</v>
      </c>
      <c r="R343" s="163">
        <f t="shared" si="64"/>
        <v>8.7410000000000002E-2</v>
      </c>
      <c r="S343" s="163">
        <v>0</v>
      </c>
      <c r="T343" s="164">
        <f t="shared" si="65"/>
        <v>0</v>
      </c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R343" s="165" t="s">
        <v>213</v>
      </c>
      <c r="AT343" s="165" t="s">
        <v>181</v>
      </c>
      <c r="AU343" s="165" t="s">
        <v>82</v>
      </c>
      <c r="AY343" s="14" t="s">
        <v>179</v>
      </c>
      <c r="BE343" s="166">
        <f t="shared" si="66"/>
        <v>0</v>
      </c>
      <c r="BF343" s="166">
        <f t="shared" si="67"/>
        <v>0</v>
      </c>
      <c r="BG343" s="166">
        <f t="shared" si="68"/>
        <v>0</v>
      </c>
      <c r="BH343" s="166">
        <f t="shared" si="69"/>
        <v>0</v>
      </c>
      <c r="BI343" s="166">
        <f t="shared" si="70"/>
        <v>0</v>
      </c>
      <c r="BJ343" s="14" t="s">
        <v>82</v>
      </c>
      <c r="BK343" s="166">
        <f t="shared" si="71"/>
        <v>0</v>
      </c>
      <c r="BL343" s="14" t="s">
        <v>213</v>
      </c>
      <c r="BM343" s="165" t="s">
        <v>1778</v>
      </c>
    </row>
    <row r="344" spans="1:65" s="2" customFormat="1" ht="24.2" customHeight="1">
      <c r="A344" s="29"/>
      <c r="B344" s="152"/>
      <c r="C344" s="167" t="s">
        <v>907</v>
      </c>
      <c r="D344" s="167" t="s">
        <v>202</v>
      </c>
      <c r="E344" s="168" t="s">
        <v>2494</v>
      </c>
      <c r="F344" s="169" t="s">
        <v>2495</v>
      </c>
      <c r="G344" s="170" t="s">
        <v>217</v>
      </c>
      <c r="H344" s="171">
        <v>4</v>
      </c>
      <c r="I344" s="172"/>
      <c r="J344" s="151">
        <v>0</v>
      </c>
      <c r="K344" s="174"/>
      <c r="L344" s="175"/>
      <c r="M344" s="176" t="s">
        <v>1</v>
      </c>
      <c r="N344" s="177" t="s">
        <v>35</v>
      </c>
      <c r="O344" s="58"/>
      <c r="P344" s="163">
        <f t="shared" si="63"/>
        <v>0</v>
      </c>
      <c r="Q344" s="163">
        <v>1.0160000000000001E-2</v>
      </c>
      <c r="R344" s="163">
        <f t="shared" si="64"/>
        <v>4.0640000000000003E-2</v>
      </c>
      <c r="S344" s="163">
        <v>0</v>
      </c>
      <c r="T344" s="164">
        <f t="shared" si="65"/>
        <v>0</v>
      </c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R344" s="165" t="s">
        <v>242</v>
      </c>
      <c r="AT344" s="165" t="s">
        <v>202</v>
      </c>
      <c r="AU344" s="165" t="s">
        <v>82</v>
      </c>
      <c r="AY344" s="14" t="s">
        <v>179</v>
      </c>
      <c r="BE344" s="166">
        <f t="shared" si="66"/>
        <v>0</v>
      </c>
      <c r="BF344" s="166">
        <f t="shared" si="67"/>
        <v>0</v>
      </c>
      <c r="BG344" s="166">
        <f t="shared" si="68"/>
        <v>0</v>
      </c>
      <c r="BH344" s="166">
        <f t="shared" si="69"/>
        <v>0</v>
      </c>
      <c r="BI344" s="166">
        <f t="shared" si="70"/>
        <v>0</v>
      </c>
      <c r="BJ344" s="14" t="s">
        <v>82</v>
      </c>
      <c r="BK344" s="166">
        <f t="shared" si="71"/>
        <v>0</v>
      </c>
      <c r="BL344" s="14" t="s">
        <v>213</v>
      </c>
      <c r="BM344" s="165" t="s">
        <v>1781</v>
      </c>
    </row>
    <row r="345" spans="1:65" s="2" customFormat="1" ht="24.2" customHeight="1">
      <c r="A345" s="29"/>
      <c r="B345" s="152"/>
      <c r="C345" s="167" t="s">
        <v>560</v>
      </c>
      <c r="D345" s="167" t="s">
        <v>202</v>
      </c>
      <c r="E345" s="168" t="s">
        <v>2496</v>
      </c>
      <c r="F345" s="169" t="s">
        <v>2497</v>
      </c>
      <c r="G345" s="170" t="s">
        <v>217</v>
      </c>
      <c r="H345" s="171">
        <v>11</v>
      </c>
      <c r="I345" s="172"/>
      <c r="J345" s="151">
        <v>0</v>
      </c>
      <c r="K345" s="174"/>
      <c r="L345" s="175"/>
      <c r="M345" s="176" t="s">
        <v>1</v>
      </c>
      <c r="N345" s="177" t="s">
        <v>35</v>
      </c>
      <c r="O345" s="58"/>
      <c r="P345" s="163">
        <f t="shared" si="63"/>
        <v>0</v>
      </c>
      <c r="Q345" s="163">
        <v>1.0160000000000001E-2</v>
      </c>
      <c r="R345" s="163">
        <f t="shared" si="64"/>
        <v>0.11176000000000001</v>
      </c>
      <c r="S345" s="163">
        <v>0</v>
      </c>
      <c r="T345" s="164">
        <f t="shared" si="65"/>
        <v>0</v>
      </c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R345" s="165" t="s">
        <v>242</v>
      </c>
      <c r="AT345" s="165" t="s">
        <v>202</v>
      </c>
      <c r="AU345" s="165" t="s">
        <v>82</v>
      </c>
      <c r="AY345" s="14" t="s">
        <v>179</v>
      </c>
      <c r="BE345" s="166">
        <f t="shared" si="66"/>
        <v>0</v>
      </c>
      <c r="BF345" s="166">
        <f t="shared" si="67"/>
        <v>0</v>
      </c>
      <c r="BG345" s="166">
        <f t="shared" si="68"/>
        <v>0</v>
      </c>
      <c r="BH345" s="166">
        <f t="shared" si="69"/>
        <v>0</v>
      </c>
      <c r="BI345" s="166">
        <f t="shared" si="70"/>
        <v>0</v>
      </c>
      <c r="BJ345" s="14" t="s">
        <v>82</v>
      </c>
      <c r="BK345" s="166">
        <f t="shared" si="71"/>
        <v>0</v>
      </c>
      <c r="BL345" s="14" t="s">
        <v>213</v>
      </c>
      <c r="BM345" s="165" t="s">
        <v>2498</v>
      </c>
    </row>
    <row r="346" spans="1:65" s="2" customFormat="1" ht="24.2" customHeight="1">
      <c r="A346" s="29"/>
      <c r="B346" s="152"/>
      <c r="C346" s="167" t="s">
        <v>916</v>
      </c>
      <c r="D346" s="167" t="s">
        <v>202</v>
      </c>
      <c r="E346" s="168" t="s">
        <v>2499</v>
      </c>
      <c r="F346" s="169" t="s">
        <v>2500</v>
      </c>
      <c r="G346" s="170" t="s">
        <v>217</v>
      </c>
      <c r="H346" s="171">
        <v>14</v>
      </c>
      <c r="I346" s="172"/>
      <c r="J346" s="151">
        <v>0</v>
      </c>
      <c r="K346" s="174"/>
      <c r="L346" s="175"/>
      <c r="M346" s="176" t="s">
        <v>1</v>
      </c>
      <c r="N346" s="177" t="s">
        <v>35</v>
      </c>
      <c r="O346" s="58"/>
      <c r="P346" s="163">
        <f t="shared" si="63"/>
        <v>0</v>
      </c>
      <c r="Q346" s="163">
        <v>1.0160000000000001E-2</v>
      </c>
      <c r="R346" s="163">
        <f t="shared" si="64"/>
        <v>0.14224000000000001</v>
      </c>
      <c r="S346" s="163">
        <v>0</v>
      </c>
      <c r="T346" s="164">
        <f t="shared" si="65"/>
        <v>0</v>
      </c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R346" s="165" t="s">
        <v>242</v>
      </c>
      <c r="AT346" s="165" t="s">
        <v>202</v>
      </c>
      <c r="AU346" s="165" t="s">
        <v>82</v>
      </c>
      <c r="AY346" s="14" t="s">
        <v>179</v>
      </c>
      <c r="BE346" s="166">
        <f t="shared" si="66"/>
        <v>0</v>
      </c>
      <c r="BF346" s="166">
        <f t="shared" si="67"/>
        <v>0</v>
      </c>
      <c r="BG346" s="166">
        <f t="shared" si="68"/>
        <v>0</v>
      </c>
      <c r="BH346" s="166">
        <f t="shared" si="69"/>
        <v>0</v>
      </c>
      <c r="BI346" s="166">
        <f t="shared" si="70"/>
        <v>0</v>
      </c>
      <c r="BJ346" s="14" t="s">
        <v>82</v>
      </c>
      <c r="BK346" s="166">
        <f t="shared" si="71"/>
        <v>0</v>
      </c>
      <c r="BL346" s="14" t="s">
        <v>213</v>
      </c>
      <c r="BM346" s="165" t="s">
        <v>2501</v>
      </c>
    </row>
    <row r="347" spans="1:65" s="2" customFormat="1" ht="24.2" customHeight="1">
      <c r="A347" s="29"/>
      <c r="B347" s="152"/>
      <c r="C347" s="167" t="s">
        <v>567</v>
      </c>
      <c r="D347" s="167" t="s">
        <v>202</v>
      </c>
      <c r="E347" s="168" t="s">
        <v>2502</v>
      </c>
      <c r="F347" s="169" t="s">
        <v>2503</v>
      </c>
      <c r="G347" s="170" t="s">
        <v>217</v>
      </c>
      <c r="H347" s="171">
        <v>5</v>
      </c>
      <c r="I347" s="172"/>
      <c r="J347" s="151">
        <v>0</v>
      </c>
      <c r="K347" s="174"/>
      <c r="L347" s="175"/>
      <c r="M347" s="176" t="s">
        <v>1</v>
      </c>
      <c r="N347" s="177" t="s">
        <v>35</v>
      </c>
      <c r="O347" s="58"/>
      <c r="P347" s="163">
        <f t="shared" si="63"/>
        <v>0</v>
      </c>
      <c r="Q347" s="163">
        <v>1.0160000000000001E-2</v>
      </c>
      <c r="R347" s="163">
        <f t="shared" si="64"/>
        <v>5.0800000000000005E-2</v>
      </c>
      <c r="S347" s="163">
        <v>0</v>
      </c>
      <c r="T347" s="164">
        <f t="shared" si="65"/>
        <v>0</v>
      </c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R347" s="165" t="s">
        <v>242</v>
      </c>
      <c r="AT347" s="165" t="s">
        <v>202</v>
      </c>
      <c r="AU347" s="165" t="s">
        <v>82</v>
      </c>
      <c r="AY347" s="14" t="s">
        <v>179</v>
      </c>
      <c r="BE347" s="166">
        <f t="shared" si="66"/>
        <v>0</v>
      </c>
      <c r="BF347" s="166">
        <f t="shared" si="67"/>
        <v>0</v>
      </c>
      <c r="BG347" s="166">
        <f t="shared" si="68"/>
        <v>0</v>
      </c>
      <c r="BH347" s="166">
        <f t="shared" si="69"/>
        <v>0</v>
      </c>
      <c r="BI347" s="166">
        <f t="shared" si="70"/>
        <v>0</v>
      </c>
      <c r="BJ347" s="14" t="s">
        <v>82</v>
      </c>
      <c r="BK347" s="166">
        <f t="shared" si="71"/>
        <v>0</v>
      </c>
      <c r="BL347" s="14" t="s">
        <v>213</v>
      </c>
      <c r="BM347" s="165" t="s">
        <v>2504</v>
      </c>
    </row>
    <row r="348" spans="1:65" s="2" customFormat="1" ht="24.2" customHeight="1">
      <c r="A348" s="29"/>
      <c r="B348" s="152"/>
      <c r="C348" s="167" t="s">
        <v>925</v>
      </c>
      <c r="D348" s="167" t="s">
        <v>202</v>
      </c>
      <c r="E348" s="168" t="s">
        <v>2505</v>
      </c>
      <c r="F348" s="169" t="s">
        <v>2506</v>
      </c>
      <c r="G348" s="170" t="s">
        <v>217</v>
      </c>
      <c r="H348" s="171">
        <v>9</v>
      </c>
      <c r="I348" s="172"/>
      <c r="J348" s="151">
        <v>0</v>
      </c>
      <c r="K348" s="174"/>
      <c r="L348" s="175"/>
      <c r="M348" s="176" t="s">
        <v>1</v>
      </c>
      <c r="N348" s="177" t="s">
        <v>35</v>
      </c>
      <c r="O348" s="58"/>
      <c r="P348" s="163">
        <f t="shared" si="63"/>
        <v>0</v>
      </c>
      <c r="Q348" s="163">
        <v>1.0160000000000001E-2</v>
      </c>
      <c r="R348" s="163">
        <f t="shared" si="64"/>
        <v>9.1440000000000007E-2</v>
      </c>
      <c r="S348" s="163">
        <v>0</v>
      </c>
      <c r="T348" s="164">
        <f t="shared" si="65"/>
        <v>0</v>
      </c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R348" s="165" t="s">
        <v>242</v>
      </c>
      <c r="AT348" s="165" t="s">
        <v>202</v>
      </c>
      <c r="AU348" s="165" t="s">
        <v>82</v>
      </c>
      <c r="AY348" s="14" t="s">
        <v>179</v>
      </c>
      <c r="BE348" s="166">
        <f t="shared" si="66"/>
        <v>0</v>
      </c>
      <c r="BF348" s="166">
        <f t="shared" si="67"/>
        <v>0</v>
      </c>
      <c r="BG348" s="166">
        <f t="shared" si="68"/>
        <v>0</v>
      </c>
      <c r="BH348" s="166">
        <f t="shared" si="69"/>
        <v>0</v>
      </c>
      <c r="BI348" s="166">
        <f t="shared" si="70"/>
        <v>0</v>
      </c>
      <c r="BJ348" s="14" t="s">
        <v>82</v>
      </c>
      <c r="BK348" s="166">
        <f t="shared" si="71"/>
        <v>0</v>
      </c>
      <c r="BL348" s="14" t="s">
        <v>213</v>
      </c>
      <c r="BM348" s="165" t="s">
        <v>2507</v>
      </c>
    </row>
    <row r="349" spans="1:65" s="2" customFormat="1" ht="16.5" customHeight="1">
      <c r="A349" s="29"/>
      <c r="B349" s="152"/>
      <c r="C349" s="167" t="s">
        <v>571</v>
      </c>
      <c r="D349" s="167" t="s">
        <v>202</v>
      </c>
      <c r="E349" s="168" t="s">
        <v>2508</v>
      </c>
      <c r="F349" s="169" t="s">
        <v>2509</v>
      </c>
      <c r="G349" s="170" t="s">
        <v>217</v>
      </c>
      <c r="H349" s="171">
        <v>1</v>
      </c>
      <c r="I349" s="172"/>
      <c r="J349" s="151">
        <v>0</v>
      </c>
      <c r="K349" s="174"/>
      <c r="L349" s="175"/>
      <c r="M349" s="176" t="s">
        <v>1</v>
      </c>
      <c r="N349" s="177" t="s">
        <v>35</v>
      </c>
      <c r="O349" s="58"/>
      <c r="P349" s="163">
        <f t="shared" si="63"/>
        <v>0</v>
      </c>
      <c r="Q349" s="163">
        <v>1.0160000000000001E-2</v>
      </c>
      <c r="R349" s="163">
        <f t="shared" si="64"/>
        <v>1.0160000000000001E-2</v>
      </c>
      <c r="S349" s="163">
        <v>0</v>
      </c>
      <c r="T349" s="164">
        <f t="shared" si="65"/>
        <v>0</v>
      </c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R349" s="165" t="s">
        <v>242</v>
      </c>
      <c r="AT349" s="165" t="s">
        <v>202</v>
      </c>
      <c r="AU349" s="165" t="s">
        <v>82</v>
      </c>
      <c r="AY349" s="14" t="s">
        <v>179</v>
      </c>
      <c r="BE349" s="166">
        <f t="shared" si="66"/>
        <v>0</v>
      </c>
      <c r="BF349" s="166">
        <f t="shared" si="67"/>
        <v>0</v>
      </c>
      <c r="BG349" s="166">
        <f t="shared" si="68"/>
        <v>0</v>
      </c>
      <c r="BH349" s="166">
        <f t="shared" si="69"/>
        <v>0</v>
      </c>
      <c r="BI349" s="166">
        <f t="shared" si="70"/>
        <v>0</v>
      </c>
      <c r="BJ349" s="14" t="s">
        <v>82</v>
      </c>
      <c r="BK349" s="166">
        <f t="shared" si="71"/>
        <v>0</v>
      </c>
      <c r="BL349" s="14" t="s">
        <v>213</v>
      </c>
      <c r="BM349" s="165" t="s">
        <v>2510</v>
      </c>
    </row>
    <row r="350" spans="1:65" s="2" customFormat="1" ht="16.5" customHeight="1">
      <c r="A350" s="29"/>
      <c r="B350" s="152"/>
      <c r="C350" s="167" t="s">
        <v>932</v>
      </c>
      <c r="D350" s="167" t="s">
        <v>202</v>
      </c>
      <c r="E350" s="168" t="s">
        <v>2511</v>
      </c>
      <c r="F350" s="169" t="s">
        <v>2512</v>
      </c>
      <c r="G350" s="170" t="s">
        <v>217</v>
      </c>
      <c r="H350" s="171">
        <v>1</v>
      </c>
      <c r="I350" s="172"/>
      <c r="J350" s="151">
        <v>0</v>
      </c>
      <c r="K350" s="174"/>
      <c r="L350" s="175"/>
      <c r="M350" s="176" t="s">
        <v>1</v>
      </c>
      <c r="N350" s="177" t="s">
        <v>35</v>
      </c>
      <c r="O350" s="58"/>
      <c r="P350" s="163">
        <f t="shared" si="63"/>
        <v>0</v>
      </c>
      <c r="Q350" s="163">
        <v>1.0160000000000001E-2</v>
      </c>
      <c r="R350" s="163">
        <f t="shared" si="64"/>
        <v>1.0160000000000001E-2</v>
      </c>
      <c r="S350" s="163">
        <v>0</v>
      </c>
      <c r="T350" s="164">
        <f t="shared" si="65"/>
        <v>0</v>
      </c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R350" s="165" t="s">
        <v>242</v>
      </c>
      <c r="AT350" s="165" t="s">
        <v>202</v>
      </c>
      <c r="AU350" s="165" t="s">
        <v>82</v>
      </c>
      <c r="AY350" s="14" t="s">
        <v>179</v>
      </c>
      <c r="BE350" s="166">
        <f t="shared" si="66"/>
        <v>0</v>
      </c>
      <c r="BF350" s="166">
        <f t="shared" si="67"/>
        <v>0</v>
      </c>
      <c r="BG350" s="166">
        <f t="shared" si="68"/>
        <v>0</v>
      </c>
      <c r="BH350" s="166">
        <f t="shared" si="69"/>
        <v>0</v>
      </c>
      <c r="BI350" s="166">
        <f t="shared" si="70"/>
        <v>0</v>
      </c>
      <c r="BJ350" s="14" t="s">
        <v>82</v>
      </c>
      <c r="BK350" s="166">
        <f t="shared" si="71"/>
        <v>0</v>
      </c>
      <c r="BL350" s="14" t="s">
        <v>213</v>
      </c>
      <c r="BM350" s="165" t="s">
        <v>2513</v>
      </c>
    </row>
    <row r="351" spans="1:65" s="2" customFormat="1" ht="16.5" customHeight="1">
      <c r="A351" s="29"/>
      <c r="B351" s="152"/>
      <c r="C351" s="167" t="s">
        <v>575</v>
      </c>
      <c r="D351" s="167" t="s">
        <v>202</v>
      </c>
      <c r="E351" s="168" t="s">
        <v>2514</v>
      </c>
      <c r="F351" s="169" t="s">
        <v>2515</v>
      </c>
      <c r="G351" s="170" t="s">
        <v>217</v>
      </c>
      <c r="H351" s="171">
        <v>1</v>
      </c>
      <c r="I351" s="172"/>
      <c r="J351" s="151">
        <v>0</v>
      </c>
      <c r="K351" s="174"/>
      <c r="L351" s="175"/>
      <c r="M351" s="176" t="s">
        <v>1</v>
      </c>
      <c r="N351" s="177" t="s">
        <v>35</v>
      </c>
      <c r="O351" s="58"/>
      <c r="P351" s="163">
        <f t="shared" si="63"/>
        <v>0</v>
      </c>
      <c r="Q351" s="163">
        <v>1.0160000000000001E-2</v>
      </c>
      <c r="R351" s="163">
        <f t="shared" si="64"/>
        <v>1.0160000000000001E-2</v>
      </c>
      <c r="S351" s="163">
        <v>0</v>
      </c>
      <c r="T351" s="164">
        <f t="shared" si="65"/>
        <v>0</v>
      </c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R351" s="165" t="s">
        <v>242</v>
      </c>
      <c r="AT351" s="165" t="s">
        <v>202</v>
      </c>
      <c r="AU351" s="165" t="s">
        <v>82</v>
      </c>
      <c r="AY351" s="14" t="s">
        <v>179</v>
      </c>
      <c r="BE351" s="166">
        <f t="shared" si="66"/>
        <v>0</v>
      </c>
      <c r="BF351" s="166">
        <f t="shared" si="67"/>
        <v>0</v>
      </c>
      <c r="BG351" s="166">
        <f t="shared" si="68"/>
        <v>0</v>
      </c>
      <c r="BH351" s="166">
        <f t="shared" si="69"/>
        <v>0</v>
      </c>
      <c r="BI351" s="166">
        <f t="shared" si="70"/>
        <v>0</v>
      </c>
      <c r="BJ351" s="14" t="s">
        <v>82</v>
      </c>
      <c r="BK351" s="166">
        <f t="shared" si="71"/>
        <v>0</v>
      </c>
      <c r="BL351" s="14" t="s">
        <v>213</v>
      </c>
      <c r="BM351" s="165" t="s">
        <v>2516</v>
      </c>
    </row>
    <row r="352" spans="1:65" s="2" customFormat="1" ht="16.5" customHeight="1">
      <c r="A352" s="29"/>
      <c r="B352" s="152"/>
      <c r="C352" s="167" t="s">
        <v>941</v>
      </c>
      <c r="D352" s="167" t="s">
        <v>202</v>
      </c>
      <c r="E352" s="168" t="s">
        <v>2517</v>
      </c>
      <c r="F352" s="169" t="s">
        <v>2518</v>
      </c>
      <c r="G352" s="170" t="s">
        <v>217</v>
      </c>
      <c r="H352" s="171">
        <v>1</v>
      </c>
      <c r="I352" s="172"/>
      <c r="J352" s="151">
        <v>0</v>
      </c>
      <c r="K352" s="174"/>
      <c r="L352" s="175"/>
      <c r="M352" s="176" t="s">
        <v>1</v>
      </c>
      <c r="N352" s="177" t="s">
        <v>35</v>
      </c>
      <c r="O352" s="58"/>
      <c r="P352" s="163">
        <f t="shared" si="63"/>
        <v>0</v>
      </c>
      <c r="Q352" s="163">
        <v>1.0160000000000001E-2</v>
      </c>
      <c r="R352" s="163">
        <f t="shared" si="64"/>
        <v>1.0160000000000001E-2</v>
      </c>
      <c r="S352" s="163">
        <v>0</v>
      </c>
      <c r="T352" s="164">
        <f t="shared" si="65"/>
        <v>0</v>
      </c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R352" s="165" t="s">
        <v>242</v>
      </c>
      <c r="AT352" s="165" t="s">
        <v>202</v>
      </c>
      <c r="AU352" s="165" t="s">
        <v>82</v>
      </c>
      <c r="AY352" s="14" t="s">
        <v>179</v>
      </c>
      <c r="BE352" s="166">
        <f t="shared" si="66"/>
        <v>0</v>
      </c>
      <c r="BF352" s="166">
        <f t="shared" si="67"/>
        <v>0</v>
      </c>
      <c r="BG352" s="166">
        <f t="shared" si="68"/>
        <v>0</v>
      </c>
      <c r="BH352" s="166">
        <f t="shared" si="69"/>
        <v>0</v>
      </c>
      <c r="BI352" s="166">
        <f t="shared" si="70"/>
        <v>0</v>
      </c>
      <c r="BJ352" s="14" t="s">
        <v>82</v>
      </c>
      <c r="BK352" s="166">
        <f t="shared" si="71"/>
        <v>0</v>
      </c>
      <c r="BL352" s="14" t="s">
        <v>213</v>
      </c>
      <c r="BM352" s="165" t="s">
        <v>2519</v>
      </c>
    </row>
    <row r="353" spans="1:65" s="2" customFormat="1" ht="37.9" customHeight="1">
      <c r="A353" s="29"/>
      <c r="B353" s="152"/>
      <c r="C353" s="167" t="s">
        <v>577</v>
      </c>
      <c r="D353" s="167" t="s">
        <v>202</v>
      </c>
      <c r="E353" s="168" t="s">
        <v>2520</v>
      </c>
      <c r="F353" s="338" t="s">
        <v>3455</v>
      </c>
      <c r="G353" s="170" t="s">
        <v>217</v>
      </c>
      <c r="H353" s="171">
        <v>4</v>
      </c>
      <c r="I353" s="172"/>
      <c r="J353" s="151">
        <v>0</v>
      </c>
      <c r="K353" s="174"/>
      <c r="L353" s="175"/>
      <c r="M353" s="176" t="s">
        <v>1</v>
      </c>
      <c r="N353" s="177" t="s">
        <v>35</v>
      </c>
      <c r="O353" s="58"/>
      <c r="P353" s="163">
        <f t="shared" si="63"/>
        <v>0</v>
      </c>
      <c r="Q353" s="163">
        <v>1.0160000000000001E-2</v>
      </c>
      <c r="R353" s="163">
        <f t="shared" si="64"/>
        <v>4.0640000000000003E-2</v>
      </c>
      <c r="S353" s="163">
        <v>0</v>
      </c>
      <c r="T353" s="164">
        <f t="shared" si="65"/>
        <v>0</v>
      </c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R353" s="165" t="s">
        <v>242</v>
      </c>
      <c r="AT353" s="165" t="s">
        <v>202</v>
      </c>
      <c r="AU353" s="165" t="s">
        <v>82</v>
      </c>
      <c r="AY353" s="14" t="s">
        <v>179</v>
      </c>
      <c r="BE353" s="166">
        <f t="shared" si="66"/>
        <v>0</v>
      </c>
      <c r="BF353" s="166">
        <f t="shared" si="67"/>
        <v>0</v>
      </c>
      <c r="BG353" s="166">
        <f t="shared" si="68"/>
        <v>0</v>
      </c>
      <c r="BH353" s="166">
        <f t="shared" si="69"/>
        <v>0</v>
      </c>
      <c r="BI353" s="166">
        <f t="shared" si="70"/>
        <v>0</v>
      </c>
      <c r="BJ353" s="14" t="s">
        <v>82</v>
      </c>
      <c r="BK353" s="166">
        <f t="shared" si="71"/>
        <v>0</v>
      </c>
      <c r="BL353" s="14" t="s">
        <v>213</v>
      </c>
      <c r="BM353" s="165" t="s">
        <v>2521</v>
      </c>
    </row>
    <row r="354" spans="1:65" s="2" customFormat="1" ht="24.2" customHeight="1">
      <c r="A354" s="29"/>
      <c r="B354" s="152"/>
      <c r="C354" s="167" t="s">
        <v>948</v>
      </c>
      <c r="D354" s="167" t="s">
        <v>202</v>
      </c>
      <c r="E354" s="168" t="s">
        <v>2522</v>
      </c>
      <c r="F354" s="338" t="s">
        <v>3456</v>
      </c>
      <c r="G354" s="170" t="s">
        <v>217</v>
      </c>
      <c r="H354" s="171">
        <v>5</v>
      </c>
      <c r="I354" s="172"/>
      <c r="J354" s="151">
        <v>0</v>
      </c>
      <c r="K354" s="174"/>
      <c r="L354" s="175"/>
      <c r="M354" s="176" t="s">
        <v>1</v>
      </c>
      <c r="N354" s="177" t="s">
        <v>35</v>
      </c>
      <c r="O354" s="58"/>
      <c r="P354" s="163">
        <f t="shared" si="63"/>
        <v>0</v>
      </c>
      <c r="Q354" s="163">
        <v>1.0160000000000001E-2</v>
      </c>
      <c r="R354" s="163">
        <f t="shared" si="64"/>
        <v>5.0800000000000005E-2</v>
      </c>
      <c r="S354" s="163">
        <v>0</v>
      </c>
      <c r="T354" s="164">
        <f t="shared" si="65"/>
        <v>0</v>
      </c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R354" s="165" t="s">
        <v>242</v>
      </c>
      <c r="AT354" s="165" t="s">
        <v>202</v>
      </c>
      <c r="AU354" s="165" t="s">
        <v>82</v>
      </c>
      <c r="AY354" s="14" t="s">
        <v>179</v>
      </c>
      <c r="BE354" s="166">
        <f t="shared" si="66"/>
        <v>0</v>
      </c>
      <c r="BF354" s="166">
        <f t="shared" si="67"/>
        <v>0</v>
      </c>
      <c r="BG354" s="166">
        <f t="shared" si="68"/>
        <v>0</v>
      </c>
      <c r="BH354" s="166">
        <f t="shared" si="69"/>
        <v>0</v>
      </c>
      <c r="BI354" s="166">
        <f t="shared" si="70"/>
        <v>0</v>
      </c>
      <c r="BJ354" s="14" t="s">
        <v>82</v>
      </c>
      <c r="BK354" s="166">
        <f t="shared" si="71"/>
        <v>0</v>
      </c>
      <c r="BL354" s="14" t="s">
        <v>213</v>
      </c>
      <c r="BM354" s="165" t="s">
        <v>2523</v>
      </c>
    </row>
    <row r="355" spans="1:65" s="2" customFormat="1" ht="16.5" customHeight="1">
      <c r="A355" s="29"/>
      <c r="B355" s="152"/>
      <c r="C355" s="153" t="s">
        <v>578</v>
      </c>
      <c r="D355" s="153" t="s">
        <v>181</v>
      </c>
      <c r="E355" s="154" t="s">
        <v>2524</v>
      </c>
      <c r="F355" s="155" t="s">
        <v>2525</v>
      </c>
      <c r="G355" s="156" t="s">
        <v>217</v>
      </c>
      <c r="H355" s="157">
        <v>65</v>
      </c>
      <c r="I355" s="158"/>
      <c r="J355" s="151">
        <v>0</v>
      </c>
      <c r="K355" s="160"/>
      <c r="L355" s="30"/>
      <c r="M355" s="161" t="s">
        <v>1</v>
      </c>
      <c r="N355" s="162" t="s">
        <v>35</v>
      </c>
      <c r="O355" s="58"/>
      <c r="P355" s="163">
        <f t="shared" si="63"/>
        <v>0</v>
      </c>
      <c r="Q355" s="163">
        <v>3.0000000000000001E-5</v>
      </c>
      <c r="R355" s="163">
        <f t="shared" si="64"/>
        <v>1.9500000000000001E-3</v>
      </c>
      <c r="S355" s="163">
        <v>0</v>
      </c>
      <c r="T355" s="164">
        <f t="shared" si="65"/>
        <v>0</v>
      </c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R355" s="165" t="s">
        <v>213</v>
      </c>
      <c r="AT355" s="165" t="s">
        <v>181</v>
      </c>
      <c r="AU355" s="165" t="s">
        <v>82</v>
      </c>
      <c r="AY355" s="14" t="s">
        <v>179</v>
      </c>
      <c r="BE355" s="166">
        <f t="shared" si="66"/>
        <v>0</v>
      </c>
      <c r="BF355" s="166">
        <f t="shared" si="67"/>
        <v>0</v>
      </c>
      <c r="BG355" s="166">
        <f t="shared" si="68"/>
        <v>0</v>
      </c>
      <c r="BH355" s="166">
        <f t="shared" si="69"/>
        <v>0</v>
      </c>
      <c r="BI355" s="166">
        <f t="shared" si="70"/>
        <v>0</v>
      </c>
      <c r="BJ355" s="14" t="s">
        <v>82</v>
      </c>
      <c r="BK355" s="166">
        <f t="shared" si="71"/>
        <v>0</v>
      </c>
      <c r="BL355" s="14" t="s">
        <v>213</v>
      </c>
      <c r="BM355" s="165" t="s">
        <v>2526</v>
      </c>
    </row>
    <row r="356" spans="1:65" s="2" customFormat="1" ht="16.5" customHeight="1">
      <c r="A356" s="29"/>
      <c r="B356" s="152"/>
      <c r="C356" s="153" t="s">
        <v>957</v>
      </c>
      <c r="D356" s="153" t="s">
        <v>181</v>
      </c>
      <c r="E356" s="154" t="s">
        <v>2527</v>
      </c>
      <c r="F356" s="155" t="s">
        <v>2528</v>
      </c>
      <c r="G356" s="156" t="s">
        <v>217</v>
      </c>
      <c r="H356" s="157">
        <v>16</v>
      </c>
      <c r="I356" s="158"/>
      <c r="J356" s="151">
        <v>0</v>
      </c>
      <c r="K356" s="160"/>
      <c r="L356" s="30"/>
      <c r="M356" s="161" t="s">
        <v>1</v>
      </c>
      <c r="N356" s="162" t="s">
        <v>35</v>
      </c>
      <c r="O356" s="58"/>
      <c r="P356" s="163">
        <f t="shared" si="63"/>
        <v>0</v>
      </c>
      <c r="Q356" s="163">
        <v>3.0000000000000001E-5</v>
      </c>
      <c r="R356" s="163">
        <f t="shared" si="64"/>
        <v>4.8000000000000001E-4</v>
      </c>
      <c r="S356" s="163">
        <v>0</v>
      </c>
      <c r="T356" s="164">
        <f t="shared" si="65"/>
        <v>0</v>
      </c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R356" s="165" t="s">
        <v>213</v>
      </c>
      <c r="AT356" s="165" t="s">
        <v>181</v>
      </c>
      <c r="AU356" s="165" t="s">
        <v>82</v>
      </c>
      <c r="AY356" s="14" t="s">
        <v>179</v>
      </c>
      <c r="BE356" s="166">
        <f t="shared" si="66"/>
        <v>0</v>
      </c>
      <c r="BF356" s="166">
        <f t="shared" si="67"/>
        <v>0</v>
      </c>
      <c r="BG356" s="166">
        <f t="shared" si="68"/>
        <v>0</v>
      </c>
      <c r="BH356" s="166">
        <f t="shared" si="69"/>
        <v>0</v>
      </c>
      <c r="BI356" s="166">
        <f t="shared" si="70"/>
        <v>0</v>
      </c>
      <c r="BJ356" s="14" t="s">
        <v>82</v>
      </c>
      <c r="BK356" s="166">
        <f t="shared" si="71"/>
        <v>0</v>
      </c>
      <c r="BL356" s="14" t="s">
        <v>213</v>
      </c>
      <c r="BM356" s="165" t="s">
        <v>2529</v>
      </c>
    </row>
    <row r="357" spans="1:65" s="2" customFormat="1" ht="21.75" customHeight="1">
      <c r="A357" s="29"/>
      <c r="B357" s="152"/>
      <c r="C357" s="167" t="s">
        <v>586</v>
      </c>
      <c r="D357" s="167" t="s">
        <v>202</v>
      </c>
      <c r="E357" s="168" t="s">
        <v>2530</v>
      </c>
      <c r="F357" s="169" t="s">
        <v>2531</v>
      </c>
      <c r="G357" s="170" t="s">
        <v>217</v>
      </c>
      <c r="H357" s="171">
        <v>32</v>
      </c>
      <c r="I357" s="172"/>
      <c r="J357" s="151">
        <v>0</v>
      </c>
      <c r="K357" s="174"/>
      <c r="L357" s="175"/>
      <c r="M357" s="176" t="s">
        <v>1</v>
      </c>
      <c r="N357" s="177" t="s">
        <v>35</v>
      </c>
      <c r="O357" s="58"/>
      <c r="P357" s="163">
        <f t="shared" si="63"/>
        <v>0</v>
      </c>
      <c r="Q357" s="163">
        <v>3.8999999999999999E-4</v>
      </c>
      <c r="R357" s="163">
        <f t="shared" si="64"/>
        <v>1.248E-2</v>
      </c>
      <c r="S357" s="163">
        <v>0</v>
      </c>
      <c r="T357" s="164">
        <f t="shared" si="65"/>
        <v>0</v>
      </c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R357" s="165" t="s">
        <v>242</v>
      </c>
      <c r="AT357" s="165" t="s">
        <v>202</v>
      </c>
      <c r="AU357" s="165" t="s">
        <v>82</v>
      </c>
      <c r="AY357" s="14" t="s">
        <v>179</v>
      </c>
      <c r="BE357" s="166">
        <f t="shared" si="66"/>
        <v>0</v>
      </c>
      <c r="BF357" s="166">
        <f t="shared" si="67"/>
        <v>0</v>
      </c>
      <c r="BG357" s="166">
        <f t="shared" si="68"/>
        <v>0</v>
      </c>
      <c r="BH357" s="166">
        <f t="shared" si="69"/>
        <v>0</v>
      </c>
      <c r="BI357" s="166">
        <f t="shared" si="70"/>
        <v>0</v>
      </c>
      <c r="BJ357" s="14" t="s">
        <v>82</v>
      </c>
      <c r="BK357" s="166">
        <f t="shared" si="71"/>
        <v>0</v>
      </c>
      <c r="BL357" s="14" t="s">
        <v>213</v>
      </c>
      <c r="BM357" s="165" t="s">
        <v>2532</v>
      </c>
    </row>
    <row r="358" spans="1:65" s="2" customFormat="1" ht="21.75" customHeight="1">
      <c r="A358" s="29"/>
      <c r="B358" s="152"/>
      <c r="C358" s="167" t="s">
        <v>963</v>
      </c>
      <c r="D358" s="167" t="s">
        <v>202</v>
      </c>
      <c r="E358" s="168" t="s">
        <v>2533</v>
      </c>
      <c r="F358" s="169" t="s">
        <v>2534</v>
      </c>
      <c r="G358" s="170" t="s">
        <v>217</v>
      </c>
      <c r="H358" s="171">
        <v>16</v>
      </c>
      <c r="I358" s="172"/>
      <c r="J358" s="151">
        <v>0</v>
      </c>
      <c r="K358" s="174"/>
      <c r="L358" s="175"/>
      <c r="M358" s="176" t="s">
        <v>1</v>
      </c>
      <c r="N358" s="177" t="s">
        <v>35</v>
      </c>
      <c r="O358" s="58"/>
      <c r="P358" s="163">
        <f t="shared" si="63"/>
        <v>0</v>
      </c>
      <c r="Q358" s="163">
        <v>6.4000000000000005E-4</v>
      </c>
      <c r="R358" s="163">
        <f t="shared" si="64"/>
        <v>1.0240000000000001E-2</v>
      </c>
      <c r="S358" s="163">
        <v>0</v>
      </c>
      <c r="T358" s="164">
        <f t="shared" si="65"/>
        <v>0</v>
      </c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R358" s="165" t="s">
        <v>242</v>
      </c>
      <c r="AT358" s="165" t="s">
        <v>202</v>
      </c>
      <c r="AU358" s="165" t="s">
        <v>82</v>
      </c>
      <c r="AY358" s="14" t="s">
        <v>179</v>
      </c>
      <c r="BE358" s="166">
        <f t="shared" si="66"/>
        <v>0</v>
      </c>
      <c r="BF358" s="166">
        <f t="shared" si="67"/>
        <v>0</v>
      </c>
      <c r="BG358" s="166">
        <f t="shared" si="68"/>
        <v>0</v>
      </c>
      <c r="BH358" s="166">
        <f t="shared" si="69"/>
        <v>0</v>
      </c>
      <c r="BI358" s="166">
        <f t="shared" si="70"/>
        <v>0</v>
      </c>
      <c r="BJ358" s="14" t="s">
        <v>82</v>
      </c>
      <c r="BK358" s="166">
        <f t="shared" si="71"/>
        <v>0</v>
      </c>
      <c r="BL358" s="14" t="s">
        <v>213</v>
      </c>
      <c r="BM358" s="165" t="s">
        <v>2535</v>
      </c>
    </row>
    <row r="359" spans="1:65" s="2" customFormat="1" ht="24.2" customHeight="1">
      <c r="A359" s="29"/>
      <c r="B359" s="152"/>
      <c r="C359" s="167" t="s">
        <v>616</v>
      </c>
      <c r="D359" s="167" t="s">
        <v>202</v>
      </c>
      <c r="E359" s="168" t="s">
        <v>2536</v>
      </c>
      <c r="F359" s="169" t="s">
        <v>2537</v>
      </c>
      <c r="G359" s="170" t="s">
        <v>217</v>
      </c>
      <c r="H359" s="171">
        <v>49</v>
      </c>
      <c r="I359" s="172"/>
      <c r="J359" s="151">
        <v>0</v>
      </c>
      <c r="K359" s="174"/>
      <c r="L359" s="175"/>
      <c r="M359" s="176" t="s">
        <v>1</v>
      </c>
      <c r="N359" s="177" t="s">
        <v>35</v>
      </c>
      <c r="O359" s="58"/>
      <c r="P359" s="163">
        <f t="shared" si="63"/>
        <v>0</v>
      </c>
      <c r="Q359" s="163">
        <v>3.8999999999999999E-4</v>
      </c>
      <c r="R359" s="163">
        <f t="shared" si="64"/>
        <v>1.9109999999999999E-2</v>
      </c>
      <c r="S359" s="163">
        <v>0</v>
      </c>
      <c r="T359" s="164">
        <f t="shared" si="65"/>
        <v>0</v>
      </c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R359" s="165" t="s">
        <v>242</v>
      </c>
      <c r="AT359" s="165" t="s">
        <v>202</v>
      </c>
      <c r="AU359" s="165" t="s">
        <v>82</v>
      </c>
      <c r="AY359" s="14" t="s">
        <v>179</v>
      </c>
      <c r="BE359" s="166">
        <f t="shared" si="66"/>
        <v>0</v>
      </c>
      <c r="BF359" s="166">
        <f t="shared" si="67"/>
        <v>0</v>
      </c>
      <c r="BG359" s="166">
        <f t="shared" si="68"/>
        <v>0</v>
      </c>
      <c r="BH359" s="166">
        <f t="shared" si="69"/>
        <v>0</v>
      </c>
      <c r="BI359" s="166">
        <f t="shared" si="70"/>
        <v>0</v>
      </c>
      <c r="BJ359" s="14" t="s">
        <v>82</v>
      </c>
      <c r="BK359" s="166">
        <f t="shared" si="71"/>
        <v>0</v>
      </c>
      <c r="BL359" s="14" t="s">
        <v>213</v>
      </c>
      <c r="BM359" s="165" t="s">
        <v>2538</v>
      </c>
    </row>
    <row r="360" spans="1:65" s="2" customFormat="1" ht="16.5" customHeight="1">
      <c r="A360" s="29"/>
      <c r="B360" s="152"/>
      <c r="C360" s="153" t="s">
        <v>970</v>
      </c>
      <c r="D360" s="153" t="s">
        <v>181</v>
      </c>
      <c r="E360" s="154" t="s">
        <v>2539</v>
      </c>
      <c r="F360" s="155" t="s">
        <v>2540</v>
      </c>
      <c r="G360" s="156" t="s">
        <v>217</v>
      </c>
      <c r="H360" s="157">
        <v>206</v>
      </c>
      <c r="I360" s="158"/>
      <c r="J360" s="151">
        <v>0</v>
      </c>
      <c r="K360" s="160"/>
      <c r="L360" s="30"/>
      <c r="M360" s="161" t="s">
        <v>1</v>
      </c>
      <c r="N360" s="162" t="s">
        <v>35</v>
      </c>
      <c r="O360" s="58"/>
      <c r="P360" s="163">
        <f t="shared" ref="P360:P391" si="72">O360*H360</f>
        <v>0</v>
      </c>
      <c r="Q360" s="163">
        <v>1.99514563106796E-5</v>
      </c>
      <c r="R360" s="163">
        <f t="shared" ref="R360:R391" si="73">Q360*H360</f>
        <v>4.1099999999999973E-3</v>
      </c>
      <c r="S360" s="163">
        <v>0</v>
      </c>
      <c r="T360" s="164">
        <f t="shared" ref="T360:T391" si="74">S360*H360</f>
        <v>0</v>
      </c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R360" s="165" t="s">
        <v>213</v>
      </c>
      <c r="AT360" s="165" t="s">
        <v>181</v>
      </c>
      <c r="AU360" s="165" t="s">
        <v>82</v>
      </c>
      <c r="AY360" s="14" t="s">
        <v>179</v>
      </c>
      <c r="BE360" s="166">
        <f t="shared" ref="BE360:BE391" si="75">IF(N360="základná",J360,0)</f>
        <v>0</v>
      </c>
      <c r="BF360" s="166">
        <f t="shared" ref="BF360:BF391" si="76">IF(N360="znížená",J360,0)</f>
        <v>0</v>
      </c>
      <c r="BG360" s="166">
        <f t="shared" ref="BG360:BG391" si="77">IF(N360="zákl. prenesená",J360,0)</f>
        <v>0</v>
      </c>
      <c r="BH360" s="166">
        <f t="shared" ref="BH360:BH391" si="78">IF(N360="zníž. prenesená",J360,0)</f>
        <v>0</v>
      </c>
      <c r="BI360" s="166">
        <f t="shared" ref="BI360:BI391" si="79">IF(N360="nulová",J360,0)</f>
        <v>0</v>
      </c>
      <c r="BJ360" s="14" t="s">
        <v>82</v>
      </c>
      <c r="BK360" s="166">
        <f t="shared" ref="BK360:BK391" si="80">ROUND(I360*H360,2)</f>
        <v>0</v>
      </c>
      <c r="BL360" s="14" t="s">
        <v>213</v>
      </c>
      <c r="BM360" s="165" t="s">
        <v>2541</v>
      </c>
    </row>
    <row r="361" spans="1:65" s="2" customFormat="1" ht="16.5" customHeight="1">
      <c r="A361" s="29"/>
      <c r="B361" s="152"/>
      <c r="C361" s="153" t="s">
        <v>623</v>
      </c>
      <c r="D361" s="153" t="s">
        <v>181</v>
      </c>
      <c r="E361" s="154" t="s">
        <v>2542</v>
      </c>
      <c r="F361" s="155" t="s">
        <v>2543</v>
      </c>
      <c r="G361" s="156" t="s">
        <v>217</v>
      </c>
      <c r="H361" s="157">
        <v>11</v>
      </c>
      <c r="I361" s="158"/>
      <c r="J361" s="151">
        <v>0</v>
      </c>
      <c r="K361" s="160"/>
      <c r="L361" s="30"/>
      <c r="M361" s="161" t="s">
        <v>1</v>
      </c>
      <c r="N361" s="162" t="s">
        <v>35</v>
      </c>
      <c r="O361" s="58"/>
      <c r="P361" s="163">
        <f t="shared" si="72"/>
        <v>0</v>
      </c>
      <c r="Q361" s="163">
        <v>2.0000000000000002E-5</v>
      </c>
      <c r="R361" s="163">
        <f t="shared" si="73"/>
        <v>2.2000000000000001E-4</v>
      </c>
      <c r="S361" s="163">
        <v>0</v>
      </c>
      <c r="T361" s="164">
        <f t="shared" si="74"/>
        <v>0</v>
      </c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R361" s="165" t="s">
        <v>213</v>
      </c>
      <c r="AT361" s="165" t="s">
        <v>181</v>
      </c>
      <c r="AU361" s="165" t="s">
        <v>82</v>
      </c>
      <c r="AY361" s="14" t="s">
        <v>179</v>
      </c>
      <c r="BE361" s="166">
        <f t="shared" si="75"/>
        <v>0</v>
      </c>
      <c r="BF361" s="166">
        <f t="shared" si="76"/>
        <v>0</v>
      </c>
      <c r="BG361" s="166">
        <f t="shared" si="77"/>
        <v>0</v>
      </c>
      <c r="BH361" s="166">
        <f t="shared" si="78"/>
        <v>0</v>
      </c>
      <c r="BI361" s="166">
        <f t="shared" si="79"/>
        <v>0</v>
      </c>
      <c r="BJ361" s="14" t="s">
        <v>82</v>
      </c>
      <c r="BK361" s="166">
        <f t="shared" si="80"/>
        <v>0</v>
      </c>
      <c r="BL361" s="14" t="s">
        <v>213</v>
      </c>
      <c r="BM361" s="165" t="s">
        <v>2544</v>
      </c>
    </row>
    <row r="362" spans="1:65" s="2" customFormat="1" ht="16.5" customHeight="1">
      <c r="A362" s="29"/>
      <c r="B362" s="152"/>
      <c r="C362" s="153" t="s">
        <v>2545</v>
      </c>
      <c r="D362" s="153" t="s">
        <v>181</v>
      </c>
      <c r="E362" s="154" t="s">
        <v>2546</v>
      </c>
      <c r="F362" s="155" t="s">
        <v>2547</v>
      </c>
      <c r="G362" s="156" t="s">
        <v>217</v>
      </c>
      <c r="H362" s="157">
        <v>10</v>
      </c>
      <c r="I362" s="158"/>
      <c r="J362" s="151">
        <v>0</v>
      </c>
      <c r="K362" s="160"/>
      <c r="L362" s="30"/>
      <c r="M362" s="161" t="s">
        <v>1</v>
      </c>
      <c r="N362" s="162" t="s">
        <v>35</v>
      </c>
      <c r="O362" s="58"/>
      <c r="P362" s="163">
        <f t="shared" si="72"/>
        <v>0</v>
      </c>
      <c r="Q362" s="163">
        <v>2.0000000000000002E-5</v>
      </c>
      <c r="R362" s="163">
        <f t="shared" si="73"/>
        <v>2.0000000000000001E-4</v>
      </c>
      <c r="S362" s="163">
        <v>0</v>
      </c>
      <c r="T362" s="164">
        <f t="shared" si="74"/>
        <v>0</v>
      </c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R362" s="165" t="s">
        <v>213</v>
      </c>
      <c r="AT362" s="165" t="s">
        <v>181</v>
      </c>
      <c r="AU362" s="165" t="s">
        <v>82</v>
      </c>
      <c r="AY362" s="14" t="s">
        <v>179</v>
      </c>
      <c r="BE362" s="166">
        <f t="shared" si="75"/>
        <v>0</v>
      </c>
      <c r="BF362" s="166">
        <f t="shared" si="76"/>
        <v>0</v>
      </c>
      <c r="BG362" s="166">
        <f t="shared" si="77"/>
        <v>0</v>
      </c>
      <c r="BH362" s="166">
        <f t="shared" si="78"/>
        <v>0</v>
      </c>
      <c r="BI362" s="166">
        <f t="shared" si="79"/>
        <v>0</v>
      </c>
      <c r="BJ362" s="14" t="s">
        <v>82</v>
      </c>
      <c r="BK362" s="166">
        <f t="shared" si="80"/>
        <v>0</v>
      </c>
      <c r="BL362" s="14" t="s">
        <v>213</v>
      </c>
      <c r="BM362" s="165" t="s">
        <v>2548</v>
      </c>
    </row>
    <row r="363" spans="1:65" s="2" customFormat="1" ht="16.5" customHeight="1">
      <c r="A363" s="29"/>
      <c r="B363" s="152"/>
      <c r="C363" s="153" t="s">
        <v>633</v>
      </c>
      <c r="D363" s="153" t="s">
        <v>181</v>
      </c>
      <c r="E363" s="154" t="s">
        <v>2549</v>
      </c>
      <c r="F363" s="155" t="s">
        <v>2550</v>
      </c>
      <c r="G363" s="156" t="s">
        <v>217</v>
      </c>
      <c r="H363" s="157">
        <v>4</v>
      </c>
      <c r="I363" s="158"/>
      <c r="J363" s="151">
        <v>0</v>
      </c>
      <c r="K363" s="160"/>
      <c r="L363" s="30"/>
      <c r="M363" s="161" t="s">
        <v>1</v>
      </c>
      <c r="N363" s="162" t="s">
        <v>35</v>
      </c>
      <c r="O363" s="58"/>
      <c r="P363" s="163">
        <f t="shared" si="72"/>
        <v>0</v>
      </c>
      <c r="Q363" s="163">
        <v>3.0000000000000001E-5</v>
      </c>
      <c r="R363" s="163">
        <f t="shared" si="73"/>
        <v>1.2E-4</v>
      </c>
      <c r="S363" s="163">
        <v>0</v>
      </c>
      <c r="T363" s="164">
        <f t="shared" si="74"/>
        <v>0</v>
      </c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R363" s="165" t="s">
        <v>213</v>
      </c>
      <c r="AT363" s="165" t="s">
        <v>181</v>
      </c>
      <c r="AU363" s="165" t="s">
        <v>82</v>
      </c>
      <c r="AY363" s="14" t="s">
        <v>179</v>
      </c>
      <c r="BE363" s="166">
        <f t="shared" si="75"/>
        <v>0</v>
      </c>
      <c r="BF363" s="166">
        <f t="shared" si="76"/>
        <v>0</v>
      </c>
      <c r="BG363" s="166">
        <f t="shared" si="77"/>
        <v>0</v>
      </c>
      <c r="BH363" s="166">
        <f t="shared" si="78"/>
        <v>0</v>
      </c>
      <c r="BI363" s="166">
        <f t="shared" si="79"/>
        <v>0</v>
      </c>
      <c r="BJ363" s="14" t="s">
        <v>82</v>
      </c>
      <c r="BK363" s="166">
        <f t="shared" si="80"/>
        <v>0</v>
      </c>
      <c r="BL363" s="14" t="s">
        <v>213</v>
      </c>
      <c r="BM363" s="165" t="s">
        <v>2551</v>
      </c>
    </row>
    <row r="364" spans="1:65" s="2" customFormat="1" ht="16.5" customHeight="1">
      <c r="A364" s="29"/>
      <c r="B364" s="152"/>
      <c r="C364" s="153" t="s">
        <v>2552</v>
      </c>
      <c r="D364" s="153" t="s">
        <v>181</v>
      </c>
      <c r="E364" s="154" t="s">
        <v>2553</v>
      </c>
      <c r="F364" s="155" t="s">
        <v>2554</v>
      </c>
      <c r="G364" s="156" t="s">
        <v>217</v>
      </c>
      <c r="H364" s="157">
        <v>23</v>
      </c>
      <c r="I364" s="158"/>
      <c r="J364" s="151">
        <v>0</v>
      </c>
      <c r="K364" s="160"/>
      <c r="L364" s="30"/>
      <c r="M364" s="161" t="s">
        <v>1</v>
      </c>
      <c r="N364" s="162" t="s">
        <v>35</v>
      </c>
      <c r="O364" s="58"/>
      <c r="P364" s="163">
        <f t="shared" si="72"/>
        <v>0</v>
      </c>
      <c r="Q364" s="163">
        <v>3.0000000000000001E-5</v>
      </c>
      <c r="R364" s="163">
        <f t="shared" si="73"/>
        <v>6.8999999999999997E-4</v>
      </c>
      <c r="S364" s="163">
        <v>0</v>
      </c>
      <c r="T364" s="164">
        <f t="shared" si="74"/>
        <v>0</v>
      </c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R364" s="165" t="s">
        <v>213</v>
      </c>
      <c r="AT364" s="165" t="s">
        <v>181</v>
      </c>
      <c r="AU364" s="165" t="s">
        <v>82</v>
      </c>
      <c r="AY364" s="14" t="s">
        <v>179</v>
      </c>
      <c r="BE364" s="166">
        <f t="shared" si="75"/>
        <v>0</v>
      </c>
      <c r="BF364" s="166">
        <f t="shared" si="76"/>
        <v>0</v>
      </c>
      <c r="BG364" s="166">
        <f t="shared" si="77"/>
        <v>0</v>
      </c>
      <c r="BH364" s="166">
        <f t="shared" si="78"/>
        <v>0</v>
      </c>
      <c r="BI364" s="166">
        <f t="shared" si="79"/>
        <v>0</v>
      </c>
      <c r="BJ364" s="14" t="s">
        <v>82</v>
      </c>
      <c r="BK364" s="166">
        <f t="shared" si="80"/>
        <v>0</v>
      </c>
      <c r="BL364" s="14" t="s">
        <v>213</v>
      </c>
      <c r="BM364" s="165" t="s">
        <v>2555</v>
      </c>
    </row>
    <row r="365" spans="1:65" s="2" customFormat="1" ht="16.5" customHeight="1">
      <c r="A365" s="29"/>
      <c r="B365" s="152"/>
      <c r="C365" s="153" t="s">
        <v>639</v>
      </c>
      <c r="D365" s="153" t="s">
        <v>181</v>
      </c>
      <c r="E365" s="154" t="s">
        <v>2556</v>
      </c>
      <c r="F365" s="155" t="s">
        <v>2557</v>
      </c>
      <c r="G365" s="156" t="s">
        <v>217</v>
      </c>
      <c r="H365" s="157">
        <v>14</v>
      </c>
      <c r="I365" s="158"/>
      <c r="J365" s="151">
        <v>0</v>
      </c>
      <c r="K365" s="160"/>
      <c r="L365" s="30"/>
      <c r="M365" s="161" t="s">
        <v>1</v>
      </c>
      <c r="N365" s="162" t="s">
        <v>35</v>
      </c>
      <c r="O365" s="58"/>
      <c r="P365" s="163">
        <f t="shared" si="72"/>
        <v>0</v>
      </c>
      <c r="Q365" s="163">
        <v>3.0000000000000001E-5</v>
      </c>
      <c r="R365" s="163">
        <f t="shared" si="73"/>
        <v>4.2000000000000002E-4</v>
      </c>
      <c r="S365" s="163">
        <v>0</v>
      </c>
      <c r="T365" s="164">
        <f t="shared" si="74"/>
        <v>0</v>
      </c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R365" s="165" t="s">
        <v>213</v>
      </c>
      <c r="AT365" s="165" t="s">
        <v>181</v>
      </c>
      <c r="AU365" s="165" t="s">
        <v>82</v>
      </c>
      <c r="AY365" s="14" t="s">
        <v>179</v>
      </c>
      <c r="BE365" s="166">
        <f t="shared" si="75"/>
        <v>0</v>
      </c>
      <c r="BF365" s="166">
        <f t="shared" si="76"/>
        <v>0</v>
      </c>
      <c r="BG365" s="166">
        <f t="shared" si="77"/>
        <v>0</v>
      </c>
      <c r="BH365" s="166">
        <f t="shared" si="78"/>
        <v>0</v>
      </c>
      <c r="BI365" s="166">
        <f t="shared" si="79"/>
        <v>0</v>
      </c>
      <c r="BJ365" s="14" t="s">
        <v>82</v>
      </c>
      <c r="BK365" s="166">
        <f t="shared" si="80"/>
        <v>0</v>
      </c>
      <c r="BL365" s="14" t="s">
        <v>213</v>
      </c>
      <c r="BM365" s="165" t="s">
        <v>2558</v>
      </c>
    </row>
    <row r="366" spans="1:65" s="2" customFormat="1" ht="16.5" customHeight="1">
      <c r="A366" s="29"/>
      <c r="B366" s="152"/>
      <c r="C366" s="167" t="s">
        <v>2559</v>
      </c>
      <c r="D366" s="167" t="s">
        <v>202</v>
      </c>
      <c r="E366" s="168" t="s">
        <v>2560</v>
      </c>
      <c r="F366" s="169" t="s">
        <v>2561</v>
      </c>
      <c r="G366" s="170" t="s">
        <v>217</v>
      </c>
      <c r="H366" s="171">
        <v>9</v>
      </c>
      <c r="I366" s="172"/>
      <c r="J366" s="151">
        <v>0</v>
      </c>
      <c r="K366" s="174"/>
      <c r="L366" s="175"/>
      <c r="M366" s="176" t="s">
        <v>1</v>
      </c>
      <c r="N366" s="177" t="s">
        <v>35</v>
      </c>
      <c r="O366" s="58"/>
      <c r="P366" s="163">
        <f t="shared" si="72"/>
        <v>0</v>
      </c>
      <c r="Q366" s="163">
        <v>3.4000000000000002E-4</v>
      </c>
      <c r="R366" s="163">
        <f t="shared" si="73"/>
        <v>3.0600000000000002E-3</v>
      </c>
      <c r="S366" s="163">
        <v>0</v>
      </c>
      <c r="T366" s="164">
        <f t="shared" si="74"/>
        <v>0</v>
      </c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R366" s="165" t="s">
        <v>242</v>
      </c>
      <c r="AT366" s="165" t="s">
        <v>202</v>
      </c>
      <c r="AU366" s="165" t="s">
        <v>82</v>
      </c>
      <c r="AY366" s="14" t="s">
        <v>179</v>
      </c>
      <c r="BE366" s="166">
        <f t="shared" si="75"/>
        <v>0</v>
      </c>
      <c r="BF366" s="166">
        <f t="shared" si="76"/>
        <v>0</v>
      </c>
      <c r="BG366" s="166">
        <f t="shared" si="77"/>
        <v>0</v>
      </c>
      <c r="BH366" s="166">
        <f t="shared" si="78"/>
        <v>0</v>
      </c>
      <c r="BI366" s="166">
        <f t="shared" si="79"/>
        <v>0</v>
      </c>
      <c r="BJ366" s="14" t="s">
        <v>82</v>
      </c>
      <c r="BK366" s="166">
        <f t="shared" si="80"/>
        <v>0</v>
      </c>
      <c r="BL366" s="14" t="s">
        <v>213</v>
      </c>
      <c r="BM366" s="165" t="s">
        <v>2562</v>
      </c>
    </row>
    <row r="367" spans="1:65" s="2" customFormat="1" ht="16.5" customHeight="1">
      <c r="A367" s="29"/>
      <c r="B367" s="152"/>
      <c r="C367" s="167" t="s">
        <v>642</v>
      </c>
      <c r="D367" s="167" t="s">
        <v>202</v>
      </c>
      <c r="E367" s="168" t="s">
        <v>2563</v>
      </c>
      <c r="F367" s="169" t="s">
        <v>2564</v>
      </c>
      <c r="G367" s="170" t="s">
        <v>217</v>
      </c>
      <c r="H367" s="171">
        <v>2</v>
      </c>
      <c r="I367" s="172"/>
      <c r="J367" s="151">
        <v>0</v>
      </c>
      <c r="K367" s="174"/>
      <c r="L367" s="175"/>
      <c r="M367" s="176" t="s">
        <v>1</v>
      </c>
      <c r="N367" s="177" t="s">
        <v>35</v>
      </c>
      <c r="O367" s="58"/>
      <c r="P367" s="163">
        <f t="shared" si="72"/>
        <v>0</v>
      </c>
      <c r="Q367" s="163">
        <v>3.4000000000000002E-4</v>
      </c>
      <c r="R367" s="163">
        <f t="shared" si="73"/>
        <v>6.8000000000000005E-4</v>
      </c>
      <c r="S367" s="163">
        <v>0</v>
      </c>
      <c r="T367" s="164">
        <f t="shared" si="74"/>
        <v>0</v>
      </c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R367" s="165" t="s">
        <v>242</v>
      </c>
      <c r="AT367" s="165" t="s">
        <v>202</v>
      </c>
      <c r="AU367" s="165" t="s">
        <v>82</v>
      </c>
      <c r="AY367" s="14" t="s">
        <v>179</v>
      </c>
      <c r="BE367" s="166">
        <f t="shared" si="75"/>
        <v>0</v>
      </c>
      <c r="BF367" s="166">
        <f t="shared" si="76"/>
        <v>0</v>
      </c>
      <c r="BG367" s="166">
        <f t="shared" si="77"/>
        <v>0</v>
      </c>
      <c r="BH367" s="166">
        <f t="shared" si="78"/>
        <v>0</v>
      </c>
      <c r="BI367" s="166">
        <f t="shared" si="79"/>
        <v>0</v>
      </c>
      <c r="BJ367" s="14" t="s">
        <v>82</v>
      </c>
      <c r="BK367" s="166">
        <f t="shared" si="80"/>
        <v>0</v>
      </c>
      <c r="BL367" s="14" t="s">
        <v>213</v>
      </c>
      <c r="BM367" s="165" t="s">
        <v>2565</v>
      </c>
    </row>
    <row r="368" spans="1:65" s="2" customFormat="1" ht="24.2" customHeight="1">
      <c r="A368" s="29"/>
      <c r="B368" s="152"/>
      <c r="C368" s="167" t="s">
        <v>2566</v>
      </c>
      <c r="D368" s="167" t="s">
        <v>202</v>
      </c>
      <c r="E368" s="168" t="s">
        <v>2567</v>
      </c>
      <c r="F368" s="169" t="s">
        <v>2568</v>
      </c>
      <c r="G368" s="170" t="s">
        <v>217</v>
      </c>
      <c r="H368" s="171">
        <v>4</v>
      </c>
      <c r="I368" s="172"/>
      <c r="J368" s="151">
        <v>0</v>
      </c>
      <c r="K368" s="174"/>
      <c r="L368" s="175"/>
      <c r="M368" s="176" t="s">
        <v>1</v>
      </c>
      <c r="N368" s="177" t="s">
        <v>35</v>
      </c>
      <c r="O368" s="58"/>
      <c r="P368" s="163">
        <f t="shared" si="72"/>
        <v>0</v>
      </c>
      <c r="Q368" s="163">
        <v>1.34E-3</v>
      </c>
      <c r="R368" s="163">
        <f t="shared" si="73"/>
        <v>5.3600000000000002E-3</v>
      </c>
      <c r="S368" s="163">
        <v>0</v>
      </c>
      <c r="T368" s="164">
        <f t="shared" si="74"/>
        <v>0</v>
      </c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R368" s="165" t="s">
        <v>242</v>
      </c>
      <c r="AT368" s="165" t="s">
        <v>202</v>
      </c>
      <c r="AU368" s="165" t="s">
        <v>82</v>
      </c>
      <c r="AY368" s="14" t="s">
        <v>179</v>
      </c>
      <c r="BE368" s="166">
        <f t="shared" si="75"/>
        <v>0</v>
      </c>
      <c r="BF368" s="166">
        <f t="shared" si="76"/>
        <v>0</v>
      </c>
      <c r="BG368" s="166">
        <f t="shared" si="77"/>
        <v>0</v>
      </c>
      <c r="BH368" s="166">
        <f t="shared" si="78"/>
        <v>0</v>
      </c>
      <c r="BI368" s="166">
        <f t="shared" si="79"/>
        <v>0</v>
      </c>
      <c r="BJ368" s="14" t="s">
        <v>82</v>
      </c>
      <c r="BK368" s="166">
        <f t="shared" si="80"/>
        <v>0</v>
      </c>
      <c r="BL368" s="14" t="s">
        <v>213</v>
      </c>
      <c r="BM368" s="165" t="s">
        <v>2569</v>
      </c>
    </row>
    <row r="369" spans="1:65" s="2" customFormat="1" ht="24.2" customHeight="1">
      <c r="A369" s="29"/>
      <c r="B369" s="152"/>
      <c r="C369" s="167" t="s">
        <v>651</v>
      </c>
      <c r="D369" s="167" t="s">
        <v>202</v>
      </c>
      <c r="E369" s="168" t="s">
        <v>2570</v>
      </c>
      <c r="F369" s="169" t="s">
        <v>2571</v>
      </c>
      <c r="G369" s="170" t="s">
        <v>217</v>
      </c>
      <c r="H369" s="171">
        <v>8</v>
      </c>
      <c r="I369" s="172"/>
      <c r="J369" s="151">
        <v>0</v>
      </c>
      <c r="K369" s="174"/>
      <c r="L369" s="175"/>
      <c r="M369" s="176" t="s">
        <v>1</v>
      </c>
      <c r="N369" s="177" t="s">
        <v>35</v>
      </c>
      <c r="O369" s="58"/>
      <c r="P369" s="163">
        <f t="shared" si="72"/>
        <v>0</v>
      </c>
      <c r="Q369" s="163">
        <v>3.4000000000000002E-4</v>
      </c>
      <c r="R369" s="163">
        <f t="shared" si="73"/>
        <v>2.7200000000000002E-3</v>
      </c>
      <c r="S369" s="163">
        <v>0</v>
      </c>
      <c r="T369" s="164">
        <f t="shared" si="74"/>
        <v>0</v>
      </c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R369" s="165" t="s">
        <v>242</v>
      </c>
      <c r="AT369" s="165" t="s">
        <v>202</v>
      </c>
      <c r="AU369" s="165" t="s">
        <v>82</v>
      </c>
      <c r="AY369" s="14" t="s">
        <v>179</v>
      </c>
      <c r="BE369" s="166">
        <f t="shared" si="75"/>
        <v>0</v>
      </c>
      <c r="BF369" s="166">
        <f t="shared" si="76"/>
        <v>0</v>
      </c>
      <c r="BG369" s="166">
        <f t="shared" si="77"/>
        <v>0</v>
      </c>
      <c r="BH369" s="166">
        <f t="shared" si="78"/>
        <v>0</v>
      </c>
      <c r="BI369" s="166">
        <f t="shared" si="79"/>
        <v>0</v>
      </c>
      <c r="BJ369" s="14" t="s">
        <v>82</v>
      </c>
      <c r="BK369" s="166">
        <f t="shared" si="80"/>
        <v>0</v>
      </c>
      <c r="BL369" s="14" t="s">
        <v>213</v>
      </c>
      <c r="BM369" s="165" t="s">
        <v>2572</v>
      </c>
    </row>
    <row r="370" spans="1:65" s="2" customFormat="1" ht="24.2" customHeight="1">
      <c r="A370" s="29"/>
      <c r="B370" s="152"/>
      <c r="C370" s="167" t="s">
        <v>2573</v>
      </c>
      <c r="D370" s="167" t="s">
        <v>202</v>
      </c>
      <c r="E370" s="168" t="s">
        <v>2574</v>
      </c>
      <c r="F370" s="169" t="s">
        <v>2575</v>
      </c>
      <c r="G370" s="170" t="s">
        <v>217</v>
      </c>
      <c r="H370" s="171">
        <v>24</v>
      </c>
      <c r="I370" s="172"/>
      <c r="J370" s="151">
        <v>0</v>
      </c>
      <c r="K370" s="174"/>
      <c r="L370" s="175"/>
      <c r="M370" s="176" t="s">
        <v>1</v>
      </c>
      <c r="N370" s="177" t="s">
        <v>35</v>
      </c>
      <c r="O370" s="58"/>
      <c r="P370" s="163">
        <f t="shared" si="72"/>
        <v>0</v>
      </c>
      <c r="Q370" s="163">
        <v>3.4000000000000002E-4</v>
      </c>
      <c r="R370" s="163">
        <f t="shared" si="73"/>
        <v>8.1600000000000006E-3</v>
      </c>
      <c r="S370" s="163">
        <v>0</v>
      </c>
      <c r="T370" s="164">
        <f t="shared" si="74"/>
        <v>0</v>
      </c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R370" s="165" t="s">
        <v>242</v>
      </c>
      <c r="AT370" s="165" t="s">
        <v>202</v>
      </c>
      <c r="AU370" s="165" t="s">
        <v>82</v>
      </c>
      <c r="AY370" s="14" t="s">
        <v>179</v>
      </c>
      <c r="BE370" s="166">
        <f t="shared" si="75"/>
        <v>0</v>
      </c>
      <c r="BF370" s="166">
        <f t="shared" si="76"/>
        <v>0</v>
      </c>
      <c r="BG370" s="166">
        <f t="shared" si="77"/>
        <v>0</v>
      </c>
      <c r="BH370" s="166">
        <f t="shared" si="78"/>
        <v>0</v>
      </c>
      <c r="BI370" s="166">
        <f t="shared" si="79"/>
        <v>0</v>
      </c>
      <c r="BJ370" s="14" t="s">
        <v>82</v>
      </c>
      <c r="BK370" s="166">
        <f t="shared" si="80"/>
        <v>0</v>
      </c>
      <c r="BL370" s="14" t="s">
        <v>213</v>
      </c>
      <c r="BM370" s="165" t="s">
        <v>2576</v>
      </c>
    </row>
    <row r="371" spans="1:65" s="2" customFormat="1" ht="24.2" customHeight="1">
      <c r="A371" s="29"/>
      <c r="B371" s="152"/>
      <c r="C371" s="167" t="s">
        <v>656</v>
      </c>
      <c r="D371" s="167" t="s">
        <v>202</v>
      </c>
      <c r="E371" s="168" t="s">
        <v>2577</v>
      </c>
      <c r="F371" s="169" t="s">
        <v>2578</v>
      </c>
      <c r="G371" s="170" t="s">
        <v>217</v>
      </c>
      <c r="H371" s="171">
        <v>28</v>
      </c>
      <c r="I371" s="172"/>
      <c r="J371" s="151">
        <v>0</v>
      </c>
      <c r="K371" s="174"/>
      <c r="L371" s="175"/>
      <c r="M371" s="176" t="s">
        <v>1</v>
      </c>
      <c r="N371" s="177" t="s">
        <v>35</v>
      </c>
      <c r="O371" s="58"/>
      <c r="P371" s="163">
        <f t="shared" si="72"/>
        <v>0</v>
      </c>
      <c r="Q371" s="163">
        <v>3.4000000000000002E-4</v>
      </c>
      <c r="R371" s="163">
        <f t="shared" si="73"/>
        <v>9.5200000000000007E-3</v>
      </c>
      <c r="S371" s="163">
        <v>0</v>
      </c>
      <c r="T371" s="164">
        <f t="shared" si="74"/>
        <v>0</v>
      </c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R371" s="165" t="s">
        <v>242</v>
      </c>
      <c r="AT371" s="165" t="s">
        <v>202</v>
      </c>
      <c r="AU371" s="165" t="s">
        <v>82</v>
      </c>
      <c r="AY371" s="14" t="s">
        <v>179</v>
      </c>
      <c r="BE371" s="166">
        <f t="shared" si="75"/>
        <v>0</v>
      </c>
      <c r="BF371" s="166">
        <f t="shared" si="76"/>
        <v>0</v>
      </c>
      <c r="BG371" s="166">
        <f t="shared" si="77"/>
        <v>0</v>
      </c>
      <c r="BH371" s="166">
        <f t="shared" si="78"/>
        <v>0</v>
      </c>
      <c r="BI371" s="166">
        <f t="shared" si="79"/>
        <v>0</v>
      </c>
      <c r="BJ371" s="14" t="s">
        <v>82</v>
      </c>
      <c r="BK371" s="166">
        <f t="shared" si="80"/>
        <v>0</v>
      </c>
      <c r="BL371" s="14" t="s">
        <v>213</v>
      </c>
      <c r="BM371" s="165" t="s">
        <v>2579</v>
      </c>
    </row>
    <row r="372" spans="1:65" s="2" customFormat="1" ht="16.5" customHeight="1">
      <c r="A372" s="29"/>
      <c r="B372" s="152"/>
      <c r="C372" s="167" t="s">
        <v>2580</v>
      </c>
      <c r="D372" s="167" t="s">
        <v>202</v>
      </c>
      <c r="E372" s="168" t="s">
        <v>2581</v>
      </c>
      <c r="F372" s="169" t="s">
        <v>2582</v>
      </c>
      <c r="G372" s="170" t="s">
        <v>217</v>
      </c>
      <c r="H372" s="171">
        <v>2</v>
      </c>
      <c r="I372" s="172"/>
      <c r="J372" s="151">
        <v>0</v>
      </c>
      <c r="K372" s="174"/>
      <c r="L372" s="175"/>
      <c r="M372" s="176" t="s">
        <v>1</v>
      </c>
      <c r="N372" s="177" t="s">
        <v>35</v>
      </c>
      <c r="O372" s="58"/>
      <c r="P372" s="163">
        <f t="shared" si="72"/>
        <v>0</v>
      </c>
      <c r="Q372" s="163">
        <v>1.8270000000000002E-2</v>
      </c>
      <c r="R372" s="163">
        <f t="shared" si="73"/>
        <v>3.6540000000000003E-2</v>
      </c>
      <c r="S372" s="163">
        <v>0</v>
      </c>
      <c r="T372" s="164">
        <f t="shared" si="74"/>
        <v>0</v>
      </c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R372" s="165" t="s">
        <v>242</v>
      </c>
      <c r="AT372" s="165" t="s">
        <v>202</v>
      </c>
      <c r="AU372" s="165" t="s">
        <v>82</v>
      </c>
      <c r="AY372" s="14" t="s">
        <v>179</v>
      </c>
      <c r="BE372" s="166">
        <f t="shared" si="75"/>
        <v>0</v>
      </c>
      <c r="BF372" s="166">
        <f t="shared" si="76"/>
        <v>0</v>
      </c>
      <c r="BG372" s="166">
        <f t="shared" si="77"/>
        <v>0</v>
      </c>
      <c r="BH372" s="166">
        <f t="shared" si="78"/>
        <v>0</v>
      </c>
      <c r="BI372" s="166">
        <f t="shared" si="79"/>
        <v>0</v>
      </c>
      <c r="BJ372" s="14" t="s">
        <v>82</v>
      </c>
      <c r="BK372" s="166">
        <f t="shared" si="80"/>
        <v>0</v>
      </c>
      <c r="BL372" s="14" t="s">
        <v>213</v>
      </c>
      <c r="BM372" s="165" t="s">
        <v>2583</v>
      </c>
    </row>
    <row r="373" spans="1:65" s="2" customFormat="1" ht="16.5" customHeight="1">
      <c r="A373" s="29"/>
      <c r="B373" s="152"/>
      <c r="C373" s="167" t="s">
        <v>660</v>
      </c>
      <c r="D373" s="167" t="s">
        <v>202</v>
      </c>
      <c r="E373" s="168" t="s">
        <v>2584</v>
      </c>
      <c r="F373" s="169" t="s">
        <v>2585</v>
      </c>
      <c r="G373" s="170" t="s">
        <v>217</v>
      </c>
      <c r="H373" s="171">
        <v>1</v>
      </c>
      <c r="I373" s="172"/>
      <c r="J373" s="151">
        <v>0</v>
      </c>
      <c r="K373" s="174"/>
      <c r="L373" s="175"/>
      <c r="M373" s="176" t="s">
        <v>1</v>
      </c>
      <c r="N373" s="177" t="s">
        <v>35</v>
      </c>
      <c r="O373" s="58"/>
      <c r="P373" s="163">
        <f t="shared" si="72"/>
        <v>0</v>
      </c>
      <c r="Q373" s="163">
        <v>1.8270000000000002E-2</v>
      </c>
      <c r="R373" s="163">
        <f t="shared" si="73"/>
        <v>1.8270000000000002E-2</v>
      </c>
      <c r="S373" s="163">
        <v>0</v>
      </c>
      <c r="T373" s="164">
        <f t="shared" si="74"/>
        <v>0</v>
      </c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R373" s="165" t="s">
        <v>242</v>
      </c>
      <c r="AT373" s="165" t="s">
        <v>202</v>
      </c>
      <c r="AU373" s="165" t="s">
        <v>82</v>
      </c>
      <c r="AY373" s="14" t="s">
        <v>179</v>
      </c>
      <c r="BE373" s="166">
        <f t="shared" si="75"/>
        <v>0</v>
      </c>
      <c r="BF373" s="166">
        <f t="shared" si="76"/>
        <v>0</v>
      </c>
      <c r="BG373" s="166">
        <f t="shared" si="77"/>
        <v>0</v>
      </c>
      <c r="BH373" s="166">
        <f t="shared" si="78"/>
        <v>0</v>
      </c>
      <c r="BI373" s="166">
        <f t="shared" si="79"/>
        <v>0</v>
      </c>
      <c r="BJ373" s="14" t="s">
        <v>82</v>
      </c>
      <c r="BK373" s="166">
        <f t="shared" si="80"/>
        <v>0</v>
      </c>
      <c r="BL373" s="14" t="s">
        <v>213</v>
      </c>
      <c r="BM373" s="165" t="s">
        <v>2586</v>
      </c>
    </row>
    <row r="374" spans="1:65" s="2" customFormat="1" ht="16.5" customHeight="1">
      <c r="A374" s="29"/>
      <c r="B374" s="152"/>
      <c r="C374" s="167" t="s">
        <v>2587</v>
      </c>
      <c r="D374" s="167" t="s">
        <v>202</v>
      </c>
      <c r="E374" s="168" t="s">
        <v>2588</v>
      </c>
      <c r="F374" s="169" t="s">
        <v>2589</v>
      </c>
      <c r="G374" s="170" t="s">
        <v>217</v>
      </c>
      <c r="H374" s="171">
        <v>6</v>
      </c>
      <c r="I374" s="172"/>
      <c r="J374" s="151">
        <v>0</v>
      </c>
      <c r="K374" s="174"/>
      <c r="L374" s="175"/>
      <c r="M374" s="176" t="s">
        <v>1</v>
      </c>
      <c r="N374" s="177" t="s">
        <v>35</v>
      </c>
      <c r="O374" s="58"/>
      <c r="P374" s="163">
        <f t="shared" si="72"/>
        <v>0</v>
      </c>
      <c r="Q374" s="163">
        <v>1.8270000000000002E-2</v>
      </c>
      <c r="R374" s="163">
        <f t="shared" si="73"/>
        <v>0.10962000000000001</v>
      </c>
      <c r="S374" s="163">
        <v>0</v>
      </c>
      <c r="T374" s="164">
        <f t="shared" si="74"/>
        <v>0</v>
      </c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R374" s="165" t="s">
        <v>242</v>
      </c>
      <c r="AT374" s="165" t="s">
        <v>202</v>
      </c>
      <c r="AU374" s="165" t="s">
        <v>82</v>
      </c>
      <c r="AY374" s="14" t="s">
        <v>179</v>
      </c>
      <c r="BE374" s="166">
        <f t="shared" si="75"/>
        <v>0</v>
      </c>
      <c r="BF374" s="166">
        <f t="shared" si="76"/>
        <v>0</v>
      </c>
      <c r="BG374" s="166">
        <f t="shared" si="77"/>
        <v>0</v>
      </c>
      <c r="BH374" s="166">
        <f t="shared" si="78"/>
        <v>0</v>
      </c>
      <c r="BI374" s="166">
        <f t="shared" si="79"/>
        <v>0</v>
      </c>
      <c r="BJ374" s="14" t="s">
        <v>82</v>
      </c>
      <c r="BK374" s="166">
        <f t="shared" si="80"/>
        <v>0</v>
      </c>
      <c r="BL374" s="14" t="s">
        <v>213</v>
      </c>
      <c r="BM374" s="165" t="s">
        <v>2590</v>
      </c>
    </row>
    <row r="375" spans="1:65" s="2" customFormat="1" ht="16.5" customHeight="1">
      <c r="A375" s="29"/>
      <c r="B375" s="152"/>
      <c r="C375" s="167" t="s">
        <v>670</v>
      </c>
      <c r="D375" s="167" t="s">
        <v>202</v>
      </c>
      <c r="E375" s="168" t="s">
        <v>2591</v>
      </c>
      <c r="F375" s="169" t="s">
        <v>2592</v>
      </c>
      <c r="G375" s="170" t="s">
        <v>217</v>
      </c>
      <c r="H375" s="171">
        <v>7</v>
      </c>
      <c r="I375" s="172"/>
      <c r="J375" s="151">
        <v>0</v>
      </c>
      <c r="K375" s="174"/>
      <c r="L375" s="175"/>
      <c r="M375" s="176" t="s">
        <v>1</v>
      </c>
      <c r="N375" s="177" t="s">
        <v>35</v>
      </c>
      <c r="O375" s="58"/>
      <c r="P375" s="163">
        <f t="shared" si="72"/>
        <v>0</v>
      </c>
      <c r="Q375" s="163">
        <v>1.8270000000000002E-2</v>
      </c>
      <c r="R375" s="163">
        <f t="shared" si="73"/>
        <v>0.12789</v>
      </c>
      <c r="S375" s="163">
        <v>0</v>
      </c>
      <c r="T375" s="164">
        <f t="shared" si="74"/>
        <v>0</v>
      </c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R375" s="165" t="s">
        <v>242</v>
      </c>
      <c r="AT375" s="165" t="s">
        <v>202</v>
      </c>
      <c r="AU375" s="165" t="s">
        <v>82</v>
      </c>
      <c r="AY375" s="14" t="s">
        <v>179</v>
      </c>
      <c r="BE375" s="166">
        <f t="shared" si="75"/>
        <v>0</v>
      </c>
      <c r="BF375" s="166">
        <f t="shared" si="76"/>
        <v>0</v>
      </c>
      <c r="BG375" s="166">
        <f t="shared" si="77"/>
        <v>0</v>
      </c>
      <c r="BH375" s="166">
        <f t="shared" si="78"/>
        <v>0</v>
      </c>
      <c r="BI375" s="166">
        <f t="shared" si="79"/>
        <v>0</v>
      </c>
      <c r="BJ375" s="14" t="s">
        <v>82</v>
      </c>
      <c r="BK375" s="166">
        <f t="shared" si="80"/>
        <v>0</v>
      </c>
      <c r="BL375" s="14" t="s">
        <v>213</v>
      </c>
      <c r="BM375" s="165" t="s">
        <v>2593</v>
      </c>
    </row>
    <row r="376" spans="1:65" s="2" customFormat="1" ht="24.2" customHeight="1">
      <c r="A376" s="29"/>
      <c r="B376" s="152"/>
      <c r="C376" s="167" t="s">
        <v>2594</v>
      </c>
      <c r="D376" s="167" t="s">
        <v>202</v>
      </c>
      <c r="E376" s="168" t="s">
        <v>2595</v>
      </c>
      <c r="F376" s="169" t="s">
        <v>2596</v>
      </c>
      <c r="G376" s="170" t="s">
        <v>217</v>
      </c>
      <c r="H376" s="171">
        <v>1</v>
      </c>
      <c r="I376" s="172"/>
      <c r="J376" s="151">
        <v>0</v>
      </c>
      <c r="K376" s="174"/>
      <c r="L376" s="175"/>
      <c r="M376" s="176" t="s">
        <v>1</v>
      </c>
      <c r="N376" s="177" t="s">
        <v>35</v>
      </c>
      <c r="O376" s="58"/>
      <c r="P376" s="163">
        <f t="shared" si="72"/>
        <v>0</v>
      </c>
      <c r="Q376" s="163">
        <v>1.0300000000000001E-3</v>
      </c>
      <c r="R376" s="163">
        <f t="shared" si="73"/>
        <v>1.0300000000000001E-3</v>
      </c>
      <c r="S376" s="163">
        <v>0</v>
      </c>
      <c r="T376" s="164">
        <f t="shared" si="74"/>
        <v>0</v>
      </c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R376" s="165" t="s">
        <v>242</v>
      </c>
      <c r="AT376" s="165" t="s">
        <v>202</v>
      </c>
      <c r="AU376" s="165" t="s">
        <v>82</v>
      </c>
      <c r="AY376" s="14" t="s">
        <v>179</v>
      </c>
      <c r="BE376" s="166">
        <f t="shared" si="75"/>
        <v>0</v>
      </c>
      <c r="BF376" s="166">
        <f t="shared" si="76"/>
        <v>0</v>
      </c>
      <c r="BG376" s="166">
        <f t="shared" si="77"/>
        <v>0</v>
      </c>
      <c r="BH376" s="166">
        <f t="shared" si="78"/>
        <v>0</v>
      </c>
      <c r="BI376" s="166">
        <f t="shared" si="79"/>
        <v>0</v>
      </c>
      <c r="BJ376" s="14" t="s">
        <v>82</v>
      </c>
      <c r="BK376" s="166">
        <f t="shared" si="80"/>
        <v>0</v>
      </c>
      <c r="BL376" s="14" t="s">
        <v>213</v>
      </c>
      <c r="BM376" s="165" t="s">
        <v>2597</v>
      </c>
    </row>
    <row r="377" spans="1:65" s="2" customFormat="1" ht="24.2" customHeight="1">
      <c r="A377" s="29"/>
      <c r="B377" s="152"/>
      <c r="C377" s="167" t="s">
        <v>674</v>
      </c>
      <c r="D377" s="167" t="s">
        <v>202</v>
      </c>
      <c r="E377" s="168" t="s">
        <v>2598</v>
      </c>
      <c r="F377" s="169" t="s">
        <v>2599</v>
      </c>
      <c r="G377" s="170" t="s">
        <v>217</v>
      </c>
      <c r="H377" s="171">
        <v>1</v>
      </c>
      <c r="I377" s="172"/>
      <c r="J377" s="151">
        <v>0</v>
      </c>
      <c r="K377" s="174"/>
      <c r="L377" s="175"/>
      <c r="M377" s="176" t="s">
        <v>1</v>
      </c>
      <c r="N377" s="177" t="s">
        <v>35</v>
      </c>
      <c r="O377" s="58"/>
      <c r="P377" s="163">
        <f t="shared" si="72"/>
        <v>0</v>
      </c>
      <c r="Q377" s="163">
        <v>1.57E-3</v>
      </c>
      <c r="R377" s="163">
        <f t="shared" si="73"/>
        <v>1.57E-3</v>
      </c>
      <c r="S377" s="163">
        <v>0</v>
      </c>
      <c r="T377" s="164">
        <f t="shared" si="74"/>
        <v>0</v>
      </c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R377" s="165" t="s">
        <v>242</v>
      </c>
      <c r="AT377" s="165" t="s">
        <v>202</v>
      </c>
      <c r="AU377" s="165" t="s">
        <v>82</v>
      </c>
      <c r="AY377" s="14" t="s">
        <v>179</v>
      </c>
      <c r="BE377" s="166">
        <f t="shared" si="75"/>
        <v>0</v>
      </c>
      <c r="BF377" s="166">
        <f t="shared" si="76"/>
        <v>0</v>
      </c>
      <c r="BG377" s="166">
        <f t="shared" si="77"/>
        <v>0</v>
      </c>
      <c r="BH377" s="166">
        <f t="shared" si="78"/>
        <v>0</v>
      </c>
      <c r="BI377" s="166">
        <f t="shared" si="79"/>
        <v>0</v>
      </c>
      <c r="BJ377" s="14" t="s">
        <v>82</v>
      </c>
      <c r="BK377" s="166">
        <f t="shared" si="80"/>
        <v>0</v>
      </c>
      <c r="BL377" s="14" t="s">
        <v>213</v>
      </c>
      <c r="BM377" s="165" t="s">
        <v>2600</v>
      </c>
    </row>
    <row r="378" spans="1:65" s="2" customFormat="1" ht="24.2" customHeight="1">
      <c r="A378" s="29"/>
      <c r="B378" s="152"/>
      <c r="C378" s="167" t="s">
        <v>2601</v>
      </c>
      <c r="D378" s="167" t="s">
        <v>202</v>
      </c>
      <c r="E378" s="168" t="s">
        <v>2602</v>
      </c>
      <c r="F378" s="169" t="s">
        <v>2603</v>
      </c>
      <c r="G378" s="170" t="s">
        <v>217</v>
      </c>
      <c r="H378" s="171">
        <v>6</v>
      </c>
      <c r="I378" s="172"/>
      <c r="J378" s="151">
        <v>0</v>
      </c>
      <c r="K378" s="174"/>
      <c r="L378" s="175"/>
      <c r="M378" s="176" t="s">
        <v>1</v>
      </c>
      <c r="N378" s="177" t="s">
        <v>35</v>
      </c>
      <c r="O378" s="58"/>
      <c r="P378" s="163">
        <f t="shared" si="72"/>
        <v>0</v>
      </c>
      <c r="Q378" s="163">
        <v>1.57E-3</v>
      </c>
      <c r="R378" s="163">
        <f t="shared" si="73"/>
        <v>9.4199999999999996E-3</v>
      </c>
      <c r="S378" s="163">
        <v>0</v>
      </c>
      <c r="T378" s="164">
        <f t="shared" si="74"/>
        <v>0</v>
      </c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R378" s="165" t="s">
        <v>242</v>
      </c>
      <c r="AT378" s="165" t="s">
        <v>202</v>
      </c>
      <c r="AU378" s="165" t="s">
        <v>82</v>
      </c>
      <c r="AY378" s="14" t="s">
        <v>179</v>
      </c>
      <c r="BE378" s="166">
        <f t="shared" si="75"/>
        <v>0</v>
      </c>
      <c r="BF378" s="166">
        <f t="shared" si="76"/>
        <v>0</v>
      </c>
      <c r="BG378" s="166">
        <f t="shared" si="77"/>
        <v>0</v>
      </c>
      <c r="BH378" s="166">
        <f t="shared" si="78"/>
        <v>0</v>
      </c>
      <c r="BI378" s="166">
        <f t="shared" si="79"/>
        <v>0</v>
      </c>
      <c r="BJ378" s="14" t="s">
        <v>82</v>
      </c>
      <c r="BK378" s="166">
        <f t="shared" si="80"/>
        <v>0</v>
      </c>
      <c r="BL378" s="14" t="s">
        <v>213</v>
      </c>
      <c r="BM378" s="165" t="s">
        <v>2604</v>
      </c>
    </row>
    <row r="379" spans="1:65" s="2" customFormat="1" ht="24.2" customHeight="1">
      <c r="A379" s="29"/>
      <c r="B379" s="152"/>
      <c r="C379" s="167" t="s">
        <v>677</v>
      </c>
      <c r="D379" s="167" t="s">
        <v>202</v>
      </c>
      <c r="E379" s="168" t="s">
        <v>2605</v>
      </c>
      <c r="F379" s="169" t="s">
        <v>2606</v>
      </c>
      <c r="G379" s="170" t="s">
        <v>217</v>
      </c>
      <c r="H379" s="171">
        <v>7</v>
      </c>
      <c r="I379" s="172"/>
      <c r="J379" s="151">
        <v>0</v>
      </c>
      <c r="K379" s="174"/>
      <c r="L379" s="175"/>
      <c r="M379" s="176" t="s">
        <v>1</v>
      </c>
      <c r="N379" s="177" t="s">
        <v>35</v>
      </c>
      <c r="O379" s="58"/>
      <c r="P379" s="163">
        <f t="shared" si="72"/>
        <v>0</v>
      </c>
      <c r="Q379" s="163">
        <v>3.0100000000000001E-3</v>
      </c>
      <c r="R379" s="163">
        <f t="shared" si="73"/>
        <v>2.1070000000000002E-2</v>
      </c>
      <c r="S379" s="163">
        <v>0</v>
      </c>
      <c r="T379" s="164">
        <f t="shared" si="74"/>
        <v>0</v>
      </c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R379" s="165" t="s">
        <v>242</v>
      </c>
      <c r="AT379" s="165" t="s">
        <v>202</v>
      </c>
      <c r="AU379" s="165" t="s">
        <v>82</v>
      </c>
      <c r="AY379" s="14" t="s">
        <v>179</v>
      </c>
      <c r="BE379" s="166">
        <f t="shared" si="75"/>
        <v>0</v>
      </c>
      <c r="BF379" s="166">
        <f t="shared" si="76"/>
        <v>0</v>
      </c>
      <c r="BG379" s="166">
        <f t="shared" si="77"/>
        <v>0</v>
      </c>
      <c r="BH379" s="166">
        <f t="shared" si="78"/>
        <v>0</v>
      </c>
      <c r="BI379" s="166">
        <f t="shared" si="79"/>
        <v>0</v>
      </c>
      <c r="BJ379" s="14" t="s">
        <v>82</v>
      </c>
      <c r="BK379" s="166">
        <f t="shared" si="80"/>
        <v>0</v>
      </c>
      <c r="BL379" s="14" t="s">
        <v>213</v>
      </c>
      <c r="BM379" s="165" t="s">
        <v>2607</v>
      </c>
    </row>
    <row r="380" spans="1:65" s="2" customFormat="1" ht="24.2" customHeight="1">
      <c r="A380" s="29"/>
      <c r="B380" s="152"/>
      <c r="C380" s="167" t="s">
        <v>2608</v>
      </c>
      <c r="D380" s="167" t="s">
        <v>202</v>
      </c>
      <c r="E380" s="168" t="s">
        <v>2609</v>
      </c>
      <c r="F380" s="338" t="s">
        <v>3457</v>
      </c>
      <c r="G380" s="170" t="s">
        <v>217</v>
      </c>
      <c r="H380" s="171">
        <v>2</v>
      </c>
      <c r="I380" s="172"/>
      <c r="J380" s="151">
        <v>0</v>
      </c>
      <c r="K380" s="174"/>
      <c r="L380" s="175"/>
      <c r="M380" s="176" t="s">
        <v>1</v>
      </c>
      <c r="N380" s="177" t="s">
        <v>35</v>
      </c>
      <c r="O380" s="58"/>
      <c r="P380" s="163">
        <f t="shared" si="72"/>
        <v>0</v>
      </c>
      <c r="Q380" s="163">
        <v>3.0100000000000001E-3</v>
      </c>
      <c r="R380" s="163">
        <f t="shared" si="73"/>
        <v>6.0200000000000002E-3</v>
      </c>
      <c r="S380" s="163">
        <v>0</v>
      </c>
      <c r="T380" s="164">
        <f t="shared" si="74"/>
        <v>0</v>
      </c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R380" s="165" t="s">
        <v>242</v>
      </c>
      <c r="AT380" s="165" t="s">
        <v>202</v>
      </c>
      <c r="AU380" s="165" t="s">
        <v>82</v>
      </c>
      <c r="AY380" s="14" t="s">
        <v>179</v>
      </c>
      <c r="BE380" s="166">
        <f t="shared" si="75"/>
        <v>0</v>
      </c>
      <c r="BF380" s="166">
        <f t="shared" si="76"/>
        <v>0</v>
      </c>
      <c r="BG380" s="166">
        <f t="shared" si="77"/>
        <v>0</v>
      </c>
      <c r="BH380" s="166">
        <f t="shared" si="78"/>
        <v>0</v>
      </c>
      <c r="BI380" s="166">
        <f t="shared" si="79"/>
        <v>0</v>
      </c>
      <c r="BJ380" s="14" t="s">
        <v>82</v>
      </c>
      <c r="BK380" s="166">
        <f t="shared" si="80"/>
        <v>0</v>
      </c>
      <c r="BL380" s="14" t="s">
        <v>213</v>
      </c>
      <c r="BM380" s="165" t="s">
        <v>2610</v>
      </c>
    </row>
    <row r="381" spans="1:65" s="2" customFormat="1" ht="24.2" customHeight="1">
      <c r="A381" s="29"/>
      <c r="B381" s="152"/>
      <c r="C381" s="167" t="s">
        <v>681</v>
      </c>
      <c r="D381" s="167" t="s">
        <v>202</v>
      </c>
      <c r="E381" s="168" t="s">
        <v>2611</v>
      </c>
      <c r="F381" s="338" t="s">
        <v>3458</v>
      </c>
      <c r="G381" s="170" t="s">
        <v>217</v>
      </c>
      <c r="H381" s="171">
        <v>2</v>
      </c>
      <c r="I381" s="172"/>
      <c r="J381" s="151">
        <v>0</v>
      </c>
      <c r="K381" s="174"/>
      <c r="L381" s="175"/>
      <c r="M381" s="176" t="s">
        <v>1</v>
      </c>
      <c r="N381" s="177" t="s">
        <v>35</v>
      </c>
      <c r="O381" s="58"/>
      <c r="P381" s="163">
        <f t="shared" si="72"/>
        <v>0</v>
      </c>
      <c r="Q381" s="163">
        <v>3.0100000000000001E-3</v>
      </c>
      <c r="R381" s="163">
        <f t="shared" si="73"/>
        <v>6.0200000000000002E-3</v>
      </c>
      <c r="S381" s="163">
        <v>0</v>
      </c>
      <c r="T381" s="164">
        <f t="shared" si="74"/>
        <v>0</v>
      </c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R381" s="165" t="s">
        <v>242</v>
      </c>
      <c r="AT381" s="165" t="s">
        <v>202</v>
      </c>
      <c r="AU381" s="165" t="s">
        <v>82</v>
      </c>
      <c r="AY381" s="14" t="s">
        <v>179</v>
      </c>
      <c r="BE381" s="166">
        <f t="shared" si="75"/>
        <v>0</v>
      </c>
      <c r="BF381" s="166">
        <f t="shared" si="76"/>
        <v>0</v>
      </c>
      <c r="BG381" s="166">
        <f t="shared" si="77"/>
        <v>0</v>
      </c>
      <c r="BH381" s="166">
        <f t="shared" si="78"/>
        <v>0</v>
      </c>
      <c r="BI381" s="166">
        <f t="shared" si="79"/>
        <v>0</v>
      </c>
      <c r="BJ381" s="14" t="s">
        <v>82</v>
      </c>
      <c r="BK381" s="166">
        <f t="shared" si="80"/>
        <v>0</v>
      </c>
      <c r="BL381" s="14" t="s">
        <v>213</v>
      </c>
      <c r="BM381" s="165" t="s">
        <v>2612</v>
      </c>
    </row>
    <row r="382" spans="1:65" s="2" customFormat="1" ht="24.2" customHeight="1">
      <c r="A382" s="29"/>
      <c r="B382" s="152"/>
      <c r="C382" s="167" t="s">
        <v>2613</v>
      </c>
      <c r="D382" s="167" t="s">
        <v>202</v>
      </c>
      <c r="E382" s="168" t="s">
        <v>2614</v>
      </c>
      <c r="F382" s="338" t="s">
        <v>3459</v>
      </c>
      <c r="G382" s="170" t="s">
        <v>217</v>
      </c>
      <c r="H382" s="171">
        <v>3</v>
      </c>
      <c r="I382" s="172"/>
      <c r="J382" s="151">
        <v>0</v>
      </c>
      <c r="K382" s="174"/>
      <c r="L382" s="175"/>
      <c r="M382" s="176" t="s">
        <v>1</v>
      </c>
      <c r="N382" s="177" t="s">
        <v>35</v>
      </c>
      <c r="O382" s="58"/>
      <c r="P382" s="163">
        <f t="shared" si="72"/>
        <v>0</v>
      </c>
      <c r="Q382" s="163">
        <v>3.0100000000000001E-3</v>
      </c>
      <c r="R382" s="163">
        <f t="shared" si="73"/>
        <v>9.0299999999999998E-3</v>
      </c>
      <c r="S382" s="163">
        <v>0</v>
      </c>
      <c r="T382" s="164">
        <f t="shared" si="74"/>
        <v>0</v>
      </c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R382" s="165" t="s">
        <v>242</v>
      </c>
      <c r="AT382" s="165" t="s">
        <v>202</v>
      </c>
      <c r="AU382" s="165" t="s">
        <v>82</v>
      </c>
      <c r="AY382" s="14" t="s">
        <v>179</v>
      </c>
      <c r="BE382" s="166">
        <f t="shared" si="75"/>
        <v>0</v>
      </c>
      <c r="BF382" s="166">
        <f t="shared" si="76"/>
        <v>0</v>
      </c>
      <c r="BG382" s="166">
        <f t="shared" si="77"/>
        <v>0</v>
      </c>
      <c r="BH382" s="166">
        <f t="shared" si="78"/>
        <v>0</v>
      </c>
      <c r="BI382" s="166">
        <f t="shared" si="79"/>
        <v>0</v>
      </c>
      <c r="BJ382" s="14" t="s">
        <v>82</v>
      </c>
      <c r="BK382" s="166">
        <f t="shared" si="80"/>
        <v>0</v>
      </c>
      <c r="BL382" s="14" t="s">
        <v>213</v>
      </c>
      <c r="BM382" s="165" t="s">
        <v>2615</v>
      </c>
    </row>
    <row r="383" spans="1:65" s="2" customFormat="1" ht="24.2" customHeight="1">
      <c r="A383" s="29"/>
      <c r="B383" s="152"/>
      <c r="C383" s="167" t="s">
        <v>684</v>
      </c>
      <c r="D383" s="167" t="s">
        <v>202</v>
      </c>
      <c r="E383" s="168" t="s">
        <v>2616</v>
      </c>
      <c r="F383" s="338" t="s">
        <v>3460</v>
      </c>
      <c r="G383" s="170" t="s">
        <v>217</v>
      </c>
      <c r="H383" s="171">
        <v>2</v>
      </c>
      <c r="I383" s="172"/>
      <c r="J383" s="151">
        <v>0</v>
      </c>
      <c r="K383" s="174"/>
      <c r="L383" s="175"/>
      <c r="M383" s="176" t="s">
        <v>1</v>
      </c>
      <c r="N383" s="177" t="s">
        <v>35</v>
      </c>
      <c r="O383" s="58"/>
      <c r="P383" s="163">
        <f t="shared" si="72"/>
        <v>0</v>
      </c>
      <c r="Q383" s="163">
        <v>3.0100000000000001E-3</v>
      </c>
      <c r="R383" s="163">
        <f t="shared" si="73"/>
        <v>6.0200000000000002E-3</v>
      </c>
      <c r="S383" s="163">
        <v>0</v>
      </c>
      <c r="T383" s="164">
        <f t="shared" si="74"/>
        <v>0</v>
      </c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R383" s="165" t="s">
        <v>242</v>
      </c>
      <c r="AT383" s="165" t="s">
        <v>202</v>
      </c>
      <c r="AU383" s="165" t="s">
        <v>82</v>
      </c>
      <c r="AY383" s="14" t="s">
        <v>179</v>
      </c>
      <c r="BE383" s="166">
        <f t="shared" si="75"/>
        <v>0</v>
      </c>
      <c r="BF383" s="166">
        <f t="shared" si="76"/>
        <v>0</v>
      </c>
      <c r="BG383" s="166">
        <f t="shared" si="77"/>
        <v>0</v>
      </c>
      <c r="BH383" s="166">
        <f t="shared" si="78"/>
        <v>0</v>
      </c>
      <c r="BI383" s="166">
        <f t="shared" si="79"/>
        <v>0</v>
      </c>
      <c r="BJ383" s="14" t="s">
        <v>82</v>
      </c>
      <c r="BK383" s="166">
        <f t="shared" si="80"/>
        <v>0</v>
      </c>
      <c r="BL383" s="14" t="s">
        <v>213</v>
      </c>
      <c r="BM383" s="165" t="s">
        <v>2617</v>
      </c>
    </row>
    <row r="384" spans="1:65" s="2" customFormat="1" ht="24.2" customHeight="1">
      <c r="A384" s="29"/>
      <c r="B384" s="152"/>
      <c r="C384" s="167" t="s">
        <v>2618</v>
      </c>
      <c r="D384" s="167" t="s">
        <v>202</v>
      </c>
      <c r="E384" s="168" t="s">
        <v>2619</v>
      </c>
      <c r="F384" s="338" t="s">
        <v>3461</v>
      </c>
      <c r="G384" s="170" t="s">
        <v>217</v>
      </c>
      <c r="H384" s="171">
        <v>10</v>
      </c>
      <c r="I384" s="172"/>
      <c r="J384" s="151">
        <v>0</v>
      </c>
      <c r="K384" s="174"/>
      <c r="L384" s="175"/>
      <c r="M384" s="176" t="s">
        <v>1</v>
      </c>
      <c r="N384" s="177" t="s">
        <v>35</v>
      </c>
      <c r="O384" s="58"/>
      <c r="P384" s="163">
        <f t="shared" si="72"/>
        <v>0</v>
      </c>
      <c r="Q384" s="163">
        <v>3.0100000000000001E-3</v>
      </c>
      <c r="R384" s="163">
        <f t="shared" si="73"/>
        <v>3.0100000000000002E-2</v>
      </c>
      <c r="S384" s="163">
        <v>0</v>
      </c>
      <c r="T384" s="164">
        <f t="shared" si="74"/>
        <v>0</v>
      </c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R384" s="165" t="s">
        <v>242</v>
      </c>
      <c r="AT384" s="165" t="s">
        <v>202</v>
      </c>
      <c r="AU384" s="165" t="s">
        <v>82</v>
      </c>
      <c r="AY384" s="14" t="s">
        <v>179</v>
      </c>
      <c r="BE384" s="166">
        <f t="shared" si="75"/>
        <v>0</v>
      </c>
      <c r="BF384" s="166">
        <f t="shared" si="76"/>
        <v>0</v>
      </c>
      <c r="BG384" s="166">
        <f t="shared" si="77"/>
        <v>0</v>
      </c>
      <c r="BH384" s="166">
        <f t="shared" si="78"/>
        <v>0</v>
      </c>
      <c r="BI384" s="166">
        <f t="shared" si="79"/>
        <v>0</v>
      </c>
      <c r="BJ384" s="14" t="s">
        <v>82</v>
      </c>
      <c r="BK384" s="166">
        <f t="shared" si="80"/>
        <v>0</v>
      </c>
      <c r="BL384" s="14" t="s">
        <v>213</v>
      </c>
      <c r="BM384" s="165" t="s">
        <v>2620</v>
      </c>
    </row>
    <row r="385" spans="1:65" s="2" customFormat="1" ht="24.2" customHeight="1">
      <c r="A385" s="29"/>
      <c r="B385" s="152"/>
      <c r="C385" s="167" t="s">
        <v>688</v>
      </c>
      <c r="D385" s="167" t="s">
        <v>202</v>
      </c>
      <c r="E385" s="168" t="s">
        <v>2621</v>
      </c>
      <c r="F385" s="338" t="s">
        <v>3462</v>
      </c>
      <c r="G385" s="170" t="s">
        <v>217</v>
      </c>
      <c r="H385" s="171">
        <v>2</v>
      </c>
      <c r="I385" s="172"/>
      <c r="J385" s="151">
        <v>0</v>
      </c>
      <c r="K385" s="174"/>
      <c r="L385" s="175"/>
      <c r="M385" s="176" t="s">
        <v>1</v>
      </c>
      <c r="N385" s="177" t="s">
        <v>35</v>
      </c>
      <c r="O385" s="58"/>
      <c r="P385" s="163">
        <f t="shared" si="72"/>
        <v>0</v>
      </c>
      <c r="Q385" s="163">
        <v>3.0100000000000001E-3</v>
      </c>
      <c r="R385" s="163">
        <f t="shared" si="73"/>
        <v>6.0200000000000002E-3</v>
      </c>
      <c r="S385" s="163">
        <v>0</v>
      </c>
      <c r="T385" s="164">
        <f t="shared" si="74"/>
        <v>0</v>
      </c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R385" s="165" t="s">
        <v>242</v>
      </c>
      <c r="AT385" s="165" t="s">
        <v>202</v>
      </c>
      <c r="AU385" s="165" t="s">
        <v>82</v>
      </c>
      <c r="AY385" s="14" t="s">
        <v>179</v>
      </c>
      <c r="BE385" s="166">
        <f t="shared" si="75"/>
        <v>0</v>
      </c>
      <c r="BF385" s="166">
        <f t="shared" si="76"/>
        <v>0</v>
      </c>
      <c r="BG385" s="166">
        <f t="shared" si="77"/>
        <v>0</v>
      </c>
      <c r="BH385" s="166">
        <f t="shared" si="78"/>
        <v>0</v>
      </c>
      <c r="BI385" s="166">
        <f t="shared" si="79"/>
        <v>0</v>
      </c>
      <c r="BJ385" s="14" t="s">
        <v>82</v>
      </c>
      <c r="BK385" s="166">
        <f t="shared" si="80"/>
        <v>0</v>
      </c>
      <c r="BL385" s="14" t="s">
        <v>213</v>
      </c>
      <c r="BM385" s="165" t="s">
        <v>2622</v>
      </c>
    </row>
    <row r="386" spans="1:65" s="2" customFormat="1" ht="24.2" customHeight="1">
      <c r="A386" s="29"/>
      <c r="B386" s="152"/>
      <c r="C386" s="167" t="s">
        <v>2623</v>
      </c>
      <c r="D386" s="167" t="s">
        <v>202</v>
      </c>
      <c r="E386" s="168" t="s">
        <v>2624</v>
      </c>
      <c r="F386" s="338" t="s">
        <v>3463</v>
      </c>
      <c r="G386" s="170" t="s">
        <v>217</v>
      </c>
      <c r="H386" s="171">
        <v>10</v>
      </c>
      <c r="I386" s="172"/>
      <c r="J386" s="151">
        <v>0</v>
      </c>
      <c r="K386" s="174"/>
      <c r="L386" s="175"/>
      <c r="M386" s="176" t="s">
        <v>1</v>
      </c>
      <c r="N386" s="177" t="s">
        <v>35</v>
      </c>
      <c r="O386" s="58"/>
      <c r="P386" s="163">
        <f t="shared" si="72"/>
        <v>0</v>
      </c>
      <c r="Q386" s="163">
        <v>3.0100000000000001E-3</v>
      </c>
      <c r="R386" s="163">
        <f t="shared" si="73"/>
        <v>3.0100000000000002E-2</v>
      </c>
      <c r="S386" s="163">
        <v>0</v>
      </c>
      <c r="T386" s="164">
        <f t="shared" si="74"/>
        <v>0</v>
      </c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R386" s="165" t="s">
        <v>242</v>
      </c>
      <c r="AT386" s="165" t="s">
        <v>202</v>
      </c>
      <c r="AU386" s="165" t="s">
        <v>82</v>
      </c>
      <c r="AY386" s="14" t="s">
        <v>179</v>
      </c>
      <c r="BE386" s="166">
        <f t="shared" si="75"/>
        <v>0</v>
      </c>
      <c r="BF386" s="166">
        <f t="shared" si="76"/>
        <v>0</v>
      </c>
      <c r="BG386" s="166">
        <f t="shared" si="77"/>
        <v>0</v>
      </c>
      <c r="BH386" s="166">
        <f t="shared" si="78"/>
        <v>0</v>
      </c>
      <c r="BI386" s="166">
        <f t="shared" si="79"/>
        <v>0</v>
      </c>
      <c r="BJ386" s="14" t="s">
        <v>82</v>
      </c>
      <c r="BK386" s="166">
        <f t="shared" si="80"/>
        <v>0</v>
      </c>
      <c r="BL386" s="14" t="s">
        <v>213</v>
      </c>
      <c r="BM386" s="165" t="s">
        <v>2625</v>
      </c>
    </row>
    <row r="387" spans="1:65" s="2" customFormat="1" ht="37.9" customHeight="1">
      <c r="A387" s="29"/>
      <c r="B387" s="152"/>
      <c r="C387" s="167" t="s">
        <v>691</v>
      </c>
      <c r="D387" s="167" t="s">
        <v>202</v>
      </c>
      <c r="E387" s="168" t="s">
        <v>2626</v>
      </c>
      <c r="F387" s="338" t="s">
        <v>3464</v>
      </c>
      <c r="G387" s="170" t="s">
        <v>217</v>
      </c>
      <c r="H387" s="171">
        <v>12</v>
      </c>
      <c r="I387" s="172"/>
      <c r="J387" s="151">
        <v>0</v>
      </c>
      <c r="K387" s="174"/>
      <c r="L387" s="175"/>
      <c r="M387" s="176" t="s">
        <v>1</v>
      </c>
      <c r="N387" s="177" t="s">
        <v>35</v>
      </c>
      <c r="O387" s="58"/>
      <c r="P387" s="163">
        <f t="shared" si="72"/>
        <v>0</v>
      </c>
      <c r="Q387" s="163">
        <v>1.4E-3</v>
      </c>
      <c r="R387" s="163">
        <f t="shared" si="73"/>
        <v>1.6799999999999999E-2</v>
      </c>
      <c r="S387" s="163">
        <v>0</v>
      </c>
      <c r="T387" s="164">
        <f t="shared" si="74"/>
        <v>0</v>
      </c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R387" s="165" t="s">
        <v>242</v>
      </c>
      <c r="AT387" s="165" t="s">
        <v>202</v>
      </c>
      <c r="AU387" s="165" t="s">
        <v>82</v>
      </c>
      <c r="AY387" s="14" t="s">
        <v>179</v>
      </c>
      <c r="BE387" s="166">
        <f t="shared" si="75"/>
        <v>0</v>
      </c>
      <c r="BF387" s="166">
        <f t="shared" si="76"/>
        <v>0</v>
      </c>
      <c r="BG387" s="166">
        <f t="shared" si="77"/>
        <v>0</v>
      </c>
      <c r="BH387" s="166">
        <f t="shared" si="78"/>
        <v>0</v>
      </c>
      <c r="BI387" s="166">
        <f t="shared" si="79"/>
        <v>0</v>
      </c>
      <c r="BJ387" s="14" t="s">
        <v>82</v>
      </c>
      <c r="BK387" s="166">
        <f t="shared" si="80"/>
        <v>0</v>
      </c>
      <c r="BL387" s="14" t="s">
        <v>213</v>
      </c>
      <c r="BM387" s="165" t="s">
        <v>2627</v>
      </c>
    </row>
    <row r="388" spans="1:65" s="2" customFormat="1" ht="24.2" customHeight="1">
      <c r="A388" s="29"/>
      <c r="B388" s="152"/>
      <c r="C388" s="153" t="s">
        <v>2628</v>
      </c>
      <c r="D388" s="153" t="s">
        <v>181</v>
      </c>
      <c r="E388" s="154" t="s">
        <v>2629</v>
      </c>
      <c r="F388" s="155" t="s">
        <v>2630</v>
      </c>
      <c r="G388" s="156" t="s">
        <v>1202</v>
      </c>
      <c r="H388" s="157">
        <v>12</v>
      </c>
      <c r="I388" s="158"/>
      <c r="J388" s="151">
        <v>0</v>
      </c>
      <c r="K388" s="160"/>
      <c r="L388" s="30"/>
      <c r="M388" s="161" t="s">
        <v>1</v>
      </c>
      <c r="N388" s="162" t="s">
        <v>35</v>
      </c>
      <c r="O388" s="58"/>
      <c r="P388" s="163">
        <f t="shared" si="72"/>
        <v>0</v>
      </c>
      <c r="Q388" s="163">
        <v>0</v>
      </c>
      <c r="R388" s="163">
        <f t="shared" si="73"/>
        <v>0</v>
      </c>
      <c r="S388" s="163">
        <v>0</v>
      </c>
      <c r="T388" s="164">
        <f t="shared" si="74"/>
        <v>0</v>
      </c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R388" s="165" t="s">
        <v>213</v>
      </c>
      <c r="AT388" s="165" t="s">
        <v>181</v>
      </c>
      <c r="AU388" s="165" t="s">
        <v>82</v>
      </c>
      <c r="AY388" s="14" t="s">
        <v>179</v>
      </c>
      <c r="BE388" s="166">
        <f t="shared" si="75"/>
        <v>0</v>
      </c>
      <c r="BF388" s="166">
        <f t="shared" si="76"/>
        <v>0</v>
      </c>
      <c r="BG388" s="166">
        <f t="shared" si="77"/>
        <v>0</v>
      </c>
      <c r="BH388" s="166">
        <f t="shared" si="78"/>
        <v>0</v>
      </c>
      <c r="BI388" s="166">
        <f t="shared" si="79"/>
        <v>0</v>
      </c>
      <c r="BJ388" s="14" t="s">
        <v>82</v>
      </c>
      <c r="BK388" s="166">
        <f t="shared" si="80"/>
        <v>0</v>
      </c>
      <c r="BL388" s="14" t="s">
        <v>213</v>
      </c>
      <c r="BM388" s="165" t="s">
        <v>2631</v>
      </c>
    </row>
    <row r="389" spans="1:65" s="2" customFormat="1" ht="24.2" customHeight="1">
      <c r="A389" s="29"/>
      <c r="B389" s="152"/>
      <c r="C389" s="153" t="s">
        <v>695</v>
      </c>
      <c r="D389" s="153" t="s">
        <v>181</v>
      </c>
      <c r="E389" s="154" t="s">
        <v>2632</v>
      </c>
      <c r="F389" s="155" t="s">
        <v>2633</v>
      </c>
      <c r="G389" s="156" t="s">
        <v>217</v>
      </c>
      <c r="H389" s="157">
        <v>2</v>
      </c>
      <c r="I389" s="158"/>
      <c r="J389" s="151">
        <v>0</v>
      </c>
      <c r="K389" s="160"/>
      <c r="L389" s="30"/>
      <c r="M389" s="161" t="s">
        <v>1</v>
      </c>
      <c r="N389" s="162" t="s">
        <v>35</v>
      </c>
      <c r="O389" s="58"/>
      <c r="P389" s="163">
        <f t="shared" si="72"/>
        <v>0</v>
      </c>
      <c r="Q389" s="163">
        <v>1.0000000000000001E-5</v>
      </c>
      <c r="R389" s="163">
        <f t="shared" si="73"/>
        <v>2.0000000000000002E-5</v>
      </c>
      <c r="S389" s="163">
        <v>0</v>
      </c>
      <c r="T389" s="164">
        <f t="shared" si="74"/>
        <v>0</v>
      </c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R389" s="165" t="s">
        <v>213</v>
      </c>
      <c r="AT389" s="165" t="s">
        <v>181</v>
      </c>
      <c r="AU389" s="165" t="s">
        <v>82</v>
      </c>
      <c r="AY389" s="14" t="s">
        <v>179</v>
      </c>
      <c r="BE389" s="166">
        <f t="shared" si="75"/>
        <v>0</v>
      </c>
      <c r="BF389" s="166">
        <f t="shared" si="76"/>
        <v>0</v>
      </c>
      <c r="BG389" s="166">
        <f t="shared" si="77"/>
        <v>0</v>
      </c>
      <c r="BH389" s="166">
        <f t="shared" si="78"/>
        <v>0</v>
      </c>
      <c r="BI389" s="166">
        <f t="shared" si="79"/>
        <v>0</v>
      </c>
      <c r="BJ389" s="14" t="s">
        <v>82</v>
      </c>
      <c r="BK389" s="166">
        <f t="shared" si="80"/>
        <v>0</v>
      </c>
      <c r="BL389" s="14" t="s">
        <v>213</v>
      </c>
      <c r="BM389" s="165" t="s">
        <v>2634</v>
      </c>
    </row>
    <row r="390" spans="1:65" s="2" customFormat="1" ht="37.9" customHeight="1">
      <c r="A390" s="29"/>
      <c r="B390" s="152"/>
      <c r="C390" s="167" t="s">
        <v>2635</v>
      </c>
      <c r="D390" s="167" t="s">
        <v>202</v>
      </c>
      <c r="E390" s="168" t="s">
        <v>2636</v>
      </c>
      <c r="F390" s="338" t="s">
        <v>3465</v>
      </c>
      <c r="G390" s="170" t="s">
        <v>217</v>
      </c>
      <c r="H390" s="171">
        <v>2</v>
      </c>
      <c r="I390" s="172"/>
      <c r="J390" s="151">
        <v>0</v>
      </c>
      <c r="K390" s="174"/>
      <c r="L390" s="175"/>
      <c r="M390" s="176" t="s">
        <v>1</v>
      </c>
      <c r="N390" s="177" t="s">
        <v>35</v>
      </c>
      <c r="O390" s="58"/>
      <c r="P390" s="163">
        <f t="shared" si="72"/>
        <v>0</v>
      </c>
      <c r="Q390" s="163">
        <v>3.0100000000000001E-3</v>
      </c>
      <c r="R390" s="163">
        <f t="shared" si="73"/>
        <v>6.0200000000000002E-3</v>
      </c>
      <c r="S390" s="163">
        <v>0</v>
      </c>
      <c r="T390" s="164">
        <f t="shared" si="74"/>
        <v>0</v>
      </c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R390" s="165" t="s">
        <v>242</v>
      </c>
      <c r="AT390" s="165" t="s">
        <v>202</v>
      </c>
      <c r="AU390" s="165" t="s">
        <v>82</v>
      </c>
      <c r="AY390" s="14" t="s">
        <v>179</v>
      </c>
      <c r="BE390" s="166">
        <f t="shared" si="75"/>
        <v>0</v>
      </c>
      <c r="BF390" s="166">
        <f t="shared" si="76"/>
        <v>0</v>
      </c>
      <c r="BG390" s="166">
        <f t="shared" si="77"/>
        <v>0</v>
      </c>
      <c r="BH390" s="166">
        <f t="shared" si="78"/>
        <v>0</v>
      </c>
      <c r="BI390" s="166">
        <f t="shared" si="79"/>
        <v>0</v>
      </c>
      <c r="BJ390" s="14" t="s">
        <v>82</v>
      </c>
      <c r="BK390" s="166">
        <f t="shared" si="80"/>
        <v>0</v>
      </c>
      <c r="BL390" s="14" t="s">
        <v>213</v>
      </c>
      <c r="BM390" s="165" t="s">
        <v>2637</v>
      </c>
    </row>
    <row r="391" spans="1:65" s="2" customFormat="1" ht="16.5" customHeight="1">
      <c r="A391" s="29"/>
      <c r="B391" s="152"/>
      <c r="C391" s="153" t="s">
        <v>700</v>
      </c>
      <c r="D391" s="153" t="s">
        <v>181</v>
      </c>
      <c r="E391" s="154" t="s">
        <v>2638</v>
      </c>
      <c r="F391" s="155" t="s">
        <v>2639</v>
      </c>
      <c r="G391" s="156" t="s">
        <v>217</v>
      </c>
      <c r="H391" s="157">
        <v>5</v>
      </c>
      <c r="I391" s="158"/>
      <c r="J391" s="151">
        <v>0</v>
      </c>
      <c r="K391" s="160"/>
      <c r="L391" s="30"/>
      <c r="M391" s="161" t="s">
        <v>1</v>
      </c>
      <c r="N391" s="162" t="s">
        <v>35</v>
      </c>
      <c r="O391" s="58"/>
      <c r="P391" s="163">
        <f t="shared" si="72"/>
        <v>0</v>
      </c>
      <c r="Q391" s="163">
        <v>2.0000000000000002E-5</v>
      </c>
      <c r="R391" s="163">
        <f t="shared" si="73"/>
        <v>1E-4</v>
      </c>
      <c r="S391" s="163">
        <v>0</v>
      </c>
      <c r="T391" s="164">
        <f t="shared" si="74"/>
        <v>0</v>
      </c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R391" s="165" t="s">
        <v>213</v>
      </c>
      <c r="AT391" s="165" t="s">
        <v>181</v>
      </c>
      <c r="AU391" s="165" t="s">
        <v>82</v>
      </c>
      <c r="AY391" s="14" t="s">
        <v>179</v>
      </c>
      <c r="BE391" s="166">
        <f t="shared" si="75"/>
        <v>0</v>
      </c>
      <c r="BF391" s="166">
        <f t="shared" si="76"/>
        <v>0</v>
      </c>
      <c r="BG391" s="166">
        <f t="shared" si="77"/>
        <v>0</v>
      </c>
      <c r="BH391" s="166">
        <f t="shared" si="78"/>
        <v>0</v>
      </c>
      <c r="BI391" s="166">
        <f t="shared" si="79"/>
        <v>0</v>
      </c>
      <c r="BJ391" s="14" t="s">
        <v>82</v>
      </c>
      <c r="BK391" s="166">
        <f t="shared" si="80"/>
        <v>0</v>
      </c>
      <c r="BL391" s="14" t="s">
        <v>213</v>
      </c>
      <c r="BM391" s="165" t="s">
        <v>2640</v>
      </c>
    </row>
    <row r="392" spans="1:65" s="2" customFormat="1" ht="16.5" customHeight="1">
      <c r="A392" s="29"/>
      <c r="B392" s="152"/>
      <c r="C392" s="153" t="s">
        <v>2641</v>
      </c>
      <c r="D392" s="153" t="s">
        <v>181</v>
      </c>
      <c r="E392" s="154" t="s">
        <v>2642</v>
      </c>
      <c r="F392" s="155" t="s">
        <v>2643</v>
      </c>
      <c r="G392" s="156" t="s">
        <v>217</v>
      </c>
      <c r="H392" s="157">
        <v>1</v>
      </c>
      <c r="I392" s="158"/>
      <c r="J392" s="151">
        <v>0</v>
      </c>
      <c r="K392" s="160"/>
      <c r="L392" s="30"/>
      <c r="M392" s="161" t="s">
        <v>1</v>
      </c>
      <c r="N392" s="162" t="s">
        <v>35</v>
      </c>
      <c r="O392" s="58"/>
      <c r="P392" s="163">
        <f t="shared" ref="P392:P412" si="81">O392*H392</f>
        <v>0</v>
      </c>
      <c r="Q392" s="163">
        <v>2.0000000000000002E-5</v>
      </c>
      <c r="R392" s="163">
        <f t="shared" ref="R392:R412" si="82">Q392*H392</f>
        <v>2.0000000000000002E-5</v>
      </c>
      <c r="S392" s="163">
        <v>0</v>
      </c>
      <c r="T392" s="164">
        <f t="shared" ref="T392:T412" si="83">S392*H392</f>
        <v>0</v>
      </c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R392" s="165" t="s">
        <v>213</v>
      </c>
      <c r="AT392" s="165" t="s">
        <v>181</v>
      </c>
      <c r="AU392" s="165" t="s">
        <v>82</v>
      </c>
      <c r="AY392" s="14" t="s">
        <v>179</v>
      </c>
      <c r="BE392" s="166">
        <f t="shared" ref="BE392:BE412" si="84">IF(N392="základná",J392,0)</f>
        <v>0</v>
      </c>
      <c r="BF392" s="166">
        <f t="shared" ref="BF392:BF412" si="85">IF(N392="znížená",J392,0)</f>
        <v>0</v>
      </c>
      <c r="BG392" s="166">
        <f t="shared" ref="BG392:BG412" si="86">IF(N392="zákl. prenesená",J392,0)</f>
        <v>0</v>
      </c>
      <c r="BH392" s="166">
        <f t="shared" ref="BH392:BH412" si="87">IF(N392="zníž. prenesená",J392,0)</f>
        <v>0</v>
      </c>
      <c r="BI392" s="166">
        <f t="shared" ref="BI392:BI412" si="88">IF(N392="nulová",J392,0)</f>
        <v>0</v>
      </c>
      <c r="BJ392" s="14" t="s">
        <v>82</v>
      </c>
      <c r="BK392" s="166">
        <f t="shared" ref="BK392:BK412" si="89">ROUND(I392*H392,2)</f>
        <v>0</v>
      </c>
      <c r="BL392" s="14" t="s">
        <v>213</v>
      </c>
      <c r="BM392" s="165" t="s">
        <v>2644</v>
      </c>
    </row>
    <row r="393" spans="1:65" s="2" customFormat="1" ht="37.9" customHeight="1">
      <c r="A393" s="29"/>
      <c r="B393" s="152"/>
      <c r="C393" s="167" t="s">
        <v>704</v>
      </c>
      <c r="D393" s="167" t="s">
        <v>202</v>
      </c>
      <c r="E393" s="168" t="s">
        <v>2645</v>
      </c>
      <c r="F393" s="338" t="s">
        <v>3466</v>
      </c>
      <c r="G393" s="170" t="s">
        <v>217</v>
      </c>
      <c r="H393" s="171">
        <v>5</v>
      </c>
      <c r="I393" s="172"/>
      <c r="J393" s="151">
        <v>0</v>
      </c>
      <c r="K393" s="174"/>
      <c r="L393" s="175"/>
      <c r="M393" s="176" t="s">
        <v>1</v>
      </c>
      <c r="N393" s="177" t="s">
        <v>35</v>
      </c>
      <c r="O393" s="58"/>
      <c r="P393" s="163">
        <f t="shared" si="81"/>
        <v>0</v>
      </c>
      <c r="Q393" s="163">
        <v>3.0100000000000001E-3</v>
      </c>
      <c r="R393" s="163">
        <f t="shared" si="82"/>
        <v>1.5050000000000001E-2</v>
      </c>
      <c r="S393" s="163">
        <v>0</v>
      </c>
      <c r="T393" s="164">
        <f t="shared" si="83"/>
        <v>0</v>
      </c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R393" s="165" t="s">
        <v>242</v>
      </c>
      <c r="AT393" s="165" t="s">
        <v>202</v>
      </c>
      <c r="AU393" s="165" t="s">
        <v>82</v>
      </c>
      <c r="AY393" s="14" t="s">
        <v>179</v>
      </c>
      <c r="BE393" s="166">
        <f t="shared" si="84"/>
        <v>0</v>
      </c>
      <c r="BF393" s="166">
        <f t="shared" si="85"/>
        <v>0</v>
      </c>
      <c r="BG393" s="166">
        <f t="shared" si="86"/>
        <v>0</v>
      </c>
      <c r="BH393" s="166">
        <f t="shared" si="87"/>
        <v>0</v>
      </c>
      <c r="BI393" s="166">
        <f t="shared" si="88"/>
        <v>0</v>
      </c>
      <c r="BJ393" s="14" t="s">
        <v>82</v>
      </c>
      <c r="BK393" s="166">
        <f t="shared" si="89"/>
        <v>0</v>
      </c>
      <c r="BL393" s="14" t="s">
        <v>213</v>
      </c>
      <c r="BM393" s="165" t="s">
        <v>2646</v>
      </c>
    </row>
    <row r="394" spans="1:65" s="2" customFormat="1" ht="37.9" customHeight="1">
      <c r="A394" s="29"/>
      <c r="B394" s="152"/>
      <c r="C394" s="167" t="s">
        <v>2647</v>
      </c>
      <c r="D394" s="167" t="s">
        <v>202</v>
      </c>
      <c r="E394" s="168" t="s">
        <v>2648</v>
      </c>
      <c r="F394" s="338" t="s">
        <v>3467</v>
      </c>
      <c r="G394" s="170" t="s">
        <v>217</v>
      </c>
      <c r="H394" s="171">
        <v>1</v>
      </c>
      <c r="I394" s="172"/>
      <c r="J394" s="151">
        <v>0</v>
      </c>
      <c r="K394" s="174"/>
      <c r="L394" s="175"/>
      <c r="M394" s="176" t="s">
        <v>1</v>
      </c>
      <c r="N394" s="177" t="s">
        <v>35</v>
      </c>
      <c r="O394" s="58"/>
      <c r="P394" s="163">
        <f t="shared" si="81"/>
        <v>0</v>
      </c>
      <c r="Q394" s="163">
        <v>3.0100000000000001E-3</v>
      </c>
      <c r="R394" s="163">
        <f t="shared" si="82"/>
        <v>3.0100000000000001E-3</v>
      </c>
      <c r="S394" s="163">
        <v>0</v>
      </c>
      <c r="T394" s="164">
        <f t="shared" si="83"/>
        <v>0</v>
      </c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R394" s="165" t="s">
        <v>242</v>
      </c>
      <c r="AT394" s="165" t="s">
        <v>202</v>
      </c>
      <c r="AU394" s="165" t="s">
        <v>82</v>
      </c>
      <c r="AY394" s="14" t="s">
        <v>179</v>
      </c>
      <c r="BE394" s="166">
        <f t="shared" si="84"/>
        <v>0</v>
      </c>
      <c r="BF394" s="166">
        <f t="shared" si="85"/>
        <v>0</v>
      </c>
      <c r="BG394" s="166">
        <f t="shared" si="86"/>
        <v>0</v>
      </c>
      <c r="BH394" s="166">
        <f t="shared" si="87"/>
        <v>0</v>
      </c>
      <c r="BI394" s="166">
        <f t="shared" si="88"/>
        <v>0</v>
      </c>
      <c r="BJ394" s="14" t="s">
        <v>82</v>
      </c>
      <c r="BK394" s="166">
        <f t="shared" si="89"/>
        <v>0</v>
      </c>
      <c r="BL394" s="14" t="s">
        <v>213</v>
      </c>
      <c r="BM394" s="165" t="s">
        <v>2649</v>
      </c>
    </row>
    <row r="395" spans="1:65" s="2" customFormat="1" ht="16.5" customHeight="1">
      <c r="A395" s="29"/>
      <c r="B395" s="152"/>
      <c r="C395" s="153" t="s">
        <v>707</v>
      </c>
      <c r="D395" s="153" t="s">
        <v>181</v>
      </c>
      <c r="E395" s="154" t="s">
        <v>2650</v>
      </c>
      <c r="F395" s="155" t="s">
        <v>2651</v>
      </c>
      <c r="G395" s="156" t="s">
        <v>217</v>
      </c>
      <c r="H395" s="157">
        <v>1</v>
      </c>
      <c r="I395" s="158"/>
      <c r="J395" s="151">
        <v>0</v>
      </c>
      <c r="K395" s="160"/>
      <c r="L395" s="30"/>
      <c r="M395" s="161" t="s">
        <v>1</v>
      </c>
      <c r="N395" s="162" t="s">
        <v>35</v>
      </c>
      <c r="O395" s="58"/>
      <c r="P395" s="163">
        <f t="shared" si="81"/>
        <v>0</v>
      </c>
      <c r="Q395" s="163">
        <v>4.0000000000000002E-4</v>
      </c>
      <c r="R395" s="163">
        <f t="shared" si="82"/>
        <v>4.0000000000000002E-4</v>
      </c>
      <c r="S395" s="163">
        <v>0</v>
      </c>
      <c r="T395" s="164">
        <f t="shared" si="83"/>
        <v>0</v>
      </c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R395" s="165" t="s">
        <v>213</v>
      </c>
      <c r="AT395" s="165" t="s">
        <v>181</v>
      </c>
      <c r="AU395" s="165" t="s">
        <v>82</v>
      </c>
      <c r="AY395" s="14" t="s">
        <v>179</v>
      </c>
      <c r="BE395" s="166">
        <f t="shared" si="84"/>
        <v>0</v>
      </c>
      <c r="BF395" s="166">
        <f t="shared" si="85"/>
        <v>0</v>
      </c>
      <c r="BG395" s="166">
        <f t="shared" si="86"/>
        <v>0</v>
      </c>
      <c r="BH395" s="166">
        <f t="shared" si="87"/>
        <v>0</v>
      </c>
      <c r="BI395" s="166">
        <f t="shared" si="88"/>
        <v>0</v>
      </c>
      <c r="BJ395" s="14" t="s">
        <v>82</v>
      </c>
      <c r="BK395" s="166">
        <f t="shared" si="89"/>
        <v>0</v>
      </c>
      <c r="BL395" s="14" t="s">
        <v>213</v>
      </c>
      <c r="BM395" s="165" t="s">
        <v>2652</v>
      </c>
    </row>
    <row r="396" spans="1:65" s="2" customFormat="1" ht="16.5" customHeight="1">
      <c r="A396" s="29"/>
      <c r="B396" s="152"/>
      <c r="C396" s="153" t="s">
        <v>2653</v>
      </c>
      <c r="D396" s="153" t="s">
        <v>181</v>
      </c>
      <c r="E396" s="154" t="s">
        <v>2654</v>
      </c>
      <c r="F396" s="155" t="s">
        <v>2655</v>
      </c>
      <c r="G396" s="156" t="s">
        <v>217</v>
      </c>
      <c r="H396" s="157">
        <v>1</v>
      </c>
      <c r="I396" s="158"/>
      <c r="J396" s="151">
        <v>0</v>
      </c>
      <c r="K396" s="160"/>
      <c r="L396" s="30"/>
      <c r="M396" s="161" t="s">
        <v>1</v>
      </c>
      <c r="N396" s="162" t="s">
        <v>35</v>
      </c>
      <c r="O396" s="58"/>
      <c r="P396" s="163">
        <f t="shared" si="81"/>
        <v>0</v>
      </c>
      <c r="Q396" s="163">
        <v>4.0000000000000002E-4</v>
      </c>
      <c r="R396" s="163">
        <f t="shared" si="82"/>
        <v>4.0000000000000002E-4</v>
      </c>
      <c r="S396" s="163">
        <v>0</v>
      </c>
      <c r="T396" s="164">
        <f t="shared" si="83"/>
        <v>0</v>
      </c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R396" s="165" t="s">
        <v>213</v>
      </c>
      <c r="AT396" s="165" t="s">
        <v>181</v>
      </c>
      <c r="AU396" s="165" t="s">
        <v>82</v>
      </c>
      <c r="AY396" s="14" t="s">
        <v>179</v>
      </c>
      <c r="BE396" s="166">
        <f t="shared" si="84"/>
        <v>0</v>
      </c>
      <c r="BF396" s="166">
        <f t="shared" si="85"/>
        <v>0</v>
      </c>
      <c r="BG396" s="166">
        <f t="shared" si="86"/>
        <v>0</v>
      </c>
      <c r="BH396" s="166">
        <f t="shared" si="87"/>
        <v>0</v>
      </c>
      <c r="BI396" s="166">
        <f t="shared" si="88"/>
        <v>0</v>
      </c>
      <c r="BJ396" s="14" t="s">
        <v>82</v>
      </c>
      <c r="BK396" s="166">
        <f t="shared" si="89"/>
        <v>0</v>
      </c>
      <c r="BL396" s="14" t="s">
        <v>213</v>
      </c>
      <c r="BM396" s="165" t="s">
        <v>2656</v>
      </c>
    </row>
    <row r="397" spans="1:65" s="2" customFormat="1" ht="16.5" customHeight="1">
      <c r="A397" s="29"/>
      <c r="B397" s="152"/>
      <c r="C397" s="153" t="s">
        <v>711</v>
      </c>
      <c r="D397" s="153" t="s">
        <v>181</v>
      </c>
      <c r="E397" s="154" t="s">
        <v>2657</v>
      </c>
      <c r="F397" s="155" t="s">
        <v>2658</v>
      </c>
      <c r="G397" s="156" t="s">
        <v>217</v>
      </c>
      <c r="H397" s="157">
        <v>2</v>
      </c>
      <c r="I397" s="158"/>
      <c r="J397" s="151">
        <v>0</v>
      </c>
      <c r="K397" s="160"/>
      <c r="L397" s="30"/>
      <c r="M397" s="161" t="s">
        <v>1</v>
      </c>
      <c r="N397" s="162" t="s">
        <v>35</v>
      </c>
      <c r="O397" s="58"/>
      <c r="P397" s="163">
        <f t="shared" si="81"/>
        <v>0</v>
      </c>
      <c r="Q397" s="163">
        <v>4.0000000000000002E-4</v>
      </c>
      <c r="R397" s="163">
        <f t="shared" si="82"/>
        <v>8.0000000000000004E-4</v>
      </c>
      <c r="S397" s="163">
        <v>0</v>
      </c>
      <c r="T397" s="164">
        <f t="shared" si="83"/>
        <v>0</v>
      </c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R397" s="165" t="s">
        <v>213</v>
      </c>
      <c r="AT397" s="165" t="s">
        <v>181</v>
      </c>
      <c r="AU397" s="165" t="s">
        <v>82</v>
      </c>
      <c r="AY397" s="14" t="s">
        <v>179</v>
      </c>
      <c r="BE397" s="166">
        <f t="shared" si="84"/>
        <v>0</v>
      </c>
      <c r="BF397" s="166">
        <f t="shared" si="85"/>
        <v>0</v>
      </c>
      <c r="BG397" s="166">
        <f t="shared" si="86"/>
        <v>0</v>
      </c>
      <c r="BH397" s="166">
        <f t="shared" si="87"/>
        <v>0</v>
      </c>
      <c r="BI397" s="166">
        <f t="shared" si="88"/>
        <v>0</v>
      </c>
      <c r="BJ397" s="14" t="s">
        <v>82</v>
      </c>
      <c r="BK397" s="166">
        <f t="shared" si="89"/>
        <v>0</v>
      </c>
      <c r="BL397" s="14" t="s">
        <v>213</v>
      </c>
      <c r="BM397" s="165" t="s">
        <v>2659</v>
      </c>
    </row>
    <row r="398" spans="1:65" s="2" customFormat="1" ht="24.2" customHeight="1">
      <c r="A398" s="29"/>
      <c r="B398" s="152"/>
      <c r="C398" s="167" t="s">
        <v>2660</v>
      </c>
      <c r="D398" s="167" t="s">
        <v>202</v>
      </c>
      <c r="E398" s="168" t="s">
        <v>2661</v>
      </c>
      <c r="F398" s="338" t="s">
        <v>3468</v>
      </c>
      <c r="G398" s="170" t="s">
        <v>217</v>
      </c>
      <c r="H398" s="171">
        <v>1</v>
      </c>
      <c r="I398" s="172"/>
      <c r="J398" s="151">
        <v>0</v>
      </c>
      <c r="K398" s="174"/>
      <c r="L398" s="175"/>
      <c r="M398" s="176" t="s">
        <v>1</v>
      </c>
      <c r="N398" s="177" t="s">
        <v>35</v>
      </c>
      <c r="O398" s="58"/>
      <c r="P398" s="163">
        <f t="shared" si="81"/>
        <v>0</v>
      </c>
      <c r="Q398" s="163">
        <v>3.0100000000000001E-3</v>
      </c>
      <c r="R398" s="163">
        <f t="shared" si="82"/>
        <v>3.0100000000000001E-3</v>
      </c>
      <c r="S398" s="163">
        <v>0</v>
      </c>
      <c r="T398" s="164">
        <f t="shared" si="83"/>
        <v>0</v>
      </c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R398" s="165" t="s">
        <v>242</v>
      </c>
      <c r="AT398" s="165" t="s">
        <v>202</v>
      </c>
      <c r="AU398" s="165" t="s">
        <v>82</v>
      </c>
      <c r="AY398" s="14" t="s">
        <v>179</v>
      </c>
      <c r="BE398" s="166">
        <f t="shared" si="84"/>
        <v>0</v>
      </c>
      <c r="BF398" s="166">
        <f t="shared" si="85"/>
        <v>0</v>
      </c>
      <c r="BG398" s="166">
        <f t="shared" si="86"/>
        <v>0</v>
      </c>
      <c r="BH398" s="166">
        <f t="shared" si="87"/>
        <v>0</v>
      </c>
      <c r="BI398" s="166">
        <f t="shared" si="88"/>
        <v>0</v>
      </c>
      <c r="BJ398" s="14" t="s">
        <v>82</v>
      </c>
      <c r="BK398" s="166">
        <f t="shared" si="89"/>
        <v>0</v>
      </c>
      <c r="BL398" s="14" t="s">
        <v>213</v>
      </c>
      <c r="BM398" s="165" t="s">
        <v>2662</v>
      </c>
    </row>
    <row r="399" spans="1:65" s="2" customFormat="1" ht="24.2" customHeight="1">
      <c r="A399" s="29"/>
      <c r="B399" s="152"/>
      <c r="C399" s="167" t="s">
        <v>714</v>
      </c>
      <c r="D399" s="167" t="s">
        <v>202</v>
      </c>
      <c r="E399" s="168" t="s">
        <v>2663</v>
      </c>
      <c r="F399" s="338" t="s">
        <v>3469</v>
      </c>
      <c r="G399" s="170" t="s">
        <v>217</v>
      </c>
      <c r="H399" s="171">
        <v>1</v>
      </c>
      <c r="I399" s="172"/>
      <c r="J399" s="151">
        <v>0</v>
      </c>
      <c r="K399" s="174"/>
      <c r="L399" s="175"/>
      <c r="M399" s="176" t="s">
        <v>1</v>
      </c>
      <c r="N399" s="177" t="s">
        <v>35</v>
      </c>
      <c r="O399" s="58"/>
      <c r="P399" s="163">
        <f t="shared" si="81"/>
        <v>0</v>
      </c>
      <c r="Q399" s="163">
        <v>3.0100000000000001E-3</v>
      </c>
      <c r="R399" s="163">
        <f t="shared" si="82"/>
        <v>3.0100000000000001E-3</v>
      </c>
      <c r="S399" s="163">
        <v>0</v>
      </c>
      <c r="T399" s="164">
        <f t="shared" si="83"/>
        <v>0</v>
      </c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R399" s="165" t="s">
        <v>242</v>
      </c>
      <c r="AT399" s="165" t="s">
        <v>202</v>
      </c>
      <c r="AU399" s="165" t="s">
        <v>82</v>
      </c>
      <c r="AY399" s="14" t="s">
        <v>179</v>
      </c>
      <c r="BE399" s="166">
        <f t="shared" si="84"/>
        <v>0</v>
      </c>
      <c r="BF399" s="166">
        <f t="shared" si="85"/>
        <v>0</v>
      </c>
      <c r="BG399" s="166">
        <f t="shared" si="86"/>
        <v>0</v>
      </c>
      <c r="BH399" s="166">
        <f t="shared" si="87"/>
        <v>0</v>
      </c>
      <c r="BI399" s="166">
        <f t="shared" si="88"/>
        <v>0</v>
      </c>
      <c r="BJ399" s="14" t="s">
        <v>82</v>
      </c>
      <c r="BK399" s="166">
        <f t="shared" si="89"/>
        <v>0</v>
      </c>
      <c r="BL399" s="14" t="s">
        <v>213</v>
      </c>
      <c r="BM399" s="165" t="s">
        <v>2664</v>
      </c>
    </row>
    <row r="400" spans="1:65" s="2" customFormat="1" ht="24.2" customHeight="1">
      <c r="A400" s="29"/>
      <c r="B400" s="152"/>
      <c r="C400" s="167" t="s">
        <v>2665</v>
      </c>
      <c r="D400" s="167" t="s">
        <v>202</v>
      </c>
      <c r="E400" s="168" t="s">
        <v>2666</v>
      </c>
      <c r="F400" s="338" t="s">
        <v>3470</v>
      </c>
      <c r="G400" s="170" t="s">
        <v>217</v>
      </c>
      <c r="H400" s="171">
        <v>2</v>
      </c>
      <c r="I400" s="172"/>
      <c r="J400" s="151">
        <v>0</v>
      </c>
      <c r="K400" s="174"/>
      <c r="L400" s="175"/>
      <c r="M400" s="176" t="s">
        <v>1</v>
      </c>
      <c r="N400" s="177" t="s">
        <v>35</v>
      </c>
      <c r="O400" s="58"/>
      <c r="P400" s="163">
        <f t="shared" si="81"/>
        <v>0</v>
      </c>
      <c r="Q400" s="163">
        <v>3.0100000000000001E-3</v>
      </c>
      <c r="R400" s="163">
        <f t="shared" si="82"/>
        <v>6.0200000000000002E-3</v>
      </c>
      <c r="S400" s="163">
        <v>0</v>
      </c>
      <c r="T400" s="164">
        <f t="shared" si="83"/>
        <v>0</v>
      </c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R400" s="165" t="s">
        <v>242</v>
      </c>
      <c r="AT400" s="165" t="s">
        <v>202</v>
      </c>
      <c r="AU400" s="165" t="s">
        <v>82</v>
      </c>
      <c r="AY400" s="14" t="s">
        <v>179</v>
      </c>
      <c r="BE400" s="166">
        <f t="shared" si="84"/>
        <v>0</v>
      </c>
      <c r="BF400" s="166">
        <f t="shared" si="85"/>
        <v>0</v>
      </c>
      <c r="BG400" s="166">
        <f t="shared" si="86"/>
        <v>0</v>
      </c>
      <c r="BH400" s="166">
        <f t="shared" si="87"/>
        <v>0</v>
      </c>
      <c r="BI400" s="166">
        <f t="shared" si="88"/>
        <v>0</v>
      </c>
      <c r="BJ400" s="14" t="s">
        <v>82</v>
      </c>
      <c r="BK400" s="166">
        <f t="shared" si="89"/>
        <v>0</v>
      </c>
      <c r="BL400" s="14" t="s">
        <v>213</v>
      </c>
      <c r="BM400" s="165" t="s">
        <v>2667</v>
      </c>
    </row>
    <row r="401" spans="1:65" s="2" customFormat="1" ht="24.2" customHeight="1">
      <c r="A401" s="29"/>
      <c r="B401" s="152"/>
      <c r="C401" s="153" t="s">
        <v>718</v>
      </c>
      <c r="D401" s="153" t="s">
        <v>181</v>
      </c>
      <c r="E401" s="154" t="s">
        <v>2668</v>
      </c>
      <c r="F401" s="155" t="s">
        <v>2669</v>
      </c>
      <c r="G401" s="156" t="s">
        <v>217</v>
      </c>
      <c r="H401" s="157">
        <v>52</v>
      </c>
      <c r="I401" s="158"/>
      <c r="J401" s="151">
        <v>0</v>
      </c>
      <c r="K401" s="160"/>
      <c r="L401" s="30"/>
      <c r="M401" s="161" t="s">
        <v>1</v>
      </c>
      <c r="N401" s="162" t="s">
        <v>35</v>
      </c>
      <c r="O401" s="58"/>
      <c r="P401" s="163">
        <f t="shared" si="81"/>
        <v>0</v>
      </c>
      <c r="Q401" s="163">
        <v>5.9942307692307704E-4</v>
      </c>
      <c r="R401" s="163">
        <f t="shared" si="82"/>
        <v>3.1170000000000007E-2</v>
      </c>
      <c r="S401" s="163">
        <v>0</v>
      </c>
      <c r="T401" s="164">
        <f t="shared" si="83"/>
        <v>0</v>
      </c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R401" s="165" t="s">
        <v>213</v>
      </c>
      <c r="AT401" s="165" t="s">
        <v>181</v>
      </c>
      <c r="AU401" s="165" t="s">
        <v>82</v>
      </c>
      <c r="AY401" s="14" t="s">
        <v>179</v>
      </c>
      <c r="BE401" s="166">
        <f t="shared" si="84"/>
        <v>0</v>
      </c>
      <c r="BF401" s="166">
        <f t="shared" si="85"/>
        <v>0</v>
      </c>
      <c r="BG401" s="166">
        <f t="shared" si="86"/>
        <v>0</v>
      </c>
      <c r="BH401" s="166">
        <f t="shared" si="87"/>
        <v>0</v>
      </c>
      <c r="BI401" s="166">
        <f t="shared" si="88"/>
        <v>0</v>
      </c>
      <c r="BJ401" s="14" t="s">
        <v>82</v>
      </c>
      <c r="BK401" s="166">
        <f t="shared" si="89"/>
        <v>0</v>
      </c>
      <c r="BL401" s="14" t="s">
        <v>213</v>
      </c>
      <c r="BM401" s="165" t="s">
        <v>2670</v>
      </c>
    </row>
    <row r="402" spans="1:65" s="2" customFormat="1" ht="37.9" customHeight="1">
      <c r="A402" s="29"/>
      <c r="B402" s="152"/>
      <c r="C402" s="167" t="s">
        <v>2671</v>
      </c>
      <c r="D402" s="167" t="s">
        <v>202</v>
      </c>
      <c r="E402" s="168" t="s">
        <v>2672</v>
      </c>
      <c r="F402" s="169" t="s">
        <v>2673</v>
      </c>
      <c r="G402" s="170" t="s">
        <v>217</v>
      </c>
      <c r="H402" s="171">
        <v>86</v>
      </c>
      <c r="I402" s="172"/>
      <c r="J402" s="151">
        <v>0</v>
      </c>
      <c r="K402" s="174"/>
      <c r="L402" s="175"/>
      <c r="M402" s="176" t="s">
        <v>1</v>
      </c>
      <c r="N402" s="177" t="s">
        <v>35</v>
      </c>
      <c r="O402" s="58"/>
      <c r="P402" s="163">
        <f t="shared" si="81"/>
        <v>0</v>
      </c>
      <c r="Q402" s="163">
        <v>1.1000000000000001E-3</v>
      </c>
      <c r="R402" s="163">
        <f t="shared" si="82"/>
        <v>9.4600000000000004E-2</v>
      </c>
      <c r="S402" s="163">
        <v>0</v>
      </c>
      <c r="T402" s="164">
        <f t="shared" si="83"/>
        <v>0</v>
      </c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R402" s="165" t="s">
        <v>242</v>
      </c>
      <c r="AT402" s="165" t="s">
        <v>202</v>
      </c>
      <c r="AU402" s="165" t="s">
        <v>82</v>
      </c>
      <c r="AY402" s="14" t="s">
        <v>179</v>
      </c>
      <c r="BE402" s="166">
        <f t="shared" si="84"/>
        <v>0</v>
      </c>
      <c r="BF402" s="166">
        <f t="shared" si="85"/>
        <v>0</v>
      </c>
      <c r="BG402" s="166">
        <f t="shared" si="86"/>
        <v>0</v>
      </c>
      <c r="BH402" s="166">
        <f t="shared" si="87"/>
        <v>0</v>
      </c>
      <c r="BI402" s="166">
        <f t="shared" si="88"/>
        <v>0</v>
      </c>
      <c r="BJ402" s="14" t="s">
        <v>82</v>
      </c>
      <c r="BK402" s="166">
        <f t="shared" si="89"/>
        <v>0</v>
      </c>
      <c r="BL402" s="14" t="s">
        <v>213</v>
      </c>
      <c r="BM402" s="165" t="s">
        <v>2674</v>
      </c>
    </row>
    <row r="403" spans="1:65" s="2" customFormat="1" ht="24.2" customHeight="1">
      <c r="A403" s="29"/>
      <c r="B403" s="152"/>
      <c r="C403" s="153" t="s">
        <v>721</v>
      </c>
      <c r="D403" s="153" t="s">
        <v>181</v>
      </c>
      <c r="E403" s="154" t="s">
        <v>2675</v>
      </c>
      <c r="F403" s="155" t="s">
        <v>2676</v>
      </c>
      <c r="G403" s="156" t="s">
        <v>217</v>
      </c>
      <c r="H403" s="157">
        <v>2</v>
      </c>
      <c r="I403" s="158"/>
      <c r="J403" s="151">
        <v>0</v>
      </c>
      <c r="K403" s="160"/>
      <c r="L403" s="30"/>
      <c r="M403" s="161" t="s">
        <v>1</v>
      </c>
      <c r="N403" s="162" t="s">
        <v>35</v>
      </c>
      <c r="O403" s="58"/>
      <c r="P403" s="163">
        <f t="shared" si="81"/>
        <v>0</v>
      </c>
      <c r="Q403" s="163">
        <v>0</v>
      </c>
      <c r="R403" s="163">
        <f t="shared" si="82"/>
        <v>0</v>
      </c>
      <c r="S403" s="163">
        <v>0</v>
      </c>
      <c r="T403" s="164">
        <f t="shared" si="83"/>
        <v>0</v>
      </c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R403" s="165" t="s">
        <v>213</v>
      </c>
      <c r="AT403" s="165" t="s">
        <v>181</v>
      </c>
      <c r="AU403" s="165" t="s">
        <v>82</v>
      </c>
      <c r="AY403" s="14" t="s">
        <v>179</v>
      </c>
      <c r="BE403" s="166">
        <f t="shared" si="84"/>
        <v>0</v>
      </c>
      <c r="BF403" s="166">
        <f t="shared" si="85"/>
        <v>0</v>
      </c>
      <c r="BG403" s="166">
        <f t="shared" si="86"/>
        <v>0</v>
      </c>
      <c r="BH403" s="166">
        <f t="shared" si="87"/>
        <v>0</v>
      </c>
      <c r="BI403" s="166">
        <f t="shared" si="88"/>
        <v>0</v>
      </c>
      <c r="BJ403" s="14" t="s">
        <v>82</v>
      </c>
      <c r="BK403" s="166">
        <f t="shared" si="89"/>
        <v>0</v>
      </c>
      <c r="BL403" s="14" t="s">
        <v>213</v>
      </c>
      <c r="BM403" s="165" t="s">
        <v>2677</v>
      </c>
    </row>
    <row r="404" spans="1:65" s="2" customFormat="1" ht="44.25" customHeight="1">
      <c r="A404" s="29"/>
      <c r="B404" s="152"/>
      <c r="C404" s="167" t="s">
        <v>2678</v>
      </c>
      <c r="D404" s="167" t="s">
        <v>202</v>
      </c>
      <c r="E404" s="168" t="s">
        <v>2679</v>
      </c>
      <c r="F404" s="338" t="s">
        <v>3471</v>
      </c>
      <c r="G404" s="170" t="s">
        <v>217</v>
      </c>
      <c r="H404" s="171">
        <v>2</v>
      </c>
      <c r="I404" s="172"/>
      <c r="J404" s="151">
        <v>0</v>
      </c>
      <c r="K404" s="174"/>
      <c r="L404" s="175"/>
      <c r="M404" s="176" t="s">
        <v>1</v>
      </c>
      <c r="N404" s="177" t="s">
        <v>35</v>
      </c>
      <c r="O404" s="58"/>
      <c r="P404" s="163">
        <f t="shared" si="81"/>
        <v>0</v>
      </c>
      <c r="Q404" s="163">
        <v>1.0300000000000001E-3</v>
      </c>
      <c r="R404" s="163">
        <f t="shared" si="82"/>
        <v>2.0600000000000002E-3</v>
      </c>
      <c r="S404" s="163">
        <v>0</v>
      </c>
      <c r="T404" s="164">
        <f t="shared" si="83"/>
        <v>0</v>
      </c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R404" s="165" t="s">
        <v>242</v>
      </c>
      <c r="AT404" s="165" t="s">
        <v>202</v>
      </c>
      <c r="AU404" s="165" t="s">
        <v>82</v>
      </c>
      <c r="AY404" s="14" t="s">
        <v>179</v>
      </c>
      <c r="BE404" s="166">
        <f t="shared" si="84"/>
        <v>0</v>
      </c>
      <c r="BF404" s="166">
        <f t="shared" si="85"/>
        <v>0</v>
      </c>
      <c r="BG404" s="166">
        <f t="shared" si="86"/>
        <v>0</v>
      </c>
      <c r="BH404" s="166">
        <f t="shared" si="87"/>
        <v>0</v>
      </c>
      <c r="BI404" s="166">
        <f t="shared" si="88"/>
        <v>0</v>
      </c>
      <c r="BJ404" s="14" t="s">
        <v>82</v>
      </c>
      <c r="BK404" s="166">
        <f t="shared" si="89"/>
        <v>0</v>
      </c>
      <c r="BL404" s="14" t="s">
        <v>213</v>
      </c>
      <c r="BM404" s="165" t="s">
        <v>2680</v>
      </c>
    </row>
    <row r="405" spans="1:65" s="2" customFormat="1" ht="24.2" customHeight="1">
      <c r="A405" s="29"/>
      <c r="B405" s="152"/>
      <c r="C405" s="153" t="s">
        <v>725</v>
      </c>
      <c r="D405" s="153" t="s">
        <v>181</v>
      </c>
      <c r="E405" s="154" t="s">
        <v>2681</v>
      </c>
      <c r="F405" s="155" t="s">
        <v>2682</v>
      </c>
      <c r="G405" s="156" t="s">
        <v>217</v>
      </c>
      <c r="H405" s="157">
        <v>1</v>
      </c>
      <c r="I405" s="158"/>
      <c r="J405" s="151">
        <v>0</v>
      </c>
      <c r="K405" s="160"/>
      <c r="L405" s="30"/>
      <c r="M405" s="161" t="s">
        <v>1</v>
      </c>
      <c r="N405" s="162" t="s">
        <v>35</v>
      </c>
      <c r="O405" s="58"/>
      <c r="P405" s="163">
        <f t="shared" si="81"/>
        <v>0</v>
      </c>
      <c r="Q405" s="163">
        <v>0</v>
      </c>
      <c r="R405" s="163">
        <f t="shared" si="82"/>
        <v>0</v>
      </c>
      <c r="S405" s="163">
        <v>0</v>
      </c>
      <c r="T405" s="164">
        <f t="shared" si="83"/>
        <v>0</v>
      </c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R405" s="165" t="s">
        <v>213</v>
      </c>
      <c r="AT405" s="165" t="s">
        <v>181</v>
      </c>
      <c r="AU405" s="165" t="s">
        <v>82</v>
      </c>
      <c r="AY405" s="14" t="s">
        <v>179</v>
      </c>
      <c r="BE405" s="166">
        <f t="shared" si="84"/>
        <v>0</v>
      </c>
      <c r="BF405" s="166">
        <f t="shared" si="85"/>
        <v>0</v>
      </c>
      <c r="BG405" s="166">
        <f t="shared" si="86"/>
        <v>0</v>
      </c>
      <c r="BH405" s="166">
        <f t="shared" si="87"/>
        <v>0</v>
      </c>
      <c r="BI405" s="166">
        <f t="shared" si="88"/>
        <v>0</v>
      </c>
      <c r="BJ405" s="14" t="s">
        <v>82</v>
      </c>
      <c r="BK405" s="166">
        <f t="shared" si="89"/>
        <v>0</v>
      </c>
      <c r="BL405" s="14" t="s">
        <v>213</v>
      </c>
      <c r="BM405" s="165" t="s">
        <v>2683</v>
      </c>
    </row>
    <row r="406" spans="1:65" s="2" customFormat="1" ht="44.25" customHeight="1">
      <c r="A406" s="29"/>
      <c r="B406" s="152"/>
      <c r="C406" s="167" t="s">
        <v>2684</v>
      </c>
      <c r="D406" s="167" t="s">
        <v>202</v>
      </c>
      <c r="E406" s="168" t="s">
        <v>2685</v>
      </c>
      <c r="F406" s="338" t="s">
        <v>3472</v>
      </c>
      <c r="G406" s="170" t="s">
        <v>217</v>
      </c>
      <c r="H406" s="171">
        <v>1</v>
      </c>
      <c r="I406" s="172"/>
      <c r="J406" s="151">
        <v>0</v>
      </c>
      <c r="K406" s="174"/>
      <c r="L406" s="175"/>
      <c r="M406" s="176" t="s">
        <v>1</v>
      </c>
      <c r="N406" s="177" t="s">
        <v>35</v>
      </c>
      <c r="O406" s="58"/>
      <c r="P406" s="163">
        <f t="shared" si="81"/>
        <v>0</v>
      </c>
      <c r="Q406" s="163">
        <v>1.9599999999999999E-3</v>
      </c>
      <c r="R406" s="163">
        <f t="shared" si="82"/>
        <v>1.9599999999999999E-3</v>
      </c>
      <c r="S406" s="163">
        <v>0</v>
      </c>
      <c r="T406" s="164">
        <f t="shared" si="83"/>
        <v>0</v>
      </c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R406" s="165" t="s">
        <v>242</v>
      </c>
      <c r="AT406" s="165" t="s">
        <v>202</v>
      </c>
      <c r="AU406" s="165" t="s">
        <v>82</v>
      </c>
      <c r="AY406" s="14" t="s">
        <v>179</v>
      </c>
      <c r="BE406" s="166">
        <f t="shared" si="84"/>
        <v>0</v>
      </c>
      <c r="BF406" s="166">
        <f t="shared" si="85"/>
        <v>0</v>
      </c>
      <c r="BG406" s="166">
        <f t="shared" si="86"/>
        <v>0</v>
      </c>
      <c r="BH406" s="166">
        <f t="shared" si="87"/>
        <v>0</v>
      </c>
      <c r="BI406" s="166">
        <f t="shared" si="88"/>
        <v>0</v>
      </c>
      <c r="BJ406" s="14" t="s">
        <v>82</v>
      </c>
      <c r="BK406" s="166">
        <f t="shared" si="89"/>
        <v>0</v>
      </c>
      <c r="BL406" s="14" t="s">
        <v>213</v>
      </c>
      <c r="BM406" s="165" t="s">
        <v>2686</v>
      </c>
    </row>
    <row r="407" spans="1:65" s="2" customFormat="1" ht="24.2" customHeight="1">
      <c r="A407" s="29"/>
      <c r="B407" s="152"/>
      <c r="C407" s="153" t="s">
        <v>728</v>
      </c>
      <c r="D407" s="153" t="s">
        <v>181</v>
      </c>
      <c r="E407" s="154" t="s">
        <v>2687</v>
      </c>
      <c r="F407" s="155" t="s">
        <v>2688</v>
      </c>
      <c r="G407" s="156" t="s">
        <v>217</v>
      </c>
      <c r="H407" s="157">
        <v>1</v>
      </c>
      <c r="I407" s="158"/>
      <c r="J407" s="151">
        <v>0</v>
      </c>
      <c r="K407" s="160"/>
      <c r="L407" s="30"/>
      <c r="M407" s="161" t="s">
        <v>1</v>
      </c>
      <c r="N407" s="162" t="s">
        <v>35</v>
      </c>
      <c r="O407" s="58"/>
      <c r="P407" s="163">
        <f t="shared" si="81"/>
        <v>0</v>
      </c>
      <c r="Q407" s="163">
        <v>0</v>
      </c>
      <c r="R407" s="163">
        <f t="shared" si="82"/>
        <v>0</v>
      </c>
      <c r="S407" s="163">
        <v>0</v>
      </c>
      <c r="T407" s="164">
        <f t="shared" si="83"/>
        <v>0</v>
      </c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R407" s="165" t="s">
        <v>213</v>
      </c>
      <c r="AT407" s="165" t="s">
        <v>181</v>
      </c>
      <c r="AU407" s="165" t="s">
        <v>82</v>
      </c>
      <c r="AY407" s="14" t="s">
        <v>179</v>
      </c>
      <c r="BE407" s="166">
        <f t="shared" si="84"/>
        <v>0</v>
      </c>
      <c r="BF407" s="166">
        <f t="shared" si="85"/>
        <v>0</v>
      </c>
      <c r="BG407" s="166">
        <f t="shared" si="86"/>
        <v>0</v>
      </c>
      <c r="BH407" s="166">
        <f t="shared" si="87"/>
        <v>0</v>
      </c>
      <c r="BI407" s="166">
        <f t="shared" si="88"/>
        <v>0</v>
      </c>
      <c r="BJ407" s="14" t="s">
        <v>82</v>
      </c>
      <c r="BK407" s="166">
        <f t="shared" si="89"/>
        <v>0</v>
      </c>
      <c r="BL407" s="14" t="s">
        <v>213</v>
      </c>
      <c r="BM407" s="165" t="s">
        <v>2689</v>
      </c>
    </row>
    <row r="408" spans="1:65" s="2" customFormat="1" ht="44.25" customHeight="1">
      <c r="A408" s="29"/>
      <c r="B408" s="152"/>
      <c r="C408" s="167" t="s">
        <v>2690</v>
      </c>
      <c r="D408" s="167" t="s">
        <v>202</v>
      </c>
      <c r="E408" s="168" t="s">
        <v>2691</v>
      </c>
      <c r="F408" s="338" t="s">
        <v>3473</v>
      </c>
      <c r="G408" s="170" t="s">
        <v>217</v>
      </c>
      <c r="H408" s="171">
        <v>1</v>
      </c>
      <c r="I408" s="172"/>
      <c r="J408" s="151">
        <v>0</v>
      </c>
      <c r="K408" s="174"/>
      <c r="L408" s="175"/>
      <c r="M408" s="176" t="s">
        <v>1</v>
      </c>
      <c r="N408" s="177" t="s">
        <v>35</v>
      </c>
      <c r="O408" s="58"/>
      <c r="P408" s="163">
        <f t="shared" si="81"/>
        <v>0</v>
      </c>
      <c r="Q408" s="163">
        <v>1.9599999999999999E-3</v>
      </c>
      <c r="R408" s="163">
        <f t="shared" si="82"/>
        <v>1.9599999999999999E-3</v>
      </c>
      <c r="S408" s="163">
        <v>0</v>
      </c>
      <c r="T408" s="164">
        <f t="shared" si="83"/>
        <v>0</v>
      </c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R408" s="165" t="s">
        <v>242</v>
      </c>
      <c r="AT408" s="165" t="s">
        <v>202</v>
      </c>
      <c r="AU408" s="165" t="s">
        <v>82</v>
      </c>
      <c r="AY408" s="14" t="s">
        <v>179</v>
      </c>
      <c r="BE408" s="166">
        <f t="shared" si="84"/>
        <v>0</v>
      </c>
      <c r="BF408" s="166">
        <f t="shared" si="85"/>
        <v>0</v>
      </c>
      <c r="BG408" s="166">
        <f t="shared" si="86"/>
        <v>0</v>
      </c>
      <c r="BH408" s="166">
        <f t="shared" si="87"/>
        <v>0</v>
      </c>
      <c r="BI408" s="166">
        <f t="shared" si="88"/>
        <v>0</v>
      </c>
      <c r="BJ408" s="14" t="s">
        <v>82</v>
      </c>
      <c r="BK408" s="166">
        <f t="shared" si="89"/>
        <v>0</v>
      </c>
      <c r="BL408" s="14" t="s">
        <v>213</v>
      </c>
      <c r="BM408" s="165" t="s">
        <v>2692</v>
      </c>
    </row>
    <row r="409" spans="1:65" s="2" customFormat="1" ht="24.2" customHeight="1">
      <c r="A409" s="29"/>
      <c r="B409" s="152"/>
      <c r="C409" s="153" t="s">
        <v>743</v>
      </c>
      <c r="D409" s="153" t="s">
        <v>181</v>
      </c>
      <c r="E409" s="154" t="s">
        <v>2693</v>
      </c>
      <c r="F409" s="155" t="s">
        <v>2694</v>
      </c>
      <c r="G409" s="156" t="s">
        <v>217</v>
      </c>
      <c r="H409" s="157">
        <v>1</v>
      </c>
      <c r="I409" s="158"/>
      <c r="J409" s="151">
        <v>0</v>
      </c>
      <c r="K409" s="160"/>
      <c r="L409" s="30"/>
      <c r="M409" s="161" t="s">
        <v>1</v>
      </c>
      <c r="N409" s="162" t="s">
        <v>35</v>
      </c>
      <c r="O409" s="58"/>
      <c r="P409" s="163">
        <f t="shared" si="81"/>
        <v>0</v>
      </c>
      <c r="Q409" s="163">
        <v>0</v>
      </c>
      <c r="R409" s="163">
        <f t="shared" si="82"/>
        <v>0</v>
      </c>
      <c r="S409" s="163">
        <v>0</v>
      </c>
      <c r="T409" s="164">
        <f t="shared" si="83"/>
        <v>0</v>
      </c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R409" s="165" t="s">
        <v>213</v>
      </c>
      <c r="AT409" s="165" t="s">
        <v>181</v>
      </c>
      <c r="AU409" s="165" t="s">
        <v>82</v>
      </c>
      <c r="AY409" s="14" t="s">
        <v>179</v>
      </c>
      <c r="BE409" s="166">
        <f t="shared" si="84"/>
        <v>0</v>
      </c>
      <c r="BF409" s="166">
        <f t="shared" si="85"/>
        <v>0</v>
      </c>
      <c r="BG409" s="166">
        <f t="shared" si="86"/>
        <v>0</v>
      </c>
      <c r="BH409" s="166">
        <f t="shared" si="87"/>
        <v>0</v>
      </c>
      <c r="BI409" s="166">
        <f t="shared" si="88"/>
        <v>0</v>
      </c>
      <c r="BJ409" s="14" t="s">
        <v>82</v>
      </c>
      <c r="BK409" s="166">
        <f t="shared" si="89"/>
        <v>0</v>
      </c>
      <c r="BL409" s="14" t="s">
        <v>213</v>
      </c>
      <c r="BM409" s="165" t="s">
        <v>2695</v>
      </c>
    </row>
    <row r="410" spans="1:65" s="2" customFormat="1" ht="44.25" customHeight="1">
      <c r="A410" s="29"/>
      <c r="B410" s="152"/>
      <c r="C410" s="167" t="s">
        <v>2696</v>
      </c>
      <c r="D410" s="167" t="s">
        <v>202</v>
      </c>
      <c r="E410" s="168" t="s">
        <v>2697</v>
      </c>
      <c r="F410" s="338" t="s">
        <v>3474</v>
      </c>
      <c r="G410" s="170" t="s">
        <v>217</v>
      </c>
      <c r="H410" s="171">
        <v>1</v>
      </c>
      <c r="I410" s="172"/>
      <c r="J410" s="151">
        <v>0</v>
      </c>
      <c r="K410" s="174"/>
      <c r="L410" s="175"/>
      <c r="M410" s="176" t="s">
        <v>1</v>
      </c>
      <c r="N410" s="177" t="s">
        <v>35</v>
      </c>
      <c r="O410" s="58"/>
      <c r="P410" s="163">
        <f t="shared" si="81"/>
        <v>0</v>
      </c>
      <c r="Q410" s="163">
        <v>1.9599999999999999E-3</v>
      </c>
      <c r="R410" s="163">
        <f t="shared" si="82"/>
        <v>1.9599999999999999E-3</v>
      </c>
      <c r="S410" s="163">
        <v>0</v>
      </c>
      <c r="T410" s="164">
        <f t="shared" si="83"/>
        <v>0</v>
      </c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R410" s="165" t="s">
        <v>242</v>
      </c>
      <c r="AT410" s="165" t="s">
        <v>202</v>
      </c>
      <c r="AU410" s="165" t="s">
        <v>82</v>
      </c>
      <c r="AY410" s="14" t="s">
        <v>179</v>
      </c>
      <c r="BE410" s="166">
        <f t="shared" si="84"/>
        <v>0</v>
      </c>
      <c r="BF410" s="166">
        <f t="shared" si="85"/>
        <v>0</v>
      </c>
      <c r="BG410" s="166">
        <f t="shared" si="86"/>
        <v>0</v>
      </c>
      <c r="BH410" s="166">
        <f t="shared" si="87"/>
        <v>0</v>
      </c>
      <c r="BI410" s="166">
        <f t="shared" si="88"/>
        <v>0</v>
      </c>
      <c r="BJ410" s="14" t="s">
        <v>82</v>
      </c>
      <c r="BK410" s="166">
        <f t="shared" si="89"/>
        <v>0</v>
      </c>
      <c r="BL410" s="14" t="s">
        <v>213</v>
      </c>
      <c r="BM410" s="165" t="s">
        <v>2698</v>
      </c>
    </row>
    <row r="411" spans="1:65" s="2" customFormat="1" ht="24.2" customHeight="1">
      <c r="A411" s="29"/>
      <c r="B411" s="152"/>
      <c r="C411" s="153" t="s">
        <v>747</v>
      </c>
      <c r="D411" s="153" t="s">
        <v>181</v>
      </c>
      <c r="E411" s="154" t="s">
        <v>2699</v>
      </c>
      <c r="F411" s="155" t="s">
        <v>2700</v>
      </c>
      <c r="G411" s="156" t="s">
        <v>191</v>
      </c>
      <c r="H411" s="157">
        <v>0.75</v>
      </c>
      <c r="I411" s="158"/>
      <c r="J411" s="151">
        <v>0</v>
      </c>
      <c r="K411" s="160"/>
      <c r="L411" s="30"/>
      <c r="M411" s="161" t="s">
        <v>1</v>
      </c>
      <c r="N411" s="162" t="s">
        <v>35</v>
      </c>
      <c r="O411" s="58"/>
      <c r="P411" s="163">
        <f t="shared" si="81"/>
        <v>0</v>
      </c>
      <c r="Q411" s="163">
        <v>0</v>
      </c>
      <c r="R411" s="163">
        <f t="shared" si="82"/>
        <v>0</v>
      </c>
      <c r="S411" s="163">
        <v>0</v>
      </c>
      <c r="T411" s="164">
        <f t="shared" si="83"/>
        <v>0</v>
      </c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  <c r="AR411" s="165" t="s">
        <v>213</v>
      </c>
      <c r="AT411" s="165" t="s">
        <v>181</v>
      </c>
      <c r="AU411" s="165" t="s">
        <v>82</v>
      </c>
      <c r="AY411" s="14" t="s">
        <v>179</v>
      </c>
      <c r="BE411" s="166">
        <f t="shared" si="84"/>
        <v>0</v>
      </c>
      <c r="BF411" s="166">
        <f t="shared" si="85"/>
        <v>0</v>
      </c>
      <c r="BG411" s="166">
        <f t="shared" si="86"/>
        <v>0</v>
      </c>
      <c r="BH411" s="166">
        <f t="shared" si="87"/>
        <v>0</v>
      </c>
      <c r="BI411" s="166">
        <f t="shared" si="88"/>
        <v>0</v>
      </c>
      <c r="BJ411" s="14" t="s">
        <v>82</v>
      </c>
      <c r="BK411" s="166">
        <f t="shared" si="89"/>
        <v>0</v>
      </c>
      <c r="BL411" s="14" t="s">
        <v>213</v>
      </c>
      <c r="BM411" s="165" t="s">
        <v>2701</v>
      </c>
    </row>
    <row r="412" spans="1:65" s="2" customFormat="1" ht="24.2" customHeight="1">
      <c r="A412" s="29"/>
      <c r="B412" s="152"/>
      <c r="C412" s="153" t="s">
        <v>2702</v>
      </c>
      <c r="D412" s="153" t="s">
        <v>181</v>
      </c>
      <c r="E412" s="154" t="s">
        <v>2703</v>
      </c>
      <c r="F412" s="155" t="s">
        <v>2704</v>
      </c>
      <c r="G412" s="156" t="s">
        <v>585</v>
      </c>
      <c r="H412" s="178"/>
      <c r="I412" s="158"/>
      <c r="J412" s="151">
        <v>0</v>
      </c>
      <c r="K412" s="160"/>
      <c r="L412" s="30"/>
      <c r="M412" s="161" t="s">
        <v>1</v>
      </c>
      <c r="N412" s="162" t="s">
        <v>35</v>
      </c>
      <c r="O412" s="58"/>
      <c r="P412" s="163">
        <f t="shared" si="81"/>
        <v>0</v>
      </c>
      <c r="Q412" s="163">
        <v>0</v>
      </c>
      <c r="R412" s="163">
        <f t="shared" si="82"/>
        <v>0</v>
      </c>
      <c r="S412" s="163">
        <v>0</v>
      </c>
      <c r="T412" s="164">
        <f t="shared" si="83"/>
        <v>0</v>
      </c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R412" s="165" t="s">
        <v>213</v>
      </c>
      <c r="AT412" s="165" t="s">
        <v>181</v>
      </c>
      <c r="AU412" s="165" t="s">
        <v>82</v>
      </c>
      <c r="AY412" s="14" t="s">
        <v>179</v>
      </c>
      <c r="BE412" s="166">
        <f t="shared" si="84"/>
        <v>0</v>
      </c>
      <c r="BF412" s="166">
        <f t="shared" si="85"/>
        <v>0</v>
      </c>
      <c r="BG412" s="166">
        <f t="shared" si="86"/>
        <v>0</v>
      </c>
      <c r="BH412" s="166">
        <f t="shared" si="87"/>
        <v>0</v>
      </c>
      <c r="BI412" s="166">
        <f t="shared" si="88"/>
        <v>0</v>
      </c>
      <c r="BJ412" s="14" t="s">
        <v>82</v>
      </c>
      <c r="BK412" s="166">
        <f t="shared" si="89"/>
        <v>0</v>
      </c>
      <c r="BL412" s="14" t="s">
        <v>213</v>
      </c>
      <c r="BM412" s="165" t="s">
        <v>2705</v>
      </c>
    </row>
    <row r="413" spans="1:65" s="12" customFormat="1" ht="22.9" customHeight="1">
      <c r="B413" s="139"/>
      <c r="D413" s="140" t="s">
        <v>68</v>
      </c>
      <c r="E413" s="150" t="s">
        <v>2706</v>
      </c>
      <c r="F413" s="150" t="s">
        <v>2707</v>
      </c>
      <c r="I413" s="142"/>
      <c r="J413" s="151">
        <v>0</v>
      </c>
      <c r="L413" s="139"/>
      <c r="M413" s="144"/>
      <c r="N413" s="145"/>
      <c r="O413" s="145"/>
      <c r="P413" s="146">
        <f>SUM(P414:P416)</f>
        <v>0</v>
      </c>
      <c r="Q413" s="145"/>
      <c r="R413" s="146">
        <f>SUM(R414:R416)</f>
        <v>4.1523200000000005</v>
      </c>
      <c r="S413" s="145"/>
      <c r="T413" s="147">
        <f>SUM(T414:T416)</f>
        <v>0</v>
      </c>
      <c r="AR413" s="140" t="s">
        <v>82</v>
      </c>
      <c r="AT413" s="148" t="s">
        <v>68</v>
      </c>
      <c r="AU413" s="148" t="s">
        <v>76</v>
      </c>
      <c r="AY413" s="140" t="s">
        <v>179</v>
      </c>
      <c r="BK413" s="149">
        <f>SUM(BK414:BK416)</f>
        <v>0</v>
      </c>
    </row>
    <row r="414" spans="1:65" s="2" customFormat="1" ht="24.2" customHeight="1">
      <c r="A414" s="29"/>
      <c r="B414" s="152"/>
      <c r="C414" s="153" t="s">
        <v>750</v>
      </c>
      <c r="D414" s="153" t="s">
        <v>181</v>
      </c>
      <c r="E414" s="154" t="s">
        <v>2708</v>
      </c>
      <c r="F414" s="155" t="s">
        <v>2709</v>
      </c>
      <c r="G414" s="156" t="s">
        <v>217</v>
      </c>
      <c r="H414" s="157">
        <v>128</v>
      </c>
      <c r="I414" s="158"/>
      <c r="J414" s="151">
        <v>0</v>
      </c>
      <c r="K414" s="160"/>
      <c r="L414" s="30"/>
      <c r="M414" s="161" t="s">
        <v>1</v>
      </c>
      <c r="N414" s="162" t="s">
        <v>35</v>
      </c>
      <c r="O414" s="58"/>
      <c r="P414" s="163">
        <f>O414*H414</f>
        <v>0</v>
      </c>
      <c r="Q414" s="163">
        <v>3.2257656250000002E-2</v>
      </c>
      <c r="R414" s="163">
        <f>Q414*H414</f>
        <v>4.1289800000000003</v>
      </c>
      <c r="S414" s="163">
        <v>0</v>
      </c>
      <c r="T414" s="164">
        <f>S414*H414</f>
        <v>0</v>
      </c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R414" s="165" t="s">
        <v>213</v>
      </c>
      <c r="AT414" s="165" t="s">
        <v>181</v>
      </c>
      <c r="AU414" s="165" t="s">
        <v>82</v>
      </c>
      <c r="AY414" s="14" t="s">
        <v>179</v>
      </c>
      <c r="BE414" s="166">
        <f>IF(N414="základná",J414,0)</f>
        <v>0</v>
      </c>
      <c r="BF414" s="166">
        <f>IF(N414="znížená",J414,0)</f>
        <v>0</v>
      </c>
      <c r="BG414" s="166">
        <f>IF(N414="zákl. prenesená",J414,0)</f>
        <v>0</v>
      </c>
      <c r="BH414" s="166">
        <f>IF(N414="zníž. prenesená",J414,0)</f>
        <v>0</v>
      </c>
      <c r="BI414" s="166">
        <f>IF(N414="nulová",J414,0)</f>
        <v>0</v>
      </c>
      <c r="BJ414" s="14" t="s">
        <v>82</v>
      </c>
      <c r="BK414" s="166">
        <f>ROUND(I414*H414,2)</f>
        <v>0</v>
      </c>
      <c r="BL414" s="14" t="s">
        <v>213</v>
      </c>
      <c r="BM414" s="165" t="s">
        <v>2710</v>
      </c>
    </row>
    <row r="415" spans="1:65" s="2" customFormat="1" ht="49.15" customHeight="1">
      <c r="A415" s="29"/>
      <c r="B415" s="152"/>
      <c r="C415" s="167" t="s">
        <v>2711</v>
      </c>
      <c r="D415" s="167" t="s">
        <v>202</v>
      </c>
      <c r="E415" s="168" t="s">
        <v>2712</v>
      </c>
      <c r="F415" s="169" t="s">
        <v>2713</v>
      </c>
      <c r="G415" s="170" t="s">
        <v>217</v>
      </c>
      <c r="H415" s="171">
        <v>2</v>
      </c>
      <c r="I415" s="172"/>
      <c r="J415" s="151">
        <v>0</v>
      </c>
      <c r="K415" s="174"/>
      <c r="L415" s="175"/>
      <c r="M415" s="176" t="s">
        <v>1</v>
      </c>
      <c r="N415" s="177" t="s">
        <v>35</v>
      </c>
      <c r="O415" s="58"/>
      <c r="P415" s="163">
        <f>O415*H415</f>
        <v>0</v>
      </c>
      <c r="Q415" s="163">
        <v>1.167E-2</v>
      </c>
      <c r="R415" s="163">
        <f>Q415*H415</f>
        <v>2.334E-2</v>
      </c>
      <c r="S415" s="163">
        <v>0</v>
      </c>
      <c r="T415" s="164">
        <f>S415*H415</f>
        <v>0</v>
      </c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R415" s="165" t="s">
        <v>242</v>
      </c>
      <c r="AT415" s="165" t="s">
        <v>202</v>
      </c>
      <c r="AU415" s="165" t="s">
        <v>82</v>
      </c>
      <c r="AY415" s="14" t="s">
        <v>179</v>
      </c>
      <c r="BE415" s="166">
        <f>IF(N415="základná",J415,0)</f>
        <v>0</v>
      </c>
      <c r="BF415" s="166">
        <f>IF(N415="znížená",J415,0)</f>
        <v>0</v>
      </c>
      <c r="BG415" s="166">
        <f>IF(N415="zákl. prenesená",J415,0)</f>
        <v>0</v>
      </c>
      <c r="BH415" s="166">
        <f>IF(N415="zníž. prenesená",J415,0)</f>
        <v>0</v>
      </c>
      <c r="BI415" s="166">
        <f>IF(N415="nulová",J415,0)</f>
        <v>0</v>
      </c>
      <c r="BJ415" s="14" t="s">
        <v>82</v>
      </c>
      <c r="BK415" s="166">
        <f>ROUND(I415*H415,2)</f>
        <v>0</v>
      </c>
      <c r="BL415" s="14" t="s">
        <v>213</v>
      </c>
      <c r="BM415" s="165" t="s">
        <v>2714</v>
      </c>
    </row>
    <row r="416" spans="1:65" s="2" customFormat="1" ht="24.2" customHeight="1">
      <c r="A416" s="29"/>
      <c r="B416" s="152"/>
      <c r="C416" s="153" t="s">
        <v>754</v>
      </c>
      <c r="D416" s="153" t="s">
        <v>181</v>
      </c>
      <c r="E416" s="154" t="s">
        <v>2715</v>
      </c>
      <c r="F416" s="155" t="s">
        <v>2716</v>
      </c>
      <c r="G416" s="156" t="s">
        <v>585</v>
      </c>
      <c r="H416" s="178"/>
      <c r="I416" s="158"/>
      <c r="J416" s="151">
        <v>0</v>
      </c>
      <c r="K416" s="160"/>
      <c r="L416" s="30"/>
      <c r="M416" s="161" t="s">
        <v>1</v>
      </c>
      <c r="N416" s="162" t="s">
        <v>35</v>
      </c>
      <c r="O416" s="58"/>
      <c r="P416" s="163">
        <f>O416*H416</f>
        <v>0</v>
      </c>
      <c r="Q416" s="163">
        <v>0</v>
      </c>
      <c r="R416" s="163">
        <f>Q416*H416</f>
        <v>0</v>
      </c>
      <c r="S416" s="163">
        <v>0</v>
      </c>
      <c r="T416" s="164">
        <f>S416*H416</f>
        <v>0</v>
      </c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R416" s="165" t="s">
        <v>213</v>
      </c>
      <c r="AT416" s="165" t="s">
        <v>181</v>
      </c>
      <c r="AU416" s="165" t="s">
        <v>82</v>
      </c>
      <c r="AY416" s="14" t="s">
        <v>179</v>
      </c>
      <c r="BE416" s="166">
        <f>IF(N416="základná",J416,0)</f>
        <v>0</v>
      </c>
      <c r="BF416" s="166">
        <f>IF(N416="znížená",J416,0)</f>
        <v>0</v>
      </c>
      <c r="BG416" s="166">
        <f>IF(N416="zákl. prenesená",J416,0)</f>
        <v>0</v>
      </c>
      <c r="BH416" s="166">
        <f>IF(N416="zníž. prenesená",J416,0)</f>
        <v>0</v>
      </c>
      <c r="BI416" s="166">
        <f>IF(N416="nulová",J416,0)</f>
        <v>0</v>
      </c>
      <c r="BJ416" s="14" t="s">
        <v>82</v>
      </c>
      <c r="BK416" s="166">
        <f>ROUND(I416*H416,2)</f>
        <v>0</v>
      </c>
      <c r="BL416" s="14" t="s">
        <v>213</v>
      </c>
      <c r="BM416" s="165" t="s">
        <v>2717</v>
      </c>
    </row>
    <row r="417" spans="1:65" s="12" customFormat="1" ht="22.9" customHeight="1">
      <c r="B417" s="139"/>
      <c r="D417" s="140" t="s">
        <v>68</v>
      </c>
      <c r="E417" s="150" t="s">
        <v>729</v>
      </c>
      <c r="F417" s="150" t="s">
        <v>1285</v>
      </c>
      <c r="I417" s="142"/>
      <c r="J417" s="151">
        <v>0</v>
      </c>
      <c r="L417" s="139"/>
      <c r="M417" s="144"/>
      <c r="N417" s="145"/>
      <c r="O417" s="145"/>
      <c r="P417" s="146">
        <f>SUM(P418:P421)</f>
        <v>0</v>
      </c>
      <c r="Q417" s="145"/>
      <c r="R417" s="146">
        <f>SUM(R418:R421)</f>
        <v>1.3816300000000001</v>
      </c>
      <c r="S417" s="145"/>
      <c r="T417" s="147">
        <f>SUM(T418:T421)</f>
        <v>0</v>
      </c>
      <c r="AR417" s="140" t="s">
        <v>82</v>
      </c>
      <c r="AT417" s="148" t="s">
        <v>68</v>
      </c>
      <c r="AU417" s="148" t="s">
        <v>76</v>
      </c>
      <c r="AY417" s="140" t="s">
        <v>179</v>
      </c>
      <c r="BK417" s="149">
        <f>SUM(BK418:BK421)</f>
        <v>0</v>
      </c>
    </row>
    <row r="418" spans="1:65" s="2" customFormat="1" ht="24.2" customHeight="1">
      <c r="A418" s="29"/>
      <c r="B418" s="152"/>
      <c r="C418" s="153" t="s">
        <v>2718</v>
      </c>
      <c r="D418" s="153" t="s">
        <v>181</v>
      </c>
      <c r="E418" s="154" t="s">
        <v>1333</v>
      </c>
      <c r="F418" s="155" t="s">
        <v>1334</v>
      </c>
      <c r="G418" s="156" t="s">
        <v>574</v>
      </c>
      <c r="H418" s="157">
        <v>875</v>
      </c>
      <c r="I418" s="158"/>
      <c r="J418" s="151">
        <v>0</v>
      </c>
      <c r="K418" s="160"/>
      <c r="L418" s="30"/>
      <c r="M418" s="161" t="s">
        <v>1</v>
      </c>
      <c r="N418" s="162" t="s">
        <v>35</v>
      </c>
      <c r="O418" s="58"/>
      <c r="P418" s="163">
        <f>O418*H418</f>
        <v>0</v>
      </c>
      <c r="Q418" s="163">
        <v>6.3794285714285706E-5</v>
      </c>
      <c r="R418" s="163">
        <f>Q418*H418</f>
        <v>5.5819999999999995E-2</v>
      </c>
      <c r="S418" s="163">
        <v>0</v>
      </c>
      <c r="T418" s="164">
        <f>S418*H418</f>
        <v>0</v>
      </c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R418" s="165" t="s">
        <v>213</v>
      </c>
      <c r="AT418" s="165" t="s">
        <v>181</v>
      </c>
      <c r="AU418" s="165" t="s">
        <v>82</v>
      </c>
      <c r="AY418" s="14" t="s">
        <v>179</v>
      </c>
      <c r="BE418" s="166">
        <f>IF(N418="základná",J418,0)</f>
        <v>0</v>
      </c>
      <c r="BF418" s="166">
        <f>IF(N418="znížená",J418,0)</f>
        <v>0</v>
      </c>
      <c r="BG418" s="166">
        <f>IF(N418="zákl. prenesená",J418,0)</f>
        <v>0</v>
      </c>
      <c r="BH418" s="166">
        <f>IF(N418="zníž. prenesená",J418,0)</f>
        <v>0</v>
      </c>
      <c r="BI418" s="166">
        <f>IF(N418="nulová",J418,0)</f>
        <v>0</v>
      </c>
      <c r="BJ418" s="14" t="s">
        <v>82</v>
      </c>
      <c r="BK418" s="166">
        <f>ROUND(I418*H418,2)</f>
        <v>0</v>
      </c>
      <c r="BL418" s="14" t="s">
        <v>213</v>
      </c>
      <c r="BM418" s="165" t="s">
        <v>2719</v>
      </c>
    </row>
    <row r="419" spans="1:65" s="2" customFormat="1" ht="24.2" customHeight="1">
      <c r="A419" s="29"/>
      <c r="B419" s="152"/>
      <c r="C419" s="153" t="s">
        <v>757</v>
      </c>
      <c r="D419" s="153" t="s">
        <v>181</v>
      </c>
      <c r="E419" s="154" t="s">
        <v>1335</v>
      </c>
      <c r="F419" s="155" t="s">
        <v>1336</v>
      </c>
      <c r="G419" s="156" t="s">
        <v>574</v>
      </c>
      <c r="H419" s="157">
        <v>425</v>
      </c>
      <c r="I419" s="158"/>
      <c r="J419" s="151">
        <v>0</v>
      </c>
      <c r="K419" s="160"/>
      <c r="L419" s="30"/>
      <c r="M419" s="161" t="s">
        <v>1</v>
      </c>
      <c r="N419" s="162" t="s">
        <v>35</v>
      </c>
      <c r="O419" s="58"/>
      <c r="P419" s="163">
        <f>O419*H419</f>
        <v>0</v>
      </c>
      <c r="Q419" s="163">
        <v>6.0729411764705897E-5</v>
      </c>
      <c r="R419" s="163">
        <f>Q419*H419</f>
        <v>2.5810000000000007E-2</v>
      </c>
      <c r="S419" s="163">
        <v>0</v>
      </c>
      <c r="T419" s="164">
        <f>S419*H419</f>
        <v>0</v>
      </c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R419" s="165" t="s">
        <v>213</v>
      </c>
      <c r="AT419" s="165" t="s">
        <v>181</v>
      </c>
      <c r="AU419" s="165" t="s">
        <v>82</v>
      </c>
      <c r="AY419" s="14" t="s">
        <v>179</v>
      </c>
      <c r="BE419" s="166">
        <f>IF(N419="základná",J419,0)</f>
        <v>0</v>
      </c>
      <c r="BF419" s="166">
        <f>IF(N419="znížená",J419,0)</f>
        <v>0</v>
      </c>
      <c r="BG419" s="166">
        <f>IF(N419="zákl. prenesená",J419,0)</f>
        <v>0</v>
      </c>
      <c r="BH419" s="166">
        <f>IF(N419="zníž. prenesená",J419,0)</f>
        <v>0</v>
      </c>
      <c r="BI419" s="166">
        <f>IF(N419="nulová",J419,0)</f>
        <v>0</v>
      </c>
      <c r="BJ419" s="14" t="s">
        <v>82</v>
      </c>
      <c r="BK419" s="166">
        <f>ROUND(I419*H419,2)</f>
        <v>0</v>
      </c>
      <c r="BL419" s="14" t="s">
        <v>213</v>
      </c>
      <c r="BM419" s="165" t="s">
        <v>2720</v>
      </c>
    </row>
    <row r="420" spans="1:65" s="2" customFormat="1" ht="33" customHeight="1">
      <c r="A420" s="29"/>
      <c r="B420" s="152"/>
      <c r="C420" s="167" t="s">
        <v>2721</v>
      </c>
      <c r="D420" s="167" t="s">
        <v>202</v>
      </c>
      <c r="E420" s="168" t="s">
        <v>1337</v>
      </c>
      <c r="F420" s="169" t="s">
        <v>1338</v>
      </c>
      <c r="G420" s="170" t="s">
        <v>574</v>
      </c>
      <c r="H420" s="171">
        <v>1300</v>
      </c>
      <c r="I420" s="172"/>
      <c r="J420" s="151">
        <v>0</v>
      </c>
      <c r="K420" s="174"/>
      <c r="L420" s="175"/>
      <c r="M420" s="176" t="s">
        <v>1</v>
      </c>
      <c r="N420" s="177" t="s">
        <v>35</v>
      </c>
      <c r="O420" s="58"/>
      <c r="P420" s="163">
        <f>O420*H420</f>
        <v>0</v>
      </c>
      <c r="Q420" s="163">
        <v>1E-3</v>
      </c>
      <c r="R420" s="163">
        <f>Q420*H420</f>
        <v>1.3</v>
      </c>
      <c r="S420" s="163">
        <v>0</v>
      </c>
      <c r="T420" s="164">
        <f>S420*H420</f>
        <v>0</v>
      </c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R420" s="165" t="s">
        <v>242</v>
      </c>
      <c r="AT420" s="165" t="s">
        <v>202</v>
      </c>
      <c r="AU420" s="165" t="s">
        <v>82</v>
      </c>
      <c r="AY420" s="14" t="s">
        <v>179</v>
      </c>
      <c r="BE420" s="166">
        <f>IF(N420="základná",J420,0)</f>
        <v>0</v>
      </c>
      <c r="BF420" s="166">
        <f>IF(N420="znížená",J420,0)</f>
        <v>0</v>
      </c>
      <c r="BG420" s="166">
        <f>IF(N420="zákl. prenesená",J420,0)</f>
        <v>0</v>
      </c>
      <c r="BH420" s="166">
        <f>IF(N420="zníž. prenesená",J420,0)</f>
        <v>0</v>
      </c>
      <c r="BI420" s="166">
        <f>IF(N420="nulová",J420,0)</f>
        <v>0</v>
      </c>
      <c r="BJ420" s="14" t="s">
        <v>82</v>
      </c>
      <c r="BK420" s="166">
        <f>ROUND(I420*H420,2)</f>
        <v>0</v>
      </c>
      <c r="BL420" s="14" t="s">
        <v>213</v>
      </c>
      <c r="BM420" s="165" t="s">
        <v>2722</v>
      </c>
    </row>
    <row r="421" spans="1:65" s="2" customFormat="1" ht="24.2" customHeight="1">
      <c r="A421" s="29"/>
      <c r="B421" s="152"/>
      <c r="C421" s="153" t="s">
        <v>761</v>
      </c>
      <c r="D421" s="153" t="s">
        <v>181</v>
      </c>
      <c r="E421" s="154" t="s">
        <v>883</v>
      </c>
      <c r="F421" s="155" t="s">
        <v>884</v>
      </c>
      <c r="G421" s="156" t="s">
        <v>585</v>
      </c>
      <c r="H421" s="178"/>
      <c r="I421" s="158"/>
      <c r="J421" s="151">
        <v>0</v>
      </c>
      <c r="K421" s="160"/>
      <c r="L421" s="30"/>
      <c r="M421" s="161" t="s">
        <v>1</v>
      </c>
      <c r="N421" s="162" t="s">
        <v>35</v>
      </c>
      <c r="O421" s="58"/>
      <c r="P421" s="163">
        <f>O421*H421</f>
        <v>0</v>
      </c>
      <c r="Q421" s="163">
        <v>0</v>
      </c>
      <c r="R421" s="163">
        <f>Q421*H421</f>
        <v>0</v>
      </c>
      <c r="S421" s="163">
        <v>0</v>
      </c>
      <c r="T421" s="164">
        <f>S421*H421</f>
        <v>0</v>
      </c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R421" s="165" t="s">
        <v>213</v>
      </c>
      <c r="AT421" s="165" t="s">
        <v>181</v>
      </c>
      <c r="AU421" s="165" t="s">
        <v>82</v>
      </c>
      <c r="AY421" s="14" t="s">
        <v>179</v>
      </c>
      <c r="BE421" s="166">
        <f>IF(N421="základná",J421,0)</f>
        <v>0</v>
      </c>
      <c r="BF421" s="166">
        <f>IF(N421="znížená",J421,0)</f>
        <v>0</v>
      </c>
      <c r="BG421" s="166">
        <f>IF(N421="zákl. prenesená",J421,0)</f>
        <v>0</v>
      </c>
      <c r="BH421" s="166">
        <f>IF(N421="zníž. prenesená",J421,0)</f>
        <v>0</v>
      </c>
      <c r="BI421" s="166">
        <f>IF(N421="nulová",J421,0)</f>
        <v>0</v>
      </c>
      <c r="BJ421" s="14" t="s">
        <v>82</v>
      </c>
      <c r="BK421" s="166">
        <f>ROUND(I421*H421,2)</f>
        <v>0</v>
      </c>
      <c r="BL421" s="14" t="s">
        <v>213</v>
      </c>
      <c r="BM421" s="165" t="s">
        <v>2723</v>
      </c>
    </row>
    <row r="422" spans="1:65" s="12" customFormat="1" ht="22.9" customHeight="1">
      <c r="B422" s="139"/>
      <c r="D422" s="140" t="s">
        <v>68</v>
      </c>
      <c r="E422" s="150" t="s">
        <v>886</v>
      </c>
      <c r="F422" s="150" t="s">
        <v>2724</v>
      </c>
      <c r="I422" s="142"/>
      <c r="J422" s="151">
        <v>0</v>
      </c>
      <c r="L422" s="139"/>
      <c r="M422" s="144"/>
      <c r="N422" s="145"/>
      <c r="O422" s="145"/>
      <c r="P422" s="146">
        <f>SUM(P423:P441)</f>
        <v>0</v>
      </c>
      <c r="Q422" s="145"/>
      <c r="R422" s="146">
        <f>SUM(R423:R441)</f>
        <v>3.0000000000000006E-2</v>
      </c>
      <c r="S422" s="145"/>
      <c r="T422" s="147">
        <f>SUM(T423:T441)</f>
        <v>0</v>
      </c>
      <c r="AR422" s="140" t="s">
        <v>82</v>
      </c>
      <c r="AT422" s="148" t="s">
        <v>68</v>
      </c>
      <c r="AU422" s="148" t="s">
        <v>76</v>
      </c>
      <c r="AY422" s="140" t="s">
        <v>179</v>
      </c>
      <c r="BK422" s="149">
        <f>SUM(BK423:BK441)</f>
        <v>0</v>
      </c>
    </row>
    <row r="423" spans="1:65" s="2" customFormat="1" ht="33" customHeight="1">
      <c r="A423" s="29"/>
      <c r="B423" s="152"/>
      <c r="C423" s="153" t="s">
        <v>2725</v>
      </c>
      <c r="D423" s="153" t="s">
        <v>181</v>
      </c>
      <c r="E423" s="154" t="s">
        <v>2726</v>
      </c>
      <c r="F423" s="155" t="s">
        <v>2727</v>
      </c>
      <c r="G423" s="156" t="s">
        <v>293</v>
      </c>
      <c r="H423" s="157">
        <v>15</v>
      </c>
      <c r="I423" s="158"/>
      <c r="J423" s="151">
        <v>0</v>
      </c>
      <c r="K423" s="160"/>
      <c r="L423" s="30"/>
      <c r="M423" s="161" t="s">
        <v>1</v>
      </c>
      <c r="N423" s="162" t="s">
        <v>35</v>
      </c>
      <c r="O423" s="58"/>
      <c r="P423" s="163">
        <f t="shared" ref="P423:P441" si="90">O423*H423</f>
        <v>0</v>
      </c>
      <c r="Q423" s="163">
        <v>0</v>
      </c>
      <c r="R423" s="163">
        <f t="shared" ref="R423:R441" si="91">Q423*H423</f>
        <v>0</v>
      </c>
      <c r="S423" s="163">
        <v>0</v>
      </c>
      <c r="T423" s="164">
        <f t="shared" ref="T423:T441" si="92">S423*H423</f>
        <v>0</v>
      </c>
      <c r="U423" s="29"/>
      <c r="V423" s="29"/>
      <c r="W423" s="29"/>
      <c r="X423" s="29"/>
      <c r="Y423" s="29"/>
      <c r="Z423" s="29"/>
      <c r="AA423" s="29"/>
      <c r="AB423" s="29"/>
      <c r="AC423" s="29"/>
      <c r="AD423" s="29"/>
      <c r="AE423" s="29"/>
      <c r="AR423" s="165" t="s">
        <v>213</v>
      </c>
      <c r="AT423" s="165" t="s">
        <v>181</v>
      </c>
      <c r="AU423" s="165" t="s">
        <v>82</v>
      </c>
      <c r="AY423" s="14" t="s">
        <v>179</v>
      </c>
      <c r="BE423" s="166">
        <f t="shared" ref="BE423:BE441" si="93">IF(N423="základná",J423,0)</f>
        <v>0</v>
      </c>
      <c r="BF423" s="166">
        <f t="shared" ref="BF423:BF441" si="94">IF(N423="znížená",J423,0)</f>
        <v>0</v>
      </c>
      <c r="BG423" s="166">
        <f t="shared" ref="BG423:BG441" si="95">IF(N423="zákl. prenesená",J423,0)</f>
        <v>0</v>
      </c>
      <c r="BH423" s="166">
        <f t="shared" ref="BH423:BH441" si="96">IF(N423="zníž. prenesená",J423,0)</f>
        <v>0</v>
      </c>
      <c r="BI423" s="166">
        <f t="shared" ref="BI423:BI441" si="97">IF(N423="nulová",J423,0)</f>
        <v>0</v>
      </c>
      <c r="BJ423" s="14" t="s">
        <v>82</v>
      </c>
      <c r="BK423" s="166">
        <f t="shared" ref="BK423:BK441" si="98">ROUND(I423*H423,2)</f>
        <v>0</v>
      </c>
      <c r="BL423" s="14" t="s">
        <v>213</v>
      </c>
      <c r="BM423" s="165" t="s">
        <v>2728</v>
      </c>
    </row>
    <row r="424" spans="1:65" s="2" customFormat="1" ht="24.2" customHeight="1">
      <c r="A424" s="29"/>
      <c r="B424" s="152"/>
      <c r="C424" s="153" t="s">
        <v>764</v>
      </c>
      <c r="D424" s="153" t="s">
        <v>181</v>
      </c>
      <c r="E424" s="154" t="s">
        <v>2729</v>
      </c>
      <c r="F424" s="155" t="s">
        <v>2730</v>
      </c>
      <c r="G424" s="156" t="s">
        <v>217</v>
      </c>
      <c r="H424" s="157">
        <v>2</v>
      </c>
      <c r="I424" s="158"/>
      <c r="J424" s="151">
        <v>0</v>
      </c>
      <c r="K424" s="160"/>
      <c r="L424" s="30"/>
      <c r="M424" s="161" t="s">
        <v>1</v>
      </c>
      <c r="N424" s="162" t="s">
        <v>35</v>
      </c>
      <c r="O424" s="58"/>
      <c r="P424" s="163">
        <f t="shared" si="90"/>
        <v>0</v>
      </c>
      <c r="Q424" s="163">
        <v>0</v>
      </c>
      <c r="R424" s="163">
        <f t="shared" si="91"/>
        <v>0</v>
      </c>
      <c r="S424" s="163">
        <v>0</v>
      </c>
      <c r="T424" s="164">
        <f t="shared" si="92"/>
        <v>0</v>
      </c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R424" s="165" t="s">
        <v>213</v>
      </c>
      <c r="AT424" s="165" t="s">
        <v>181</v>
      </c>
      <c r="AU424" s="165" t="s">
        <v>82</v>
      </c>
      <c r="AY424" s="14" t="s">
        <v>179</v>
      </c>
      <c r="BE424" s="166">
        <f t="shared" si="93"/>
        <v>0</v>
      </c>
      <c r="BF424" s="166">
        <f t="shared" si="94"/>
        <v>0</v>
      </c>
      <c r="BG424" s="166">
        <f t="shared" si="95"/>
        <v>0</v>
      </c>
      <c r="BH424" s="166">
        <f t="shared" si="96"/>
        <v>0</v>
      </c>
      <c r="BI424" s="166">
        <f t="shared" si="97"/>
        <v>0</v>
      </c>
      <c r="BJ424" s="14" t="s">
        <v>82</v>
      </c>
      <c r="BK424" s="166">
        <f t="shared" si="98"/>
        <v>0</v>
      </c>
      <c r="BL424" s="14" t="s">
        <v>213</v>
      </c>
      <c r="BM424" s="165" t="s">
        <v>2731</v>
      </c>
    </row>
    <row r="425" spans="1:65" s="2" customFormat="1" ht="16.5" customHeight="1">
      <c r="A425" s="29"/>
      <c r="B425" s="152"/>
      <c r="C425" s="153" t="s">
        <v>2732</v>
      </c>
      <c r="D425" s="153" t="s">
        <v>181</v>
      </c>
      <c r="E425" s="154" t="s">
        <v>2733</v>
      </c>
      <c r="F425" s="155" t="s">
        <v>2734</v>
      </c>
      <c r="G425" s="156" t="s">
        <v>293</v>
      </c>
      <c r="H425" s="157">
        <v>82</v>
      </c>
      <c r="I425" s="158"/>
      <c r="J425" s="151">
        <v>0</v>
      </c>
      <c r="K425" s="160"/>
      <c r="L425" s="30"/>
      <c r="M425" s="161" t="s">
        <v>1</v>
      </c>
      <c r="N425" s="162" t="s">
        <v>35</v>
      </c>
      <c r="O425" s="58"/>
      <c r="P425" s="163">
        <f t="shared" si="90"/>
        <v>0</v>
      </c>
      <c r="Q425" s="163">
        <v>0</v>
      </c>
      <c r="R425" s="163">
        <f t="shared" si="91"/>
        <v>0</v>
      </c>
      <c r="S425" s="163">
        <v>0</v>
      </c>
      <c r="T425" s="164">
        <f t="shared" si="92"/>
        <v>0</v>
      </c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R425" s="165" t="s">
        <v>213</v>
      </c>
      <c r="AT425" s="165" t="s">
        <v>181</v>
      </c>
      <c r="AU425" s="165" t="s">
        <v>82</v>
      </c>
      <c r="AY425" s="14" t="s">
        <v>179</v>
      </c>
      <c r="BE425" s="166">
        <f t="shared" si="93"/>
        <v>0</v>
      </c>
      <c r="BF425" s="166">
        <f t="shared" si="94"/>
        <v>0</v>
      </c>
      <c r="BG425" s="166">
        <f t="shared" si="95"/>
        <v>0</v>
      </c>
      <c r="BH425" s="166">
        <f t="shared" si="96"/>
        <v>0</v>
      </c>
      <c r="BI425" s="166">
        <f t="shared" si="97"/>
        <v>0</v>
      </c>
      <c r="BJ425" s="14" t="s">
        <v>82</v>
      </c>
      <c r="BK425" s="166">
        <f t="shared" si="98"/>
        <v>0</v>
      </c>
      <c r="BL425" s="14" t="s">
        <v>213</v>
      </c>
      <c r="BM425" s="165" t="s">
        <v>2735</v>
      </c>
    </row>
    <row r="426" spans="1:65" s="2" customFormat="1" ht="24.2" customHeight="1">
      <c r="A426" s="29"/>
      <c r="B426" s="152"/>
      <c r="C426" s="153" t="s">
        <v>768</v>
      </c>
      <c r="D426" s="153" t="s">
        <v>181</v>
      </c>
      <c r="E426" s="154" t="s">
        <v>2736</v>
      </c>
      <c r="F426" s="155" t="s">
        <v>2737</v>
      </c>
      <c r="G426" s="156" t="s">
        <v>217</v>
      </c>
      <c r="H426" s="157">
        <v>1</v>
      </c>
      <c r="I426" s="158"/>
      <c r="J426" s="151">
        <v>0</v>
      </c>
      <c r="K426" s="160"/>
      <c r="L426" s="30"/>
      <c r="M426" s="161" t="s">
        <v>1</v>
      </c>
      <c r="N426" s="162" t="s">
        <v>35</v>
      </c>
      <c r="O426" s="58"/>
      <c r="P426" s="163">
        <f t="shared" si="90"/>
        <v>0</v>
      </c>
      <c r="Q426" s="163">
        <v>0</v>
      </c>
      <c r="R426" s="163">
        <f t="shared" si="91"/>
        <v>0</v>
      </c>
      <c r="S426" s="163">
        <v>0</v>
      </c>
      <c r="T426" s="164">
        <f t="shared" si="92"/>
        <v>0</v>
      </c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R426" s="165" t="s">
        <v>213</v>
      </c>
      <c r="AT426" s="165" t="s">
        <v>181</v>
      </c>
      <c r="AU426" s="165" t="s">
        <v>82</v>
      </c>
      <c r="AY426" s="14" t="s">
        <v>179</v>
      </c>
      <c r="BE426" s="166">
        <f t="shared" si="93"/>
        <v>0</v>
      </c>
      <c r="BF426" s="166">
        <f t="shared" si="94"/>
        <v>0</v>
      </c>
      <c r="BG426" s="166">
        <f t="shared" si="95"/>
        <v>0</v>
      </c>
      <c r="BH426" s="166">
        <f t="shared" si="96"/>
        <v>0</v>
      </c>
      <c r="BI426" s="166">
        <f t="shared" si="97"/>
        <v>0</v>
      </c>
      <c r="BJ426" s="14" t="s">
        <v>82</v>
      </c>
      <c r="BK426" s="166">
        <f t="shared" si="98"/>
        <v>0</v>
      </c>
      <c r="BL426" s="14" t="s">
        <v>213</v>
      </c>
      <c r="BM426" s="165" t="s">
        <v>2738</v>
      </c>
    </row>
    <row r="427" spans="1:65" s="2" customFormat="1" ht="24.2" customHeight="1">
      <c r="A427" s="29"/>
      <c r="B427" s="152"/>
      <c r="C427" s="153" t="s">
        <v>2739</v>
      </c>
      <c r="D427" s="153" t="s">
        <v>181</v>
      </c>
      <c r="E427" s="154" t="s">
        <v>2740</v>
      </c>
      <c r="F427" s="339" t="s">
        <v>3475</v>
      </c>
      <c r="G427" s="156" t="s">
        <v>217</v>
      </c>
      <c r="H427" s="157">
        <v>1</v>
      </c>
      <c r="I427" s="158"/>
      <c r="J427" s="151">
        <v>0</v>
      </c>
      <c r="K427" s="160"/>
      <c r="L427" s="30"/>
      <c r="M427" s="161" t="s">
        <v>1</v>
      </c>
      <c r="N427" s="162" t="s">
        <v>35</v>
      </c>
      <c r="O427" s="58"/>
      <c r="P427" s="163">
        <f t="shared" si="90"/>
        <v>0</v>
      </c>
      <c r="Q427" s="163">
        <v>0</v>
      </c>
      <c r="R427" s="163">
        <f t="shared" si="91"/>
        <v>0</v>
      </c>
      <c r="S427" s="163">
        <v>0</v>
      </c>
      <c r="T427" s="164">
        <f t="shared" si="92"/>
        <v>0</v>
      </c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R427" s="165" t="s">
        <v>213</v>
      </c>
      <c r="AT427" s="165" t="s">
        <v>181</v>
      </c>
      <c r="AU427" s="165" t="s">
        <v>82</v>
      </c>
      <c r="AY427" s="14" t="s">
        <v>179</v>
      </c>
      <c r="BE427" s="166">
        <f t="shared" si="93"/>
        <v>0</v>
      </c>
      <c r="BF427" s="166">
        <f t="shared" si="94"/>
        <v>0</v>
      </c>
      <c r="BG427" s="166">
        <f t="shared" si="95"/>
        <v>0</v>
      </c>
      <c r="BH427" s="166">
        <f t="shared" si="96"/>
        <v>0</v>
      </c>
      <c r="BI427" s="166">
        <f t="shared" si="97"/>
        <v>0</v>
      </c>
      <c r="BJ427" s="14" t="s">
        <v>82</v>
      </c>
      <c r="BK427" s="166">
        <f t="shared" si="98"/>
        <v>0</v>
      </c>
      <c r="BL427" s="14" t="s">
        <v>213</v>
      </c>
      <c r="BM427" s="165" t="s">
        <v>2741</v>
      </c>
    </row>
    <row r="428" spans="1:65" s="2" customFormat="1" ht="21.75" customHeight="1">
      <c r="A428" s="29"/>
      <c r="B428" s="152"/>
      <c r="C428" s="167" t="s">
        <v>771</v>
      </c>
      <c r="D428" s="167" t="s">
        <v>202</v>
      </c>
      <c r="E428" s="168" t="s">
        <v>2742</v>
      </c>
      <c r="F428" s="169" t="s">
        <v>2743</v>
      </c>
      <c r="G428" s="170" t="s">
        <v>217</v>
      </c>
      <c r="H428" s="171">
        <v>2</v>
      </c>
      <c r="I428" s="172"/>
      <c r="J428" s="151">
        <v>0</v>
      </c>
      <c r="K428" s="174"/>
      <c r="L428" s="175"/>
      <c r="M428" s="176" t="s">
        <v>1</v>
      </c>
      <c r="N428" s="177" t="s">
        <v>35</v>
      </c>
      <c r="O428" s="58"/>
      <c r="P428" s="163">
        <f t="shared" si="90"/>
        <v>0</v>
      </c>
      <c r="Q428" s="163">
        <v>1E-3</v>
      </c>
      <c r="R428" s="163">
        <f t="shared" si="91"/>
        <v>2E-3</v>
      </c>
      <c r="S428" s="163">
        <v>0</v>
      </c>
      <c r="T428" s="164">
        <f t="shared" si="92"/>
        <v>0</v>
      </c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R428" s="165" t="s">
        <v>242</v>
      </c>
      <c r="AT428" s="165" t="s">
        <v>202</v>
      </c>
      <c r="AU428" s="165" t="s">
        <v>82</v>
      </c>
      <c r="AY428" s="14" t="s">
        <v>179</v>
      </c>
      <c r="BE428" s="166">
        <f t="shared" si="93"/>
        <v>0</v>
      </c>
      <c r="BF428" s="166">
        <f t="shared" si="94"/>
        <v>0</v>
      </c>
      <c r="BG428" s="166">
        <f t="shared" si="95"/>
        <v>0</v>
      </c>
      <c r="BH428" s="166">
        <f t="shared" si="96"/>
        <v>0</v>
      </c>
      <c r="BI428" s="166">
        <f t="shared" si="97"/>
        <v>0</v>
      </c>
      <c r="BJ428" s="14" t="s">
        <v>82</v>
      </c>
      <c r="BK428" s="166">
        <f t="shared" si="98"/>
        <v>0</v>
      </c>
      <c r="BL428" s="14" t="s">
        <v>213</v>
      </c>
      <c r="BM428" s="165" t="s">
        <v>2744</v>
      </c>
    </row>
    <row r="429" spans="1:65" s="2" customFormat="1" ht="21.75" customHeight="1">
      <c r="A429" s="29"/>
      <c r="B429" s="152"/>
      <c r="C429" s="167" t="s">
        <v>2745</v>
      </c>
      <c r="D429" s="167" t="s">
        <v>202</v>
      </c>
      <c r="E429" s="168" t="s">
        <v>2746</v>
      </c>
      <c r="F429" s="169" t="s">
        <v>2747</v>
      </c>
      <c r="G429" s="170" t="s">
        <v>217</v>
      </c>
      <c r="H429" s="171">
        <v>2</v>
      </c>
      <c r="I429" s="172"/>
      <c r="J429" s="151">
        <v>0</v>
      </c>
      <c r="K429" s="174"/>
      <c r="L429" s="175"/>
      <c r="M429" s="176" t="s">
        <v>1</v>
      </c>
      <c r="N429" s="177" t="s">
        <v>35</v>
      </c>
      <c r="O429" s="58"/>
      <c r="P429" s="163">
        <f t="shared" si="90"/>
        <v>0</v>
      </c>
      <c r="Q429" s="163">
        <v>1E-3</v>
      </c>
      <c r="R429" s="163">
        <f t="shared" si="91"/>
        <v>2E-3</v>
      </c>
      <c r="S429" s="163">
        <v>0</v>
      </c>
      <c r="T429" s="164">
        <f t="shared" si="92"/>
        <v>0</v>
      </c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R429" s="165" t="s">
        <v>242</v>
      </c>
      <c r="AT429" s="165" t="s">
        <v>202</v>
      </c>
      <c r="AU429" s="165" t="s">
        <v>82</v>
      </c>
      <c r="AY429" s="14" t="s">
        <v>179</v>
      </c>
      <c r="BE429" s="166">
        <f t="shared" si="93"/>
        <v>0</v>
      </c>
      <c r="BF429" s="166">
        <f t="shared" si="94"/>
        <v>0</v>
      </c>
      <c r="BG429" s="166">
        <f t="shared" si="95"/>
        <v>0</v>
      </c>
      <c r="BH429" s="166">
        <f t="shared" si="96"/>
        <v>0</v>
      </c>
      <c r="BI429" s="166">
        <f t="shared" si="97"/>
        <v>0</v>
      </c>
      <c r="BJ429" s="14" t="s">
        <v>82</v>
      </c>
      <c r="BK429" s="166">
        <f t="shared" si="98"/>
        <v>0</v>
      </c>
      <c r="BL429" s="14" t="s">
        <v>213</v>
      </c>
      <c r="BM429" s="165" t="s">
        <v>2748</v>
      </c>
    </row>
    <row r="430" spans="1:65" s="2" customFormat="1" ht="21.75" customHeight="1">
      <c r="A430" s="29"/>
      <c r="B430" s="152"/>
      <c r="C430" s="167" t="s">
        <v>775</v>
      </c>
      <c r="D430" s="167" t="s">
        <v>202</v>
      </c>
      <c r="E430" s="168" t="s">
        <v>2749</v>
      </c>
      <c r="F430" s="169" t="s">
        <v>2750</v>
      </c>
      <c r="G430" s="170" t="s">
        <v>217</v>
      </c>
      <c r="H430" s="171">
        <v>4</v>
      </c>
      <c r="I430" s="172"/>
      <c r="J430" s="151">
        <v>0</v>
      </c>
      <c r="K430" s="174"/>
      <c r="L430" s="175"/>
      <c r="M430" s="176" t="s">
        <v>1</v>
      </c>
      <c r="N430" s="177" t="s">
        <v>35</v>
      </c>
      <c r="O430" s="58"/>
      <c r="P430" s="163">
        <f t="shared" si="90"/>
        <v>0</v>
      </c>
      <c r="Q430" s="163">
        <v>1E-3</v>
      </c>
      <c r="R430" s="163">
        <f t="shared" si="91"/>
        <v>4.0000000000000001E-3</v>
      </c>
      <c r="S430" s="163">
        <v>0</v>
      </c>
      <c r="T430" s="164">
        <f t="shared" si="92"/>
        <v>0</v>
      </c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R430" s="165" t="s">
        <v>242</v>
      </c>
      <c r="AT430" s="165" t="s">
        <v>202</v>
      </c>
      <c r="AU430" s="165" t="s">
        <v>82</v>
      </c>
      <c r="AY430" s="14" t="s">
        <v>179</v>
      </c>
      <c r="BE430" s="166">
        <f t="shared" si="93"/>
        <v>0</v>
      </c>
      <c r="BF430" s="166">
        <f t="shared" si="94"/>
        <v>0</v>
      </c>
      <c r="BG430" s="166">
        <f t="shared" si="95"/>
        <v>0</v>
      </c>
      <c r="BH430" s="166">
        <f t="shared" si="96"/>
        <v>0</v>
      </c>
      <c r="BI430" s="166">
        <f t="shared" si="97"/>
        <v>0</v>
      </c>
      <c r="BJ430" s="14" t="s">
        <v>82</v>
      </c>
      <c r="BK430" s="166">
        <f t="shared" si="98"/>
        <v>0</v>
      </c>
      <c r="BL430" s="14" t="s">
        <v>213</v>
      </c>
      <c r="BM430" s="165" t="s">
        <v>2751</v>
      </c>
    </row>
    <row r="431" spans="1:65" s="2" customFormat="1" ht="21.75" customHeight="1">
      <c r="A431" s="29"/>
      <c r="B431" s="152"/>
      <c r="C431" s="167" t="s">
        <v>2752</v>
      </c>
      <c r="D431" s="167" t="s">
        <v>202</v>
      </c>
      <c r="E431" s="168" t="s">
        <v>2753</v>
      </c>
      <c r="F431" s="169" t="s">
        <v>2754</v>
      </c>
      <c r="G431" s="170" t="s">
        <v>217</v>
      </c>
      <c r="H431" s="171">
        <v>2</v>
      </c>
      <c r="I431" s="172"/>
      <c r="J431" s="151">
        <v>0</v>
      </c>
      <c r="K431" s="174"/>
      <c r="L431" s="175"/>
      <c r="M431" s="176" t="s">
        <v>1</v>
      </c>
      <c r="N431" s="177" t="s">
        <v>35</v>
      </c>
      <c r="O431" s="58"/>
      <c r="P431" s="163">
        <f t="shared" si="90"/>
        <v>0</v>
      </c>
      <c r="Q431" s="163">
        <v>1E-3</v>
      </c>
      <c r="R431" s="163">
        <f t="shared" si="91"/>
        <v>2E-3</v>
      </c>
      <c r="S431" s="163">
        <v>0</v>
      </c>
      <c r="T431" s="164">
        <f t="shared" si="92"/>
        <v>0</v>
      </c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R431" s="165" t="s">
        <v>242</v>
      </c>
      <c r="AT431" s="165" t="s">
        <v>202</v>
      </c>
      <c r="AU431" s="165" t="s">
        <v>82</v>
      </c>
      <c r="AY431" s="14" t="s">
        <v>179</v>
      </c>
      <c r="BE431" s="166">
        <f t="shared" si="93"/>
        <v>0</v>
      </c>
      <c r="BF431" s="166">
        <f t="shared" si="94"/>
        <v>0</v>
      </c>
      <c r="BG431" s="166">
        <f t="shared" si="95"/>
        <v>0</v>
      </c>
      <c r="BH431" s="166">
        <f t="shared" si="96"/>
        <v>0</v>
      </c>
      <c r="BI431" s="166">
        <f t="shared" si="97"/>
        <v>0</v>
      </c>
      <c r="BJ431" s="14" t="s">
        <v>82</v>
      </c>
      <c r="BK431" s="166">
        <f t="shared" si="98"/>
        <v>0</v>
      </c>
      <c r="BL431" s="14" t="s">
        <v>213</v>
      </c>
      <c r="BM431" s="165" t="s">
        <v>2755</v>
      </c>
    </row>
    <row r="432" spans="1:65" s="2" customFormat="1" ht="24.2" customHeight="1">
      <c r="A432" s="29"/>
      <c r="B432" s="152"/>
      <c r="C432" s="167" t="s">
        <v>778</v>
      </c>
      <c r="D432" s="167" t="s">
        <v>202</v>
      </c>
      <c r="E432" s="168" t="s">
        <v>2756</v>
      </c>
      <c r="F432" s="169" t="s">
        <v>2757</v>
      </c>
      <c r="G432" s="170" t="s">
        <v>217</v>
      </c>
      <c r="H432" s="171">
        <v>2</v>
      </c>
      <c r="I432" s="172"/>
      <c r="J432" s="151">
        <v>0</v>
      </c>
      <c r="K432" s="174"/>
      <c r="L432" s="175"/>
      <c r="M432" s="176" t="s">
        <v>1</v>
      </c>
      <c r="N432" s="177" t="s">
        <v>35</v>
      </c>
      <c r="O432" s="58"/>
      <c r="P432" s="163">
        <f t="shared" si="90"/>
        <v>0</v>
      </c>
      <c r="Q432" s="163">
        <v>1E-3</v>
      </c>
      <c r="R432" s="163">
        <f t="shared" si="91"/>
        <v>2E-3</v>
      </c>
      <c r="S432" s="163">
        <v>0</v>
      </c>
      <c r="T432" s="164">
        <f t="shared" si="92"/>
        <v>0</v>
      </c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R432" s="165" t="s">
        <v>242</v>
      </c>
      <c r="AT432" s="165" t="s">
        <v>202</v>
      </c>
      <c r="AU432" s="165" t="s">
        <v>82</v>
      </c>
      <c r="AY432" s="14" t="s">
        <v>179</v>
      </c>
      <c r="BE432" s="166">
        <f t="shared" si="93"/>
        <v>0</v>
      </c>
      <c r="BF432" s="166">
        <f t="shared" si="94"/>
        <v>0</v>
      </c>
      <c r="BG432" s="166">
        <f t="shared" si="95"/>
        <v>0</v>
      </c>
      <c r="BH432" s="166">
        <f t="shared" si="96"/>
        <v>0</v>
      </c>
      <c r="BI432" s="166">
        <f t="shared" si="97"/>
        <v>0</v>
      </c>
      <c r="BJ432" s="14" t="s">
        <v>82</v>
      </c>
      <c r="BK432" s="166">
        <f t="shared" si="98"/>
        <v>0</v>
      </c>
      <c r="BL432" s="14" t="s">
        <v>213</v>
      </c>
      <c r="BM432" s="165" t="s">
        <v>2758</v>
      </c>
    </row>
    <row r="433" spans="1:65" s="2" customFormat="1" ht="24.2" customHeight="1">
      <c r="A433" s="29"/>
      <c r="B433" s="152"/>
      <c r="C433" s="167" t="s">
        <v>2759</v>
      </c>
      <c r="D433" s="167" t="s">
        <v>202</v>
      </c>
      <c r="E433" s="168" t="s">
        <v>2760</v>
      </c>
      <c r="F433" s="169" t="s">
        <v>2761</v>
      </c>
      <c r="G433" s="170" t="s">
        <v>217</v>
      </c>
      <c r="H433" s="171">
        <v>2</v>
      </c>
      <c r="I433" s="172"/>
      <c r="J433" s="151">
        <v>0</v>
      </c>
      <c r="K433" s="174"/>
      <c r="L433" s="175"/>
      <c r="M433" s="176" t="s">
        <v>1</v>
      </c>
      <c r="N433" s="177" t="s">
        <v>35</v>
      </c>
      <c r="O433" s="58"/>
      <c r="P433" s="163">
        <f t="shared" si="90"/>
        <v>0</v>
      </c>
      <c r="Q433" s="163">
        <v>1E-3</v>
      </c>
      <c r="R433" s="163">
        <f t="shared" si="91"/>
        <v>2E-3</v>
      </c>
      <c r="S433" s="163">
        <v>0</v>
      </c>
      <c r="T433" s="164">
        <f t="shared" si="92"/>
        <v>0</v>
      </c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R433" s="165" t="s">
        <v>242</v>
      </c>
      <c r="AT433" s="165" t="s">
        <v>202</v>
      </c>
      <c r="AU433" s="165" t="s">
        <v>82</v>
      </c>
      <c r="AY433" s="14" t="s">
        <v>179</v>
      </c>
      <c r="BE433" s="166">
        <f t="shared" si="93"/>
        <v>0</v>
      </c>
      <c r="BF433" s="166">
        <f t="shared" si="94"/>
        <v>0</v>
      </c>
      <c r="BG433" s="166">
        <f t="shared" si="95"/>
        <v>0</v>
      </c>
      <c r="BH433" s="166">
        <f t="shared" si="96"/>
        <v>0</v>
      </c>
      <c r="BI433" s="166">
        <f t="shared" si="97"/>
        <v>0</v>
      </c>
      <c r="BJ433" s="14" t="s">
        <v>82</v>
      </c>
      <c r="BK433" s="166">
        <f t="shared" si="98"/>
        <v>0</v>
      </c>
      <c r="BL433" s="14" t="s">
        <v>213</v>
      </c>
      <c r="BM433" s="165" t="s">
        <v>2762</v>
      </c>
    </row>
    <row r="434" spans="1:65" s="2" customFormat="1" ht="24.2" customHeight="1">
      <c r="A434" s="29"/>
      <c r="B434" s="152"/>
      <c r="C434" s="167" t="s">
        <v>781</v>
      </c>
      <c r="D434" s="167" t="s">
        <v>202</v>
      </c>
      <c r="E434" s="168" t="s">
        <v>2763</v>
      </c>
      <c r="F434" s="169" t="s">
        <v>2764</v>
      </c>
      <c r="G434" s="170" t="s">
        <v>217</v>
      </c>
      <c r="H434" s="171">
        <v>4</v>
      </c>
      <c r="I434" s="172"/>
      <c r="J434" s="151">
        <v>0</v>
      </c>
      <c r="K434" s="174"/>
      <c r="L434" s="175"/>
      <c r="M434" s="176" t="s">
        <v>1</v>
      </c>
      <c r="N434" s="177" t="s">
        <v>35</v>
      </c>
      <c r="O434" s="58"/>
      <c r="P434" s="163">
        <f t="shared" si="90"/>
        <v>0</v>
      </c>
      <c r="Q434" s="163">
        <v>1E-3</v>
      </c>
      <c r="R434" s="163">
        <f t="shared" si="91"/>
        <v>4.0000000000000001E-3</v>
      </c>
      <c r="S434" s="163">
        <v>0</v>
      </c>
      <c r="T434" s="164">
        <f t="shared" si="92"/>
        <v>0</v>
      </c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R434" s="165" t="s">
        <v>242</v>
      </c>
      <c r="AT434" s="165" t="s">
        <v>202</v>
      </c>
      <c r="AU434" s="165" t="s">
        <v>82</v>
      </c>
      <c r="AY434" s="14" t="s">
        <v>179</v>
      </c>
      <c r="BE434" s="166">
        <f t="shared" si="93"/>
        <v>0</v>
      </c>
      <c r="BF434" s="166">
        <f t="shared" si="94"/>
        <v>0</v>
      </c>
      <c r="BG434" s="166">
        <f t="shared" si="95"/>
        <v>0</v>
      </c>
      <c r="BH434" s="166">
        <f t="shared" si="96"/>
        <v>0</v>
      </c>
      <c r="BI434" s="166">
        <f t="shared" si="97"/>
        <v>0</v>
      </c>
      <c r="BJ434" s="14" t="s">
        <v>82</v>
      </c>
      <c r="BK434" s="166">
        <f t="shared" si="98"/>
        <v>0</v>
      </c>
      <c r="BL434" s="14" t="s">
        <v>213</v>
      </c>
      <c r="BM434" s="165" t="s">
        <v>2765</v>
      </c>
    </row>
    <row r="435" spans="1:65" s="2" customFormat="1" ht="24.2" customHeight="1">
      <c r="A435" s="29"/>
      <c r="B435" s="152"/>
      <c r="C435" s="167" t="s">
        <v>2766</v>
      </c>
      <c r="D435" s="167" t="s">
        <v>202</v>
      </c>
      <c r="E435" s="168" t="s">
        <v>2767</v>
      </c>
      <c r="F435" s="169" t="s">
        <v>2768</v>
      </c>
      <c r="G435" s="170" t="s">
        <v>217</v>
      </c>
      <c r="H435" s="171">
        <v>2</v>
      </c>
      <c r="I435" s="172"/>
      <c r="J435" s="151">
        <v>0</v>
      </c>
      <c r="K435" s="174"/>
      <c r="L435" s="175"/>
      <c r="M435" s="176" t="s">
        <v>1</v>
      </c>
      <c r="N435" s="177" t="s">
        <v>35</v>
      </c>
      <c r="O435" s="58"/>
      <c r="P435" s="163">
        <f t="shared" si="90"/>
        <v>0</v>
      </c>
      <c r="Q435" s="163">
        <v>1E-3</v>
      </c>
      <c r="R435" s="163">
        <f t="shared" si="91"/>
        <v>2E-3</v>
      </c>
      <c r="S435" s="163">
        <v>0</v>
      </c>
      <c r="T435" s="164">
        <f t="shared" si="92"/>
        <v>0</v>
      </c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R435" s="165" t="s">
        <v>242</v>
      </c>
      <c r="AT435" s="165" t="s">
        <v>202</v>
      </c>
      <c r="AU435" s="165" t="s">
        <v>82</v>
      </c>
      <c r="AY435" s="14" t="s">
        <v>179</v>
      </c>
      <c r="BE435" s="166">
        <f t="shared" si="93"/>
        <v>0</v>
      </c>
      <c r="BF435" s="166">
        <f t="shared" si="94"/>
        <v>0</v>
      </c>
      <c r="BG435" s="166">
        <f t="shared" si="95"/>
        <v>0</v>
      </c>
      <c r="BH435" s="166">
        <f t="shared" si="96"/>
        <v>0</v>
      </c>
      <c r="BI435" s="166">
        <f t="shared" si="97"/>
        <v>0</v>
      </c>
      <c r="BJ435" s="14" t="s">
        <v>82</v>
      </c>
      <c r="BK435" s="166">
        <f t="shared" si="98"/>
        <v>0</v>
      </c>
      <c r="BL435" s="14" t="s">
        <v>213</v>
      </c>
      <c r="BM435" s="165" t="s">
        <v>2769</v>
      </c>
    </row>
    <row r="436" spans="1:65" s="2" customFormat="1" ht="21.75" customHeight="1">
      <c r="A436" s="29"/>
      <c r="B436" s="152"/>
      <c r="C436" s="167" t="s">
        <v>784</v>
      </c>
      <c r="D436" s="167" t="s">
        <v>202</v>
      </c>
      <c r="E436" s="168" t="s">
        <v>2770</v>
      </c>
      <c r="F436" s="169" t="s">
        <v>2771</v>
      </c>
      <c r="G436" s="170" t="s">
        <v>217</v>
      </c>
      <c r="H436" s="171">
        <v>2</v>
      </c>
      <c r="I436" s="172"/>
      <c r="J436" s="151">
        <v>0</v>
      </c>
      <c r="K436" s="174"/>
      <c r="L436" s="175"/>
      <c r="M436" s="176" t="s">
        <v>1</v>
      </c>
      <c r="N436" s="177" t="s">
        <v>35</v>
      </c>
      <c r="O436" s="58"/>
      <c r="P436" s="163">
        <f t="shared" si="90"/>
        <v>0</v>
      </c>
      <c r="Q436" s="163">
        <v>1E-3</v>
      </c>
      <c r="R436" s="163">
        <f t="shared" si="91"/>
        <v>2E-3</v>
      </c>
      <c r="S436" s="163">
        <v>0</v>
      </c>
      <c r="T436" s="164">
        <f t="shared" si="92"/>
        <v>0</v>
      </c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R436" s="165" t="s">
        <v>242</v>
      </c>
      <c r="AT436" s="165" t="s">
        <v>202</v>
      </c>
      <c r="AU436" s="165" t="s">
        <v>82</v>
      </c>
      <c r="AY436" s="14" t="s">
        <v>179</v>
      </c>
      <c r="BE436" s="166">
        <f t="shared" si="93"/>
        <v>0</v>
      </c>
      <c r="BF436" s="166">
        <f t="shared" si="94"/>
        <v>0</v>
      </c>
      <c r="BG436" s="166">
        <f t="shared" si="95"/>
        <v>0</v>
      </c>
      <c r="BH436" s="166">
        <f t="shared" si="96"/>
        <v>0</v>
      </c>
      <c r="BI436" s="166">
        <f t="shared" si="97"/>
        <v>0</v>
      </c>
      <c r="BJ436" s="14" t="s">
        <v>82</v>
      </c>
      <c r="BK436" s="166">
        <f t="shared" si="98"/>
        <v>0</v>
      </c>
      <c r="BL436" s="14" t="s">
        <v>213</v>
      </c>
      <c r="BM436" s="165" t="s">
        <v>2772</v>
      </c>
    </row>
    <row r="437" spans="1:65" s="2" customFormat="1" ht="24.2" customHeight="1">
      <c r="A437" s="29"/>
      <c r="B437" s="152"/>
      <c r="C437" s="167" t="s">
        <v>2773</v>
      </c>
      <c r="D437" s="167" t="s">
        <v>202</v>
      </c>
      <c r="E437" s="168" t="s">
        <v>2774</v>
      </c>
      <c r="F437" s="169" t="s">
        <v>2775</v>
      </c>
      <c r="G437" s="170" t="s">
        <v>217</v>
      </c>
      <c r="H437" s="171">
        <v>2</v>
      </c>
      <c r="I437" s="172"/>
      <c r="J437" s="151">
        <v>0</v>
      </c>
      <c r="K437" s="174"/>
      <c r="L437" s="175"/>
      <c r="M437" s="176" t="s">
        <v>1</v>
      </c>
      <c r="N437" s="177" t="s">
        <v>35</v>
      </c>
      <c r="O437" s="58"/>
      <c r="P437" s="163">
        <f t="shared" si="90"/>
        <v>0</v>
      </c>
      <c r="Q437" s="163">
        <v>1E-3</v>
      </c>
      <c r="R437" s="163">
        <f t="shared" si="91"/>
        <v>2E-3</v>
      </c>
      <c r="S437" s="163">
        <v>0</v>
      </c>
      <c r="T437" s="164">
        <f t="shared" si="92"/>
        <v>0</v>
      </c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R437" s="165" t="s">
        <v>242</v>
      </c>
      <c r="AT437" s="165" t="s">
        <v>202</v>
      </c>
      <c r="AU437" s="165" t="s">
        <v>82</v>
      </c>
      <c r="AY437" s="14" t="s">
        <v>179</v>
      </c>
      <c r="BE437" s="166">
        <f t="shared" si="93"/>
        <v>0</v>
      </c>
      <c r="BF437" s="166">
        <f t="shared" si="94"/>
        <v>0</v>
      </c>
      <c r="BG437" s="166">
        <f t="shared" si="95"/>
        <v>0</v>
      </c>
      <c r="BH437" s="166">
        <f t="shared" si="96"/>
        <v>0</v>
      </c>
      <c r="BI437" s="166">
        <f t="shared" si="97"/>
        <v>0</v>
      </c>
      <c r="BJ437" s="14" t="s">
        <v>82</v>
      </c>
      <c r="BK437" s="166">
        <f t="shared" si="98"/>
        <v>0</v>
      </c>
      <c r="BL437" s="14" t="s">
        <v>213</v>
      </c>
      <c r="BM437" s="165" t="s">
        <v>2776</v>
      </c>
    </row>
    <row r="438" spans="1:65" s="2" customFormat="1" ht="24.2" customHeight="1">
      <c r="A438" s="29"/>
      <c r="B438" s="152"/>
      <c r="C438" s="167" t="s">
        <v>788</v>
      </c>
      <c r="D438" s="167" t="s">
        <v>202</v>
      </c>
      <c r="E438" s="168" t="s">
        <v>2777</v>
      </c>
      <c r="F438" s="169" t="s">
        <v>2778</v>
      </c>
      <c r="G438" s="170" t="s">
        <v>217</v>
      </c>
      <c r="H438" s="171">
        <v>4</v>
      </c>
      <c r="I438" s="172"/>
      <c r="J438" s="151">
        <v>0</v>
      </c>
      <c r="K438" s="174"/>
      <c r="L438" s="175"/>
      <c r="M438" s="176" t="s">
        <v>1</v>
      </c>
      <c r="N438" s="177" t="s">
        <v>35</v>
      </c>
      <c r="O438" s="58"/>
      <c r="P438" s="163">
        <f t="shared" si="90"/>
        <v>0</v>
      </c>
      <c r="Q438" s="163">
        <v>1E-3</v>
      </c>
      <c r="R438" s="163">
        <f t="shared" si="91"/>
        <v>4.0000000000000001E-3</v>
      </c>
      <c r="S438" s="163">
        <v>0</v>
      </c>
      <c r="T438" s="164">
        <f t="shared" si="92"/>
        <v>0</v>
      </c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R438" s="165" t="s">
        <v>242</v>
      </c>
      <c r="AT438" s="165" t="s">
        <v>202</v>
      </c>
      <c r="AU438" s="165" t="s">
        <v>82</v>
      </c>
      <c r="AY438" s="14" t="s">
        <v>179</v>
      </c>
      <c r="BE438" s="166">
        <f t="shared" si="93"/>
        <v>0</v>
      </c>
      <c r="BF438" s="166">
        <f t="shared" si="94"/>
        <v>0</v>
      </c>
      <c r="BG438" s="166">
        <f t="shared" si="95"/>
        <v>0</v>
      </c>
      <c r="BH438" s="166">
        <f t="shared" si="96"/>
        <v>0</v>
      </c>
      <c r="BI438" s="166">
        <f t="shared" si="97"/>
        <v>0</v>
      </c>
      <c r="BJ438" s="14" t="s">
        <v>82</v>
      </c>
      <c r="BK438" s="166">
        <f t="shared" si="98"/>
        <v>0</v>
      </c>
      <c r="BL438" s="14" t="s">
        <v>213</v>
      </c>
      <c r="BM438" s="165" t="s">
        <v>2779</v>
      </c>
    </row>
    <row r="439" spans="1:65" s="2" customFormat="1" ht="24.2" customHeight="1">
      <c r="A439" s="29"/>
      <c r="B439" s="152"/>
      <c r="C439" s="167" t="s">
        <v>2780</v>
      </c>
      <c r="D439" s="167" t="s">
        <v>202</v>
      </c>
      <c r="E439" s="168" t="s">
        <v>2781</v>
      </c>
      <c r="F439" s="169" t="s">
        <v>2782</v>
      </c>
      <c r="G439" s="170" t="s">
        <v>217</v>
      </c>
      <c r="H439" s="171">
        <v>2</v>
      </c>
      <c r="I439" s="172"/>
      <c r="J439" s="151">
        <v>0</v>
      </c>
      <c r="K439" s="174"/>
      <c r="L439" s="175"/>
      <c r="M439" s="176" t="s">
        <v>1</v>
      </c>
      <c r="N439" s="177" t="s">
        <v>35</v>
      </c>
      <c r="O439" s="58"/>
      <c r="P439" s="163">
        <f t="shared" si="90"/>
        <v>0</v>
      </c>
      <c r="Q439" s="163">
        <v>1E-3</v>
      </c>
      <c r="R439" s="163">
        <f t="shared" si="91"/>
        <v>2E-3</v>
      </c>
      <c r="S439" s="163">
        <v>0</v>
      </c>
      <c r="T439" s="164">
        <f t="shared" si="92"/>
        <v>0</v>
      </c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R439" s="165" t="s">
        <v>242</v>
      </c>
      <c r="AT439" s="165" t="s">
        <v>202</v>
      </c>
      <c r="AU439" s="165" t="s">
        <v>82</v>
      </c>
      <c r="AY439" s="14" t="s">
        <v>179</v>
      </c>
      <c r="BE439" s="166">
        <f t="shared" si="93"/>
        <v>0</v>
      </c>
      <c r="BF439" s="166">
        <f t="shared" si="94"/>
        <v>0</v>
      </c>
      <c r="BG439" s="166">
        <f t="shared" si="95"/>
        <v>0</v>
      </c>
      <c r="BH439" s="166">
        <f t="shared" si="96"/>
        <v>0</v>
      </c>
      <c r="BI439" s="166">
        <f t="shared" si="97"/>
        <v>0</v>
      </c>
      <c r="BJ439" s="14" t="s">
        <v>82</v>
      </c>
      <c r="BK439" s="166">
        <f t="shared" si="98"/>
        <v>0</v>
      </c>
      <c r="BL439" s="14" t="s">
        <v>213</v>
      </c>
      <c r="BM439" s="165" t="s">
        <v>2783</v>
      </c>
    </row>
    <row r="440" spans="1:65" s="2" customFormat="1" ht="37.9" customHeight="1">
      <c r="A440" s="29"/>
      <c r="B440" s="152"/>
      <c r="C440" s="153" t="s">
        <v>791</v>
      </c>
      <c r="D440" s="153" t="s">
        <v>181</v>
      </c>
      <c r="E440" s="154" t="s">
        <v>2784</v>
      </c>
      <c r="F440" s="155" t="s">
        <v>2785</v>
      </c>
      <c r="G440" s="156" t="s">
        <v>191</v>
      </c>
      <c r="H440" s="157">
        <v>7.3879999999999999</v>
      </c>
      <c r="I440" s="158"/>
      <c r="J440" s="151">
        <v>0</v>
      </c>
      <c r="K440" s="160"/>
      <c r="L440" s="30"/>
      <c r="M440" s="161" t="s">
        <v>1</v>
      </c>
      <c r="N440" s="162" t="s">
        <v>35</v>
      </c>
      <c r="O440" s="58"/>
      <c r="P440" s="163">
        <f t="shared" si="90"/>
        <v>0</v>
      </c>
      <c r="Q440" s="163">
        <v>0</v>
      </c>
      <c r="R440" s="163">
        <f t="shared" si="91"/>
        <v>0</v>
      </c>
      <c r="S440" s="163">
        <v>0</v>
      </c>
      <c r="T440" s="164">
        <f t="shared" si="92"/>
        <v>0</v>
      </c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R440" s="165" t="s">
        <v>213</v>
      </c>
      <c r="AT440" s="165" t="s">
        <v>181</v>
      </c>
      <c r="AU440" s="165" t="s">
        <v>82</v>
      </c>
      <c r="AY440" s="14" t="s">
        <v>179</v>
      </c>
      <c r="BE440" s="166">
        <f t="shared" si="93"/>
        <v>0</v>
      </c>
      <c r="BF440" s="166">
        <f t="shared" si="94"/>
        <v>0</v>
      </c>
      <c r="BG440" s="166">
        <f t="shared" si="95"/>
        <v>0</v>
      </c>
      <c r="BH440" s="166">
        <f t="shared" si="96"/>
        <v>0</v>
      </c>
      <c r="BI440" s="166">
        <f t="shared" si="97"/>
        <v>0</v>
      </c>
      <c r="BJ440" s="14" t="s">
        <v>82</v>
      </c>
      <c r="BK440" s="166">
        <f t="shared" si="98"/>
        <v>0</v>
      </c>
      <c r="BL440" s="14" t="s">
        <v>213</v>
      </c>
      <c r="BM440" s="165" t="s">
        <v>2786</v>
      </c>
    </row>
    <row r="441" spans="1:65" s="2" customFormat="1" ht="24.2" customHeight="1">
      <c r="A441" s="29"/>
      <c r="B441" s="152"/>
      <c r="C441" s="153" t="s">
        <v>2787</v>
      </c>
      <c r="D441" s="153" t="s">
        <v>181</v>
      </c>
      <c r="E441" s="154" t="s">
        <v>2406</v>
      </c>
      <c r="F441" s="155" t="s">
        <v>2407</v>
      </c>
      <c r="G441" s="156" t="s">
        <v>585</v>
      </c>
      <c r="H441" s="178"/>
      <c r="I441" s="158"/>
      <c r="J441" s="151">
        <v>0</v>
      </c>
      <c r="K441" s="160"/>
      <c r="L441" s="30"/>
      <c r="M441" s="161" t="s">
        <v>1</v>
      </c>
      <c r="N441" s="162" t="s">
        <v>35</v>
      </c>
      <c r="O441" s="58"/>
      <c r="P441" s="163">
        <f t="shared" si="90"/>
        <v>0</v>
      </c>
      <c r="Q441" s="163">
        <v>0</v>
      </c>
      <c r="R441" s="163">
        <f t="shared" si="91"/>
        <v>0</v>
      </c>
      <c r="S441" s="163">
        <v>0</v>
      </c>
      <c r="T441" s="164">
        <f t="shared" si="92"/>
        <v>0</v>
      </c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R441" s="165" t="s">
        <v>213</v>
      </c>
      <c r="AT441" s="165" t="s">
        <v>181</v>
      </c>
      <c r="AU441" s="165" t="s">
        <v>82</v>
      </c>
      <c r="AY441" s="14" t="s">
        <v>179</v>
      </c>
      <c r="BE441" s="166">
        <f t="shared" si="93"/>
        <v>0</v>
      </c>
      <c r="BF441" s="166">
        <f t="shared" si="94"/>
        <v>0</v>
      </c>
      <c r="BG441" s="166">
        <f t="shared" si="95"/>
        <v>0</v>
      </c>
      <c r="BH441" s="166">
        <f t="shared" si="96"/>
        <v>0</v>
      </c>
      <c r="BI441" s="166">
        <f t="shared" si="97"/>
        <v>0</v>
      </c>
      <c r="BJ441" s="14" t="s">
        <v>82</v>
      </c>
      <c r="BK441" s="166">
        <f t="shared" si="98"/>
        <v>0</v>
      </c>
      <c r="BL441" s="14" t="s">
        <v>213</v>
      </c>
      <c r="BM441" s="165" t="s">
        <v>2788</v>
      </c>
    </row>
    <row r="442" spans="1:65" s="12" customFormat="1" ht="22.9" customHeight="1">
      <c r="B442" s="139"/>
      <c r="D442" s="140" t="s">
        <v>68</v>
      </c>
      <c r="E442" s="150" t="s">
        <v>923</v>
      </c>
      <c r="F442" s="150" t="s">
        <v>1339</v>
      </c>
      <c r="I442" s="142"/>
      <c r="J442" s="151">
        <v>0</v>
      </c>
      <c r="L442" s="139"/>
      <c r="M442" s="144"/>
      <c r="N442" s="145"/>
      <c r="O442" s="145"/>
      <c r="P442" s="146">
        <f>SUM(P443:P446)</f>
        <v>0</v>
      </c>
      <c r="Q442" s="145"/>
      <c r="R442" s="146">
        <f>SUM(R443:R446)</f>
        <v>0.10190999999999995</v>
      </c>
      <c r="S442" s="145"/>
      <c r="T442" s="147">
        <f>SUM(T443:T446)</f>
        <v>0</v>
      </c>
      <c r="AR442" s="140" t="s">
        <v>82</v>
      </c>
      <c r="AT442" s="148" t="s">
        <v>68</v>
      </c>
      <c r="AU442" s="148" t="s">
        <v>76</v>
      </c>
      <c r="AY442" s="140" t="s">
        <v>179</v>
      </c>
      <c r="BK442" s="149">
        <f>SUM(BK443:BK446)</f>
        <v>0</v>
      </c>
    </row>
    <row r="443" spans="1:65" s="2" customFormat="1" ht="24.2" customHeight="1">
      <c r="A443" s="29"/>
      <c r="B443" s="152"/>
      <c r="C443" s="153" t="s">
        <v>795</v>
      </c>
      <c r="D443" s="153" t="s">
        <v>181</v>
      </c>
      <c r="E443" s="154" t="s">
        <v>1340</v>
      </c>
      <c r="F443" s="155" t="s">
        <v>1341</v>
      </c>
      <c r="G443" s="156" t="s">
        <v>184</v>
      </c>
      <c r="H443" s="157">
        <v>65</v>
      </c>
      <c r="I443" s="158"/>
      <c r="J443" s="151">
        <v>0</v>
      </c>
      <c r="K443" s="160"/>
      <c r="L443" s="30"/>
      <c r="M443" s="161" t="s">
        <v>1</v>
      </c>
      <c r="N443" s="162" t="s">
        <v>35</v>
      </c>
      <c r="O443" s="58"/>
      <c r="P443" s="163">
        <f>O443*H443</f>
        <v>0</v>
      </c>
      <c r="Q443" s="163">
        <v>2.07846153846154E-4</v>
      </c>
      <c r="R443" s="163">
        <f>Q443*H443</f>
        <v>1.351000000000001E-2</v>
      </c>
      <c r="S443" s="163">
        <v>0</v>
      </c>
      <c r="T443" s="164">
        <f>S443*H443</f>
        <v>0</v>
      </c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R443" s="165" t="s">
        <v>213</v>
      </c>
      <c r="AT443" s="165" t="s">
        <v>181</v>
      </c>
      <c r="AU443" s="165" t="s">
        <v>82</v>
      </c>
      <c r="AY443" s="14" t="s">
        <v>179</v>
      </c>
      <c r="BE443" s="166">
        <f>IF(N443="základná",J443,0)</f>
        <v>0</v>
      </c>
      <c r="BF443" s="166">
        <f>IF(N443="znížená",J443,0)</f>
        <v>0</v>
      </c>
      <c r="BG443" s="166">
        <f>IF(N443="zákl. prenesená",J443,0)</f>
        <v>0</v>
      </c>
      <c r="BH443" s="166">
        <f>IF(N443="zníž. prenesená",J443,0)</f>
        <v>0</v>
      </c>
      <c r="BI443" s="166">
        <f>IF(N443="nulová",J443,0)</f>
        <v>0</v>
      </c>
      <c r="BJ443" s="14" t="s">
        <v>82</v>
      </c>
      <c r="BK443" s="166">
        <f>ROUND(I443*H443,2)</f>
        <v>0</v>
      </c>
      <c r="BL443" s="14" t="s">
        <v>213</v>
      </c>
      <c r="BM443" s="165" t="s">
        <v>2789</v>
      </c>
    </row>
    <row r="444" spans="1:65" s="2" customFormat="1" ht="33" customHeight="1">
      <c r="A444" s="29"/>
      <c r="B444" s="152"/>
      <c r="C444" s="153" t="s">
        <v>2790</v>
      </c>
      <c r="D444" s="153" t="s">
        <v>181</v>
      </c>
      <c r="E444" s="154" t="s">
        <v>1342</v>
      </c>
      <c r="F444" s="155" t="s">
        <v>1343</v>
      </c>
      <c r="G444" s="156" t="s">
        <v>293</v>
      </c>
      <c r="H444" s="157">
        <v>180</v>
      </c>
      <c r="I444" s="158"/>
      <c r="J444" s="151">
        <v>0</v>
      </c>
      <c r="K444" s="160"/>
      <c r="L444" s="30"/>
      <c r="M444" s="161" t="s">
        <v>1</v>
      </c>
      <c r="N444" s="162" t="s">
        <v>35</v>
      </c>
      <c r="O444" s="58"/>
      <c r="P444" s="163">
        <f>O444*H444</f>
        <v>0</v>
      </c>
      <c r="Q444" s="163">
        <v>9.7833333333333304E-5</v>
      </c>
      <c r="R444" s="163">
        <f>Q444*H444</f>
        <v>1.7609999999999994E-2</v>
      </c>
      <c r="S444" s="163">
        <v>0</v>
      </c>
      <c r="T444" s="164">
        <f>S444*H444</f>
        <v>0</v>
      </c>
      <c r="U444" s="29"/>
      <c r="V444" s="29"/>
      <c r="W444" s="29"/>
      <c r="X444" s="29"/>
      <c r="Y444" s="29"/>
      <c r="Z444" s="29"/>
      <c r="AA444" s="29"/>
      <c r="AB444" s="29"/>
      <c r="AC444" s="29"/>
      <c r="AD444" s="29"/>
      <c r="AE444" s="29"/>
      <c r="AR444" s="165" t="s">
        <v>213</v>
      </c>
      <c r="AT444" s="165" t="s">
        <v>181</v>
      </c>
      <c r="AU444" s="165" t="s">
        <v>82</v>
      </c>
      <c r="AY444" s="14" t="s">
        <v>179</v>
      </c>
      <c r="BE444" s="166">
        <f>IF(N444="základná",J444,0)</f>
        <v>0</v>
      </c>
      <c r="BF444" s="166">
        <f>IF(N444="znížená",J444,0)</f>
        <v>0</v>
      </c>
      <c r="BG444" s="166">
        <f>IF(N444="zákl. prenesená",J444,0)</f>
        <v>0</v>
      </c>
      <c r="BH444" s="166">
        <f>IF(N444="zníž. prenesená",J444,0)</f>
        <v>0</v>
      </c>
      <c r="BI444" s="166">
        <f>IF(N444="nulová",J444,0)</f>
        <v>0</v>
      </c>
      <c r="BJ444" s="14" t="s">
        <v>82</v>
      </c>
      <c r="BK444" s="166">
        <f>ROUND(I444*H444,2)</f>
        <v>0</v>
      </c>
      <c r="BL444" s="14" t="s">
        <v>213</v>
      </c>
      <c r="BM444" s="165" t="s">
        <v>2791</v>
      </c>
    </row>
    <row r="445" spans="1:65" s="2" customFormat="1" ht="33" customHeight="1">
      <c r="A445" s="29"/>
      <c r="B445" s="152"/>
      <c r="C445" s="153" t="s">
        <v>798</v>
      </c>
      <c r="D445" s="153" t="s">
        <v>181</v>
      </c>
      <c r="E445" s="154" t="s">
        <v>2792</v>
      </c>
      <c r="F445" s="155" t="s">
        <v>2793</v>
      </c>
      <c r="G445" s="156" t="s">
        <v>293</v>
      </c>
      <c r="H445" s="157">
        <v>191</v>
      </c>
      <c r="I445" s="158"/>
      <c r="J445" s="151">
        <v>0</v>
      </c>
      <c r="K445" s="160"/>
      <c r="L445" s="30"/>
      <c r="M445" s="161" t="s">
        <v>1</v>
      </c>
      <c r="N445" s="162" t="s">
        <v>35</v>
      </c>
      <c r="O445" s="58"/>
      <c r="P445" s="163">
        <f>O445*H445</f>
        <v>0</v>
      </c>
      <c r="Q445" s="163">
        <v>1.2303664921466001E-4</v>
      </c>
      <c r="R445" s="163">
        <f>Q445*H445</f>
        <v>2.3500000000000063E-2</v>
      </c>
      <c r="S445" s="163">
        <v>0</v>
      </c>
      <c r="T445" s="164">
        <f>S445*H445</f>
        <v>0</v>
      </c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R445" s="165" t="s">
        <v>213</v>
      </c>
      <c r="AT445" s="165" t="s">
        <v>181</v>
      </c>
      <c r="AU445" s="165" t="s">
        <v>82</v>
      </c>
      <c r="AY445" s="14" t="s">
        <v>179</v>
      </c>
      <c r="BE445" s="166">
        <f>IF(N445="základná",J445,0)</f>
        <v>0</v>
      </c>
      <c r="BF445" s="166">
        <f>IF(N445="znížená",J445,0)</f>
        <v>0</v>
      </c>
      <c r="BG445" s="166">
        <f>IF(N445="zákl. prenesená",J445,0)</f>
        <v>0</v>
      </c>
      <c r="BH445" s="166">
        <f>IF(N445="zníž. prenesená",J445,0)</f>
        <v>0</v>
      </c>
      <c r="BI445" s="166">
        <f>IF(N445="nulová",J445,0)</f>
        <v>0</v>
      </c>
      <c r="BJ445" s="14" t="s">
        <v>82</v>
      </c>
      <c r="BK445" s="166">
        <f>ROUND(I445*H445,2)</f>
        <v>0</v>
      </c>
      <c r="BL445" s="14" t="s">
        <v>213</v>
      </c>
      <c r="BM445" s="165" t="s">
        <v>2794</v>
      </c>
    </row>
    <row r="446" spans="1:65" s="2" customFormat="1" ht="24.2" customHeight="1">
      <c r="A446" s="29"/>
      <c r="B446" s="152"/>
      <c r="C446" s="153" t="s">
        <v>2795</v>
      </c>
      <c r="D446" s="153" t="s">
        <v>181</v>
      </c>
      <c r="E446" s="154" t="s">
        <v>2796</v>
      </c>
      <c r="F446" s="155" t="s">
        <v>2797</v>
      </c>
      <c r="G446" s="156" t="s">
        <v>293</v>
      </c>
      <c r="H446" s="157">
        <v>241</v>
      </c>
      <c r="I446" s="158"/>
      <c r="J446" s="151">
        <v>0</v>
      </c>
      <c r="K446" s="160"/>
      <c r="L446" s="30"/>
      <c r="M446" s="161" t="s">
        <v>1</v>
      </c>
      <c r="N446" s="162" t="s">
        <v>35</v>
      </c>
      <c r="O446" s="58"/>
      <c r="P446" s="163">
        <f>O446*H446</f>
        <v>0</v>
      </c>
      <c r="Q446" s="163">
        <v>1.96224066390041E-4</v>
      </c>
      <c r="R446" s="163">
        <f>Q446*H446</f>
        <v>4.7289999999999881E-2</v>
      </c>
      <c r="S446" s="163">
        <v>0</v>
      </c>
      <c r="T446" s="164">
        <f>S446*H446</f>
        <v>0</v>
      </c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  <c r="AR446" s="165" t="s">
        <v>213</v>
      </c>
      <c r="AT446" s="165" t="s">
        <v>181</v>
      </c>
      <c r="AU446" s="165" t="s">
        <v>82</v>
      </c>
      <c r="AY446" s="14" t="s">
        <v>179</v>
      </c>
      <c r="BE446" s="166">
        <f>IF(N446="základná",J446,0)</f>
        <v>0</v>
      </c>
      <c r="BF446" s="166">
        <f>IF(N446="znížená",J446,0)</f>
        <v>0</v>
      </c>
      <c r="BG446" s="166">
        <f>IF(N446="zákl. prenesená",J446,0)</f>
        <v>0</v>
      </c>
      <c r="BH446" s="166">
        <f>IF(N446="zníž. prenesená",J446,0)</f>
        <v>0</v>
      </c>
      <c r="BI446" s="166">
        <f>IF(N446="nulová",J446,0)</f>
        <v>0</v>
      </c>
      <c r="BJ446" s="14" t="s">
        <v>82</v>
      </c>
      <c r="BK446" s="166">
        <f>ROUND(I446*H446,2)</f>
        <v>0</v>
      </c>
      <c r="BL446" s="14" t="s">
        <v>213</v>
      </c>
      <c r="BM446" s="165" t="s">
        <v>2798</v>
      </c>
    </row>
    <row r="447" spans="1:65" s="12" customFormat="1" ht="25.9" customHeight="1">
      <c r="B447" s="139"/>
      <c r="D447" s="140" t="s">
        <v>68</v>
      </c>
      <c r="E447" s="141" t="s">
        <v>1346</v>
      </c>
      <c r="F447" s="141" t="s">
        <v>1347</v>
      </c>
      <c r="I447" s="142"/>
      <c r="J447" s="151">
        <v>0</v>
      </c>
      <c r="L447" s="139"/>
      <c r="M447" s="144"/>
      <c r="N447" s="145"/>
      <c r="O447" s="145"/>
      <c r="P447" s="146">
        <f>P448</f>
        <v>0</v>
      </c>
      <c r="Q447" s="145"/>
      <c r="R447" s="146">
        <f>R448</f>
        <v>0</v>
      </c>
      <c r="S447" s="145"/>
      <c r="T447" s="147">
        <f>T448</f>
        <v>0</v>
      </c>
      <c r="AR447" s="140" t="s">
        <v>185</v>
      </c>
      <c r="AT447" s="148" t="s">
        <v>68</v>
      </c>
      <c r="AU447" s="148" t="s">
        <v>69</v>
      </c>
      <c r="AY447" s="140" t="s">
        <v>179</v>
      </c>
      <c r="BK447" s="149">
        <f>BK448</f>
        <v>0</v>
      </c>
    </row>
    <row r="448" spans="1:65" s="2" customFormat="1" ht="24.2" customHeight="1">
      <c r="A448" s="29"/>
      <c r="B448" s="152"/>
      <c r="C448" s="153" t="s">
        <v>802</v>
      </c>
      <c r="D448" s="153" t="s">
        <v>181</v>
      </c>
      <c r="E448" s="154" t="s">
        <v>1348</v>
      </c>
      <c r="F448" s="155" t="s">
        <v>2799</v>
      </c>
      <c r="G448" s="156" t="s">
        <v>1350</v>
      </c>
      <c r="H448" s="157">
        <v>50</v>
      </c>
      <c r="I448" s="158"/>
      <c r="J448" s="151">
        <v>0</v>
      </c>
      <c r="K448" s="160"/>
      <c r="L448" s="30"/>
      <c r="M448" s="179" t="s">
        <v>1</v>
      </c>
      <c r="N448" s="180" t="s">
        <v>35</v>
      </c>
      <c r="O448" s="181"/>
      <c r="P448" s="182">
        <f>O448*H448</f>
        <v>0</v>
      </c>
      <c r="Q448" s="182">
        <v>0</v>
      </c>
      <c r="R448" s="182">
        <f>Q448*H448</f>
        <v>0</v>
      </c>
      <c r="S448" s="182">
        <v>0</v>
      </c>
      <c r="T448" s="183">
        <f>S448*H448</f>
        <v>0</v>
      </c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R448" s="165" t="s">
        <v>1351</v>
      </c>
      <c r="AT448" s="165" t="s">
        <v>181</v>
      </c>
      <c r="AU448" s="165" t="s">
        <v>76</v>
      </c>
      <c r="AY448" s="14" t="s">
        <v>179</v>
      </c>
      <c r="BE448" s="166">
        <f>IF(N448="základná",J448,0)</f>
        <v>0</v>
      </c>
      <c r="BF448" s="166">
        <f>IF(N448="znížená",J448,0)</f>
        <v>0</v>
      </c>
      <c r="BG448" s="166">
        <f>IF(N448="zákl. prenesená",J448,0)</f>
        <v>0</v>
      </c>
      <c r="BH448" s="166">
        <f>IF(N448="zníž. prenesená",J448,0)</f>
        <v>0</v>
      </c>
      <c r="BI448" s="166">
        <f>IF(N448="nulová",J448,0)</f>
        <v>0</v>
      </c>
      <c r="BJ448" s="14" t="s">
        <v>82</v>
      </c>
      <c r="BK448" s="166">
        <f>ROUND(I448*H448,2)</f>
        <v>0</v>
      </c>
      <c r="BL448" s="14" t="s">
        <v>1351</v>
      </c>
      <c r="BM448" s="165" t="s">
        <v>2800</v>
      </c>
    </row>
    <row r="449" spans="1:31" s="2" customFormat="1" ht="6.95" customHeight="1">
      <c r="A449" s="29"/>
      <c r="B449" s="47"/>
      <c r="C449" s="48"/>
      <c r="D449" s="48"/>
      <c r="E449" s="48"/>
      <c r="F449" s="48"/>
      <c r="G449" s="48"/>
      <c r="H449" s="48"/>
      <c r="I449" s="48"/>
      <c r="J449" s="151"/>
      <c r="K449" s="48"/>
      <c r="L449" s="30"/>
      <c r="M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</row>
  </sheetData>
  <autoFilter ref="C133:K448"/>
  <mergeCells count="12">
    <mergeCell ref="E126:H126"/>
    <mergeCell ref="L2:V2"/>
    <mergeCell ref="E85:H85"/>
    <mergeCell ref="E87:H87"/>
    <mergeCell ref="E89:H89"/>
    <mergeCell ref="E122:H122"/>
    <mergeCell ref="E124:H12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BM147"/>
  <sheetViews>
    <sheetView showGridLines="0" workbookViewId="0">
      <selection activeCell="V42" sqref="V42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0" t="s">
        <v>5</v>
      </c>
      <c r="M2" s="351"/>
      <c r="N2" s="351"/>
      <c r="O2" s="351"/>
      <c r="P2" s="351"/>
      <c r="Q2" s="351"/>
      <c r="R2" s="351"/>
      <c r="S2" s="351"/>
      <c r="T2" s="351"/>
      <c r="U2" s="351"/>
      <c r="V2" s="351"/>
      <c r="AT2" s="14" t="s">
        <v>113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5" customHeight="1">
      <c r="B4" s="17"/>
      <c r="D4" s="18" t="s">
        <v>129</v>
      </c>
      <c r="L4" s="17"/>
      <c r="M4" s="98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387" t="str">
        <f>'Rekapitulácia stavby'!K6</f>
        <v>Topoľčianky, Centrálny logistický sklad - rekonštrukcia tepelného hospodárstva</v>
      </c>
      <c r="F7" s="388"/>
      <c r="G7" s="388"/>
      <c r="H7" s="388"/>
      <c r="L7" s="17"/>
    </row>
    <row r="8" spans="1:46" s="1" customFormat="1" ht="12" customHeight="1">
      <c r="B8" s="17"/>
      <c r="D8" s="24" t="s">
        <v>130</v>
      </c>
      <c r="L8" s="17"/>
    </row>
    <row r="9" spans="1:46" s="2" customFormat="1" ht="16.5" customHeight="1">
      <c r="A9" s="29"/>
      <c r="B9" s="30"/>
      <c r="C9" s="29"/>
      <c r="D9" s="29"/>
      <c r="E9" s="387" t="s">
        <v>2801</v>
      </c>
      <c r="F9" s="386"/>
      <c r="G9" s="386"/>
      <c r="H9" s="386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>
      <c r="A10" s="29"/>
      <c r="B10" s="30"/>
      <c r="C10" s="29"/>
      <c r="D10" s="24" t="s">
        <v>132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>
      <c r="A11" s="29"/>
      <c r="B11" s="30"/>
      <c r="C11" s="29"/>
      <c r="D11" s="29"/>
      <c r="E11" s="382" t="s">
        <v>2802</v>
      </c>
      <c r="F11" s="386"/>
      <c r="G11" s="386"/>
      <c r="H11" s="386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>
      <c r="A13" s="29"/>
      <c r="B13" s="30"/>
      <c r="C13" s="29"/>
      <c r="D13" s="24" t="s">
        <v>15</v>
      </c>
      <c r="E13" s="29"/>
      <c r="F13" s="22" t="s">
        <v>1</v>
      </c>
      <c r="G13" s="29"/>
      <c r="H13" s="29"/>
      <c r="I13" s="24" t="s">
        <v>16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17</v>
      </c>
      <c r="E14" s="29"/>
      <c r="F14" s="22" t="s">
        <v>18</v>
      </c>
      <c r="G14" s="29"/>
      <c r="H14" s="29"/>
      <c r="I14" s="24" t="s">
        <v>19</v>
      </c>
      <c r="J14" s="55">
        <f>'Rekapitulácia stavby'!AN8</f>
        <v>45945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>
      <c r="A16" s="29"/>
      <c r="B16" s="30"/>
      <c r="C16" s="29"/>
      <c r="D16" s="24" t="s">
        <v>20</v>
      </c>
      <c r="E16" s="29"/>
      <c r="F16" s="29"/>
      <c r="G16" s="29"/>
      <c r="H16" s="29"/>
      <c r="I16" s="24" t="s">
        <v>21</v>
      </c>
      <c r="J16" s="22" t="str">
        <f>IF('Rekapitulácia stavby'!AN10="","",'Rekapitulácia stavby'!AN10)</f>
        <v/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>
      <c r="A17" s="29"/>
      <c r="B17" s="30"/>
      <c r="C17" s="29"/>
      <c r="D17" s="29"/>
      <c r="E17" s="22" t="str">
        <f>IF('Rekapitulácia stavby'!E11="","",'Rekapitulácia stavby'!E11)</f>
        <v xml:space="preserve"> </v>
      </c>
      <c r="F17" s="29"/>
      <c r="G17" s="29"/>
      <c r="H17" s="29"/>
      <c r="I17" s="24" t="s">
        <v>22</v>
      </c>
      <c r="J17" s="22" t="str">
        <f>IF('Rekapitulácia stavby'!AN11="","",'Rekapitulácia stavby'!AN11)</f>
        <v/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customHeight="1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>
      <c r="A19" s="29"/>
      <c r="B19" s="30"/>
      <c r="C19" s="29"/>
      <c r="D19" s="24" t="s">
        <v>23</v>
      </c>
      <c r="E19" s="29"/>
      <c r="F19" s="29"/>
      <c r="G19" s="29"/>
      <c r="H19" s="29"/>
      <c r="I19" s="24" t="s">
        <v>21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>
      <c r="A20" s="29"/>
      <c r="B20" s="30"/>
      <c r="C20" s="29"/>
      <c r="D20" s="29"/>
      <c r="E20" s="389" t="str">
        <f>'Rekapitulácia stavby'!E14</f>
        <v>Vyplň údaj</v>
      </c>
      <c r="F20" s="390"/>
      <c r="G20" s="390"/>
      <c r="H20" s="390"/>
      <c r="I20" s="24" t="s">
        <v>22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customHeight="1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>
      <c r="A22" s="29"/>
      <c r="B22" s="30"/>
      <c r="C22" s="29"/>
      <c r="D22" s="24" t="s">
        <v>25</v>
      </c>
      <c r="E22" s="29"/>
      <c r="F22" s="29"/>
      <c r="G22" s="29"/>
      <c r="H22" s="29"/>
      <c r="I22" s="24" t="s">
        <v>21</v>
      </c>
      <c r="J22" s="22" t="str">
        <f>IF('Rekapitulácia stavby'!AN16="","",'Rekapitulácia stavby'!AN16)</f>
        <v/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>
      <c r="A23" s="29"/>
      <c r="B23" s="30"/>
      <c r="C23" s="29"/>
      <c r="D23" s="29"/>
      <c r="E23" s="22" t="str">
        <f>IF('Rekapitulácia stavby'!E17="","",'Rekapitulácia stavby'!E17)</f>
        <v xml:space="preserve"> </v>
      </c>
      <c r="F23" s="29"/>
      <c r="G23" s="29"/>
      <c r="H23" s="29"/>
      <c r="I23" s="24" t="s">
        <v>22</v>
      </c>
      <c r="J23" s="22" t="str">
        <f>IF('Rekapitulácia stavby'!AN17="","",'Rekapitulácia stavby'!AN17)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customHeight="1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>
      <c r="A25" s="29"/>
      <c r="B25" s="30"/>
      <c r="C25" s="29"/>
      <c r="D25" s="24" t="s">
        <v>26</v>
      </c>
      <c r="E25" s="29"/>
      <c r="F25" s="29"/>
      <c r="G25" s="29"/>
      <c r="H25" s="29"/>
      <c r="I25" s="24" t="s">
        <v>21</v>
      </c>
      <c r="J25" s="22" t="str">
        <f>IF('Rekapitulácia stavby'!AN19="","",'Rekapitulácia stavby'!AN19)</f>
        <v/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24" t="s">
        <v>22</v>
      </c>
      <c r="J26" s="22" t="str">
        <f>IF('Rekapitulácia stavby'!AN20="","",'Rekapitulácia stavby'!AN20)</f>
        <v/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>
      <c r="A28" s="29"/>
      <c r="B28" s="30"/>
      <c r="C28" s="29"/>
      <c r="D28" s="24" t="s">
        <v>28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>
      <c r="A29" s="99"/>
      <c r="B29" s="100"/>
      <c r="C29" s="99"/>
      <c r="D29" s="99"/>
      <c r="E29" s="378" t="s">
        <v>1</v>
      </c>
      <c r="F29" s="378"/>
      <c r="G29" s="378"/>
      <c r="H29" s="378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102" t="s">
        <v>29</v>
      </c>
      <c r="E32" s="29"/>
      <c r="F32" s="29"/>
      <c r="G32" s="29"/>
      <c r="H32" s="29"/>
      <c r="I32" s="29"/>
      <c r="J32" s="71"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31</v>
      </c>
      <c r="G34" s="29"/>
      <c r="H34" s="29"/>
      <c r="I34" s="33" t="s">
        <v>30</v>
      </c>
      <c r="J34" s="33" t="s">
        <v>32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3" t="s">
        <v>33</v>
      </c>
      <c r="E35" s="35" t="s">
        <v>34</v>
      </c>
      <c r="F35" s="104">
        <f>ROUND((SUM(BE123:BE146)),  2)</f>
        <v>0</v>
      </c>
      <c r="G35" s="105"/>
      <c r="H35" s="105"/>
      <c r="I35" s="106">
        <v>0.23</v>
      </c>
      <c r="J35" s="104">
        <f>ROUND(((SUM(BE123:BE146))*I35),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35</v>
      </c>
      <c r="F36" s="104">
        <f>ROUND((SUM(BF123:BF146)),  2)</f>
        <v>0</v>
      </c>
      <c r="G36" s="105"/>
      <c r="H36" s="105"/>
      <c r="I36" s="106">
        <v>0.23</v>
      </c>
      <c r="J36" s="104">
        <f>ROUND(((SUM(BF123:BF146))*I36),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36</v>
      </c>
      <c r="F37" s="107">
        <f>ROUND((SUM(BG123:BG146)),  2)</f>
        <v>0</v>
      </c>
      <c r="G37" s="29"/>
      <c r="H37" s="29"/>
      <c r="I37" s="108">
        <v>0.23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37</v>
      </c>
      <c r="F38" s="107">
        <f>ROUND((SUM(BH123:BH146)),  2)</f>
        <v>0</v>
      </c>
      <c r="G38" s="29"/>
      <c r="H38" s="29"/>
      <c r="I38" s="108">
        <v>0.23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38</v>
      </c>
      <c r="F39" s="104">
        <f>ROUND((SUM(BI123:BI146)), 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9"/>
      <c r="D41" s="110" t="s">
        <v>39</v>
      </c>
      <c r="E41" s="60"/>
      <c r="F41" s="60"/>
      <c r="G41" s="111" t="s">
        <v>40</v>
      </c>
      <c r="H41" s="112" t="s">
        <v>41</v>
      </c>
      <c r="I41" s="60"/>
      <c r="J41" s="113"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42</v>
      </c>
      <c r="E50" s="44"/>
      <c r="F50" s="44"/>
      <c r="G50" s="43" t="s">
        <v>43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44</v>
      </c>
      <c r="E61" s="32"/>
      <c r="F61" s="115" t="s">
        <v>45</v>
      </c>
      <c r="G61" s="45" t="s">
        <v>44</v>
      </c>
      <c r="H61" s="32"/>
      <c r="I61" s="32"/>
      <c r="J61" s="116" t="s">
        <v>45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46</v>
      </c>
      <c r="E65" s="46"/>
      <c r="F65" s="46"/>
      <c r="G65" s="43" t="s">
        <v>47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44</v>
      </c>
      <c r="E76" s="32"/>
      <c r="F76" s="115" t="s">
        <v>45</v>
      </c>
      <c r="G76" s="45" t="s">
        <v>44</v>
      </c>
      <c r="H76" s="32"/>
      <c r="I76" s="32"/>
      <c r="J76" s="116" t="s">
        <v>45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hidden="1" customHeight="1">
      <c r="A82" s="29"/>
      <c r="B82" s="30"/>
      <c r="C82" s="18" t="s">
        <v>134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hidden="1" customHeight="1">
      <c r="A85" s="29"/>
      <c r="B85" s="30"/>
      <c r="C85" s="29"/>
      <c r="D85" s="29"/>
      <c r="E85" s="387" t="str">
        <f>E7</f>
        <v>Topoľčianky, Centrálny logistický sklad - rekonštrukcia tepelného hospodárstva</v>
      </c>
      <c r="F85" s="388"/>
      <c r="G85" s="388"/>
      <c r="H85" s="388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hidden="1" customHeight="1">
      <c r="B86" s="17"/>
      <c r="C86" s="24" t="s">
        <v>130</v>
      </c>
      <c r="L86" s="17"/>
    </row>
    <row r="87" spans="1:31" s="2" customFormat="1" ht="16.5" hidden="1" customHeight="1">
      <c r="A87" s="29"/>
      <c r="B87" s="30"/>
      <c r="C87" s="29"/>
      <c r="D87" s="29"/>
      <c r="E87" s="387" t="s">
        <v>2801</v>
      </c>
      <c r="F87" s="386"/>
      <c r="G87" s="386"/>
      <c r="H87" s="386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hidden="1" customHeight="1">
      <c r="A88" s="29"/>
      <c r="B88" s="30"/>
      <c r="C88" s="24" t="s">
        <v>132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hidden="1" customHeight="1">
      <c r="A89" s="29"/>
      <c r="B89" s="30"/>
      <c r="C89" s="29"/>
      <c r="D89" s="29"/>
      <c r="E89" s="382" t="str">
        <f>E11</f>
        <v>E2.1 - SO 02.1  Búracie práce</v>
      </c>
      <c r="F89" s="386"/>
      <c r="G89" s="386"/>
      <c r="H89" s="386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hidden="1" customHeight="1">
      <c r="A91" s="29"/>
      <c r="B91" s="30"/>
      <c r="C91" s="24" t="s">
        <v>17</v>
      </c>
      <c r="D91" s="29"/>
      <c r="E91" s="29"/>
      <c r="F91" s="22" t="str">
        <f>F14</f>
        <v xml:space="preserve"> </v>
      </c>
      <c r="G91" s="29"/>
      <c r="H91" s="29"/>
      <c r="I91" s="24" t="s">
        <v>19</v>
      </c>
      <c r="J91" s="55">
        <f>IF(J14="","",J14)</f>
        <v>45945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hidden="1" customHeight="1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hidden="1" customHeight="1">
      <c r="A93" s="29"/>
      <c r="B93" s="30"/>
      <c r="C93" s="24" t="s">
        <v>20</v>
      </c>
      <c r="D93" s="29"/>
      <c r="E93" s="29"/>
      <c r="F93" s="22" t="str">
        <f>E17</f>
        <v xml:space="preserve"> </v>
      </c>
      <c r="G93" s="29"/>
      <c r="H93" s="29"/>
      <c r="I93" s="24" t="s">
        <v>25</v>
      </c>
      <c r="J93" s="27" t="str">
        <f>E23</f>
        <v xml:space="preserve">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hidden="1" customHeight="1">
      <c r="A94" s="29"/>
      <c r="B94" s="30"/>
      <c r="C94" s="24" t="s">
        <v>23</v>
      </c>
      <c r="D94" s="29"/>
      <c r="E94" s="29"/>
      <c r="F94" s="22" t="str">
        <f>IF(E20="","",E20)</f>
        <v>Vyplň údaj</v>
      </c>
      <c r="G94" s="29"/>
      <c r="H94" s="29"/>
      <c r="I94" s="24" t="s">
        <v>26</v>
      </c>
      <c r="J94" s="27" t="str">
        <f>E26</f>
        <v xml:space="preserve">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hidden="1" customHeight="1">
      <c r="A96" s="29"/>
      <c r="B96" s="30"/>
      <c r="C96" s="117" t="s">
        <v>135</v>
      </c>
      <c r="D96" s="109"/>
      <c r="E96" s="109"/>
      <c r="F96" s="109"/>
      <c r="G96" s="109"/>
      <c r="H96" s="109"/>
      <c r="I96" s="109"/>
      <c r="J96" s="118" t="s">
        <v>136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hidden="1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hidden="1" customHeight="1">
      <c r="A98" s="29"/>
      <c r="B98" s="30"/>
      <c r="C98" s="119" t="s">
        <v>137</v>
      </c>
      <c r="D98" s="29"/>
      <c r="E98" s="29"/>
      <c r="F98" s="29"/>
      <c r="G98" s="29"/>
      <c r="H98" s="29"/>
      <c r="I98" s="29"/>
      <c r="J98" s="71">
        <f>J123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138</v>
      </c>
    </row>
    <row r="99" spans="1:47" s="9" customFormat="1" ht="24.95" hidden="1" customHeight="1">
      <c r="B99" s="120"/>
      <c r="D99" s="121" t="s">
        <v>139</v>
      </c>
      <c r="E99" s="122"/>
      <c r="F99" s="122"/>
      <c r="G99" s="122"/>
      <c r="H99" s="122"/>
      <c r="I99" s="122"/>
      <c r="J99" s="123">
        <f>J124</f>
        <v>0</v>
      </c>
      <c r="L99" s="120"/>
    </row>
    <row r="100" spans="1:47" s="10" customFormat="1" ht="19.899999999999999" hidden="1" customHeight="1">
      <c r="B100" s="124"/>
      <c r="D100" s="125" t="s">
        <v>140</v>
      </c>
      <c r="E100" s="126"/>
      <c r="F100" s="126"/>
      <c r="G100" s="126"/>
      <c r="H100" s="126"/>
      <c r="I100" s="126"/>
      <c r="J100" s="127">
        <f>J125</f>
        <v>0</v>
      </c>
      <c r="L100" s="124"/>
    </row>
    <row r="101" spans="1:47" s="10" customFormat="1" ht="19.899999999999999" hidden="1" customHeight="1">
      <c r="B101" s="124"/>
      <c r="D101" s="125" t="s">
        <v>2803</v>
      </c>
      <c r="E101" s="126"/>
      <c r="F101" s="126"/>
      <c r="G101" s="126"/>
      <c r="H101" s="126"/>
      <c r="I101" s="126"/>
      <c r="J101" s="127">
        <f>J133</f>
        <v>0</v>
      </c>
      <c r="L101" s="124"/>
    </row>
    <row r="102" spans="1:47" s="2" customFormat="1" ht="21.75" hidden="1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47" s="2" customFormat="1" ht="6.95" hidden="1" customHeight="1">
      <c r="A103" s="29"/>
      <c r="B103" s="47"/>
      <c r="C103" s="48"/>
      <c r="D103" s="48"/>
      <c r="E103" s="48"/>
      <c r="F103" s="48"/>
      <c r="G103" s="48"/>
      <c r="H103" s="48"/>
      <c r="I103" s="48"/>
      <c r="J103" s="48"/>
      <c r="K103" s="48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47" hidden="1"/>
    <row r="105" spans="1:47" hidden="1"/>
    <row r="106" spans="1:47" hidden="1"/>
    <row r="107" spans="1:47" s="2" customFormat="1" ht="6.95" customHeight="1">
      <c r="A107" s="29"/>
      <c r="B107" s="49"/>
      <c r="C107" s="50"/>
      <c r="D107" s="50"/>
      <c r="E107" s="50"/>
      <c r="F107" s="50"/>
      <c r="G107" s="50"/>
      <c r="H107" s="50"/>
      <c r="I107" s="50"/>
      <c r="J107" s="50"/>
      <c r="K107" s="50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47" s="2" customFormat="1" ht="24.95" customHeight="1">
      <c r="A108" s="29"/>
      <c r="B108" s="30"/>
      <c r="C108" s="18" t="s">
        <v>165</v>
      </c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47" s="2" customFormat="1" ht="6.95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47" s="2" customFormat="1" ht="12" customHeight="1">
      <c r="A110" s="29"/>
      <c r="B110" s="30"/>
      <c r="C110" s="24" t="s">
        <v>14</v>
      </c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2" customFormat="1" ht="16.5" customHeight="1">
      <c r="A111" s="29"/>
      <c r="B111" s="30"/>
      <c r="C111" s="29"/>
      <c r="D111" s="29"/>
      <c r="E111" s="387" t="str">
        <f>E7</f>
        <v>Topoľčianky, Centrálny logistický sklad - rekonštrukcia tepelného hospodárstva</v>
      </c>
      <c r="F111" s="388"/>
      <c r="G111" s="388"/>
      <c r="H111" s="388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47" s="1" customFormat="1" ht="12" customHeight="1">
      <c r="B112" s="17"/>
      <c r="C112" s="24" t="s">
        <v>130</v>
      </c>
      <c r="L112" s="17"/>
    </row>
    <row r="113" spans="1:65" s="2" customFormat="1" ht="16.5" customHeight="1">
      <c r="A113" s="29"/>
      <c r="B113" s="30"/>
      <c r="C113" s="29"/>
      <c r="D113" s="29"/>
      <c r="E113" s="387" t="s">
        <v>2801</v>
      </c>
      <c r="F113" s="386"/>
      <c r="G113" s="386"/>
      <c r="H113" s="386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132</v>
      </c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6.5" customHeight="1">
      <c r="A115" s="29"/>
      <c r="B115" s="30"/>
      <c r="C115" s="29"/>
      <c r="D115" s="29"/>
      <c r="E115" s="382" t="str">
        <f>E11</f>
        <v>E2.1 - SO 02.1  Búracie práce</v>
      </c>
      <c r="F115" s="386"/>
      <c r="G115" s="386"/>
      <c r="H115" s="386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2" customHeight="1">
      <c r="A117" s="29"/>
      <c r="B117" s="30"/>
      <c r="C117" s="24" t="s">
        <v>17</v>
      </c>
      <c r="D117" s="29"/>
      <c r="E117" s="29"/>
      <c r="F117" s="22" t="str">
        <f>F14</f>
        <v xml:space="preserve"> </v>
      </c>
      <c r="G117" s="29"/>
      <c r="H117" s="29"/>
      <c r="I117" s="24" t="s">
        <v>19</v>
      </c>
      <c r="J117" s="55">
        <f>IF(J14="","",J14)</f>
        <v>45945</v>
      </c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6.9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>
      <c r="A119" s="29"/>
      <c r="B119" s="30"/>
      <c r="C119" s="24" t="s">
        <v>20</v>
      </c>
      <c r="D119" s="29"/>
      <c r="E119" s="29"/>
      <c r="F119" s="336"/>
      <c r="G119" s="29"/>
      <c r="H119" s="29"/>
      <c r="I119" s="24" t="s">
        <v>25</v>
      </c>
      <c r="J119" s="335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5.2" customHeight="1">
      <c r="A120" s="29"/>
      <c r="B120" s="30"/>
      <c r="C120" s="24" t="s">
        <v>23</v>
      </c>
      <c r="D120" s="29"/>
      <c r="E120" s="29"/>
      <c r="F120" s="22" t="str">
        <f>IF(E20="","",E20)</f>
        <v>Vyplň údaj</v>
      </c>
      <c r="G120" s="29"/>
      <c r="H120" s="29"/>
      <c r="I120" s="24" t="s">
        <v>26</v>
      </c>
      <c r="J120" s="27" t="str">
        <f>E26</f>
        <v xml:space="preserve"> </v>
      </c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0.3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11" customFormat="1" ht="29.25" customHeight="1">
      <c r="A122" s="128"/>
      <c r="B122" s="129"/>
      <c r="C122" s="130" t="s">
        <v>166</v>
      </c>
      <c r="D122" s="131" t="s">
        <v>54</v>
      </c>
      <c r="E122" s="131" t="s">
        <v>50</v>
      </c>
      <c r="F122" s="131" t="s">
        <v>51</v>
      </c>
      <c r="G122" s="131" t="s">
        <v>167</v>
      </c>
      <c r="H122" s="131" t="s">
        <v>168</v>
      </c>
      <c r="I122" s="131" t="s">
        <v>169</v>
      </c>
      <c r="J122" s="132" t="s">
        <v>136</v>
      </c>
      <c r="K122" s="133" t="s">
        <v>170</v>
      </c>
      <c r="L122" s="134"/>
      <c r="M122" s="62" t="s">
        <v>1</v>
      </c>
      <c r="N122" s="63" t="s">
        <v>33</v>
      </c>
      <c r="O122" s="63" t="s">
        <v>171</v>
      </c>
      <c r="P122" s="63" t="s">
        <v>172</v>
      </c>
      <c r="Q122" s="63" t="s">
        <v>173</v>
      </c>
      <c r="R122" s="63" t="s">
        <v>174</v>
      </c>
      <c r="S122" s="63" t="s">
        <v>175</v>
      </c>
      <c r="T122" s="64" t="s">
        <v>176</v>
      </c>
      <c r="U122" s="128"/>
      <c r="V122" s="128"/>
      <c r="W122" s="128"/>
      <c r="X122" s="128"/>
      <c r="Y122" s="128"/>
      <c r="Z122" s="128"/>
      <c r="AA122" s="128"/>
      <c r="AB122" s="128"/>
      <c r="AC122" s="128"/>
      <c r="AD122" s="128"/>
      <c r="AE122" s="128"/>
    </row>
    <row r="123" spans="1:65" s="2" customFormat="1" ht="22.9" customHeight="1">
      <c r="A123" s="29"/>
      <c r="B123" s="30"/>
      <c r="C123" s="69" t="s">
        <v>137</v>
      </c>
      <c r="D123" s="29"/>
      <c r="E123" s="29"/>
      <c r="F123" s="29"/>
      <c r="G123" s="29"/>
      <c r="H123" s="29"/>
      <c r="I123" s="29"/>
      <c r="J123" s="135">
        <v>0</v>
      </c>
      <c r="K123" s="29"/>
      <c r="L123" s="30"/>
      <c r="M123" s="65"/>
      <c r="N123" s="56"/>
      <c r="O123" s="66"/>
      <c r="P123" s="136">
        <f>P124</f>
        <v>0</v>
      </c>
      <c r="Q123" s="66"/>
      <c r="R123" s="136">
        <f>R124</f>
        <v>0</v>
      </c>
      <c r="S123" s="66"/>
      <c r="T123" s="137">
        <f>T124</f>
        <v>552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T123" s="14" t="s">
        <v>68</v>
      </c>
      <c r="AU123" s="14" t="s">
        <v>138</v>
      </c>
      <c r="BK123" s="138">
        <f>BK124</f>
        <v>0</v>
      </c>
    </row>
    <row r="124" spans="1:65" s="12" customFormat="1" ht="25.9" customHeight="1">
      <c r="B124" s="139"/>
      <c r="D124" s="140" t="s">
        <v>68</v>
      </c>
      <c r="E124" s="141" t="s">
        <v>177</v>
      </c>
      <c r="F124" s="141" t="s">
        <v>178</v>
      </c>
      <c r="I124" s="142"/>
      <c r="J124" s="143">
        <v>0</v>
      </c>
      <c r="L124" s="139"/>
      <c r="M124" s="144"/>
      <c r="N124" s="145"/>
      <c r="O124" s="145"/>
      <c r="P124" s="146">
        <f>P125+P133</f>
        <v>0</v>
      </c>
      <c r="Q124" s="145"/>
      <c r="R124" s="146">
        <f>R125+R133</f>
        <v>0</v>
      </c>
      <c r="S124" s="145"/>
      <c r="T124" s="147">
        <f>T125+T133</f>
        <v>552</v>
      </c>
      <c r="AR124" s="140" t="s">
        <v>76</v>
      </c>
      <c r="AT124" s="148" t="s">
        <v>68</v>
      </c>
      <c r="AU124" s="148" t="s">
        <v>69</v>
      </c>
      <c r="AY124" s="140" t="s">
        <v>179</v>
      </c>
      <c r="BK124" s="149">
        <f>BK125+BK133</f>
        <v>0</v>
      </c>
    </row>
    <row r="125" spans="1:65" s="12" customFormat="1" ht="22.9" customHeight="1">
      <c r="B125" s="139"/>
      <c r="D125" s="140" t="s">
        <v>68</v>
      </c>
      <c r="E125" s="150" t="s">
        <v>76</v>
      </c>
      <c r="F125" s="150" t="s">
        <v>180</v>
      </c>
      <c r="I125" s="142"/>
      <c r="J125" s="151">
        <v>0</v>
      </c>
      <c r="L125" s="139"/>
      <c r="M125" s="144"/>
      <c r="N125" s="145"/>
      <c r="O125" s="145"/>
      <c r="P125" s="146">
        <f>SUM(P126:P132)</f>
        <v>0</v>
      </c>
      <c r="Q125" s="145"/>
      <c r="R125" s="146">
        <f>SUM(R126:R132)</f>
        <v>0</v>
      </c>
      <c r="S125" s="145"/>
      <c r="T125" s="147">
        <f>SUM(T126:T132)</f>
        <v>0</v>
      </c>
      <c r="AR125" s="140" t="s">
        <v>76</v>
      </c>
      <c r="AT125" s="148" t="s">
        <v>68</v>
      </c>
      <c r="AU125" s="148" t="s">
        <v>76</v>
      </c>
      <c r="AY125" s="140" t="s">
        <v>179</v>
      </c>
      <c r="BK125" s="149">
        <f>SUM(BK126:BK132)</f>
        <v>0</v>
      </c>
    </row>
    <row r="126" spans="1:65" s="2" customFormat="1" ht="33" customHeight="1">
      <c r="A126" s="29"/>
      <c r="B126" s="152"/>
      <c r="C126" s="153" t="s">
        <v>76</v>
      </c>
      <c r="D126" s="153" t="s">
        <v>181</v>
      </c>
      <c r="E126" s="154" t="s">
        <v>2804</v>
      </c>
      <c r="F126" s="155" t="s">
        <v>2805</v>
      </c>
      <c r="G126" s="156" t="s">
        <v>196</v>
      </c>
      <c r="H126" s="157">
        <v>92</v>
      </c>
      <c r="I126" s="158"/>
      <c r="J126" s="151">
        <v>0</v>
      </c>
      <c r="K126" s="160"/>
      <c r="L126" s="30"/>
      <c r="M126" s="161" t="s">
        <v>1</v>
      </c>
      <c r="N126" s="162" t="s">
        <v>35</v>
      </c>
      <c r="O126" s="58"/>
      <c r="P126" s="163">
        <f>O126*H126</f>
        <v>0</v>
      </c>
      <c r="Q126" s="163">
        <v>0</v>
      </c>
      <c r="R126" s="163">
        <f>Q126*H126</f>
        <v>0</v>
      </c>
      <c r="S126" s="163">
        <v>0</v>
      </c>
      <c r="T126" s="164">
        <f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65" t="s">
        <v>185</v>
      </c>
      <c r="AT126" s="165" t="s">
        <v>181</v>
      </c>
      <c r="AU126" s="165" t="s">
        <v>82</v>
      </c>
      <c r="AY126" s="14" t="s">
        <v>179</v>
      </c>
      <c r="BE126" s="166">
        <f>IF(N126="základná",J126,0)</f>
        <v>0</v>
      </c>
      <c r="BF126" s="166">
        <f>IF(N126="znížená",J126,0)</f>
        <v>0</v>
      </c>
      <c r="BG126" s="166">
        <f>IF(N126="zákl. prenesená",J126,0)</f>
        <v>0</v>
      </c>
      <c r="BH126" s="166">
        <f>IF(N126="zníž. prenesená",J126,0)</f>
        <v>0</v>
      </c>
      <c r="BI126" s="166">
        <f>IF(N126="nulová",J126,0)</f>
        <v>0</v>
      </c>
      <c r="BJ126" s="14" t="s">
        <v>82</v>
      </c>
      <c r="BK126" s="166">
        <f>ROUND(I126*H126,2)</f>
        <v>0</v>
      </c>
      <c r="BL126" s="14" t="s">
        <v>185</v>
      </c>
      <c r="BM126" s="165" t="s">
        <v>2806</v>
      </c>
    </row>
    <row r="127" spans="1:65" s="2" customFormat="1" ht="15" customHeight="1">
      <c r="A127" s="246"/>
      <c r="B127" s="152"/>
      <c r="C127" s="153"/>
      <c r="D127" s="153"/>
      <c r="E127" s="154"/>
      <c r="F127" s="155" t="s">
        <v>3399</v>
      </c>
      <c r="G127" s="156">
        <f>24*0.8*1.25*1</f>
        <v>24.000000000000004</v>
      </c>
      <c r="H127" s="157"/>
      <c r="I127" s="158"/>
      <c r="J127" s="151"/>
      <c r="K127" s="160"/>
      <c r="L127" s="30"/>
      <c r="M127" s="161"/>
      <c r="N127" s="162"/>
      <c r="O127" s="58"/>
      <c r="P127" s="163"/>
      <c r="Q127" s="163"/>
      <c r="R127" s="163"/>
      <c r="S127" s="163"/>
      <c r="T127" s="164"/>
      <c r="U127" s="246"/>
      <c r="V127" s="246"/>
      <c r="W127" s="246"/>
      <c r="X127" s="246"/>
      <c r="Y127" s="246"/>
      <c r="Z127" s="246"/>
      <c r="AA127" s="246"/>
      <c r="AB127" s="246"/>
      <c r="AC127" s="246"/>
      <c r="AD127" s="246"/>
      <c r="AE127" s="246"/>
      <c r="AR127" s="165"/>
      <c r="AT127" s="165"/>
      <c r="AU127" s="165"/>
      <c r="AY127" s="14"/>
      <c r="BE127" s="166"/>
      <c r="BF127" s="166"/>
      <c r="BG127" s="166"/>
      <c r="BH127" s="166"/>
      <c r="BI127" s="166"/>
      <c r="BJ127" s="14"/>
      <c r="BK127" s="166"/>
      <c r="BL127" s="14"/>
      <c r="BM127" s="165"/>
    </row>
    <row r="128" spans="1:65" s="2" customFormat="1" ht="15" customHeight="1">
      <c r="A128" s="246"/>
      <c r="B128" s="152"/>
      <c r="C128" s="153"/>
      <c r="D128" s="153"/>
      <c r="E128" s="154"/>
      <c r="F128" s="155" t="s">
        <v>3394</v>
      </c>
      <c r="G128" s="156">
        <f>30*0.8*1.25*1</f>
        <v>30</v>
      </c>
      <c r="H128" s="157"/>
      <c r="I128" s="158"/>
      <c r="J128" s="151"/>
      <c r="K128" s="160"/>
      <c r="L128" s="30"/>
      <c r="M128" s="161"/>
      <c r="N128" s="162"/>
      <c r="O128" s="58"/>
      <c r="P128" s="163"/>
      <c r="Q128" s="163"/>
      <c r="R128" s="163"/>
      <c r="S128" s="163"/>
      <c r="T128" s="164"/>
      <c r="U128" s="246"/>
      <c r="V128" s="246"/>
      <c r="W128" s="246"/>
      <c r="X128" s="246"/>
      <c r="Y128" s="246"/>
      <c r="Z128" s="246"/>
      <c r="AA128" s="246"/>
      <c r="AB128" s="246"/>
      <c r="AC128" s="246"/>
      <c r="AD128" s="246"/>
      <c r="AE128" s="246"/>
      <c r="AR128" s="165"/>
      <c r="AT128" s="165"/>
      <c r="AU128" s="165"/>
      <c r="AY128" s="14"/>
      <c r="BE128" s="166"/>
      <c r="BF128" s="166"/>
      <c r="BG128" s="166"/>
      <c r="BH128" s="166"/>
      <c r="BI128" s="166"/>
      <c r="BJ128" s="14"/>
      <c r="BK128" s="166"/>
      <c r="BL128" s="14"/>
      <c r="BM128" s="165"/>
    </row>
    <row r="129" spans="1:65" s="2" customFormat="1" ht="15" customHeight="1">
      <c r="A129" s="246"/>
      <c r="B129" s="152"/>
      <c r="C129" s="153"/>
      <c r="D129" s="153"/>
      <c r="E129" s="154"/>
      <c r="F129" s="155" t="s">
        <v>3395</v>
      </c>
      <c r="G129" s="156">
        <f>38*0.8*1.25*1</f>
        <v>38</v>
      </c>
      <c r="H129" s="157"/>
      <c r="I129" s="158"/>
      <c r="J129" s="151"/>
      <c r="K129" s="160"/>
      <c r="L129" s="30"/>
      <c r="M129" s="161"/>
      <c r="N129" s="162"/>
      <c r="O129" s="58"/>
      <c r="P129" s="163"/>
      <c r="Q129" s="163"/>
      <c r="R129" s="163"/>
      <c r="S129" s="163"/>
      <c r="T129" s="164"/>
      <c r="U129" s="246"/>
      <c r="V129" s="246"/>
      <c r="W129" s="246"/>
      <c r="X129" s="246"/>
      <c r="Y129" s="246"/>
      <c r="Z129" s="246"/>
      <c r="AA129" s="246"/>
      <c r="AB129" s="246"/>
      <c r="AC129" s="246"/>
      <c r="AD129" s="246"/>
      <c r="AE129" s="246"/>
      <c r="AR129" s="165"/>
      <c r="AT129" s="165"/>
      <c r="AU129" s="165"/>
      <c r="AY129" s="14"/>
      <c r="BE129" s="166"/>
      <c r="BF129" s="166"/>
      <c r="BG129" s="166"/>
      <c r="BH129" s="166"/>
      <c r="BI129" s="166"/>
      <c r="BJ129" s="14"/>
      <c r="BK129" s="166"/>
      <c r="BL129" s="14"/>
      <c r="BM129" s="165"/>
    </row>
    <row r="130" spans="1:65" s="2" customFormat="1" ht="15" customHeight="1">
      <c r="A130" s="246"/>
      <c r="B130" s="152"/>
      <c r="C130" s="153"/>
      <c r="D130" s="153"/>
      <c r="E130" s="154"/>
      <c r="F130" s="155" t="s">
        <v>3398</v>
      </c>
      <c r="G130" s="156">
        <f>SUM(G127:G129)</f>
        <v>92</v>
      </c>
      <c r="H130" s="157"/>
      <c r="I130" s="158"/>
      <c r="J130" s="151"/>
      <c r="K130" s="160"/>
      <c r="L130" s="30"/>
      <c r="M130" s="161"/>
      <c r="N130" s="162"/>
      <c r="O130" s="58"/>
      <c r="P130" s="163"/>
      <c r="Q130" s="163"/>
      <c r="R130" s="163"/>
      <c r="S130" s="163"/>
      <c r="T130" s="164"/>
      <c r="U130" s="246"/>
      <c r="V130" s="246"/>
      <c r="W130" s="246"/>
      <c r="X130" s="246"/>
      <c r="Y130" s="246"/>
      <c r="Z130" s="246"/>
      <c r="AA130" s="246"/>
      <c r="AB130" s="246"/>
      <c r="AC130" s="246"/>
      <c r="AD130" s="246"/>
      <c r="AE130" s="246"/>
      <c r="AR130" s="165"/>
      <c r="AT130" s="165"/>
      <c r="AU130" s="165"/>
      <c r="AY130" s="14"/>
      <c r="BE130" s="166"/>
      <c r="BF130" s="166"/>
      <c r="BG130" s="166"/>
      <c r="BH130" s="166"/>
      <c r="BI130" s="166"/>
      <c r="BJ130" s="14"/>
      <c r="BK130" s="166"/>
      <c r="BL130" s="14"/>
      <c r="BM130" s="165"/>
    </row>
    <row r="131" spans="1:65" s="2" customFormat="1" ht="16.5" customHeight="1">
      <c r="A131" s="29"/>
      <c r="B131" s="152"/>
      <c r="C131" s="153" t="s">
        <v>82</v>
      </c>
      <c r="D131" s="153" t="s">
        <v>181</v>
      </c>
      <c r="E131" s="154" t="s">
        <v>2807</v>
      </c>
      <c r="F131" s="155" t="s">
        <v>2808</v>
      </c>
      <c r="G131" s="156" t="s">
        <v>196</v>
      </c>
      <c r="H131" s="157">
        <v>92</v>
      </c>
      <c r="I131" s="158"/>
      <c r="J131" s="151">
        <v>0</v>
      </c>
      <c r="K131" s="160"/>
      <c r="L131" s="30"/>
      <c r="M131" s="161" t="s">
        <v>1</v>
      </c>
      <c r="N131" s="162" t="s">
        <v>35</v>
      </c>
      <c r="O131" s="58"/>
      <c r="P131" s="163">
        <f>O131*H131</f>
        <v>0</v>
      </c>
      <c r="Q131" s="163">
        <v>0</v>
      </c>
      <c r="R131" s="163">
        <f>Q131*H131</f>
        <v>0</v>
      </c>
      <c r="S131" s="163">
        <v>0</v>
      </c>
      <c r="T131" s="164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5" t="s">
        <v>185</v>
      </c>
      <c r="AT131" s="165" t="s">
        <v>181</v>
      </c>
      <c r="AU131" s="165" t="s">
        <v>82</v>
      </c>
      <c r="AY131" s="14" t="s">
        <v>179</v>
      </c>
      <c r="BE131" s="166">
        <f>IF(N131="základná",J131,0)</f>
        <v>0</v>
      </c>
      <c r="BF131" s="166">
        <f>IF(N131="znížená",J131,0)</f>
        <v>0</v>
      </c>
      <c r="BG131" s="166">
        <f>IF(N131="zákl. prenesená",J131,0)</f>
        <v>0</v>
      </c>
      <c r="BH131" s="166">
        <f>IF(N131="zníž. prenesená",J131,0)</f>
        <v>0</v>
      </c>
      <c r="BI131" s="166">
        <f>IF(N131="nulová",J131,0)</f>
        <v>0</v>
      </c>
      <c r="BJ131" s="14" t="s">
        <v>82</v>
      </c>
      <c r="BK131" s="166">
        <f>ROUND(I131*H131,2)</f>
        <v>0</v>
      </c>
      <c r="BL131" s="14" t="s">
        <v>185</v>
      </c>
      <c r="BM131" s="165" t="s">
        <v>2809</v>
      </c>
    </row>
    <row r="132" spans="1:65" s="2" customFormat="1" ht="21.75" customHeight="1">
      <c r="A132" s="29"/>
      <c r="B132" s="152"/>
      <c r="C132" s="153" t="s">
        <v>188</v>
      </c>
      <c r="D132" s="153" t="s">
        <v>181</v>
      </c>
      <c r="E132" s="154" t="s">
        <v>2810</v>
      </c>
      <c r="F132" s="155" t="s">
        <v>2811</v>
      </c>
      <c r="G132" s="156" t="s">
        <v>184</v>
      </c>
      <c r="H132" s="157">
        <v>500</v>
      </c>
      <c r="I132" s="158"/>
      <c r="J132" s="151">
        <v>0</v>
      </c>
      <c r="K132" s="160"/>
      <c r="L132" s="30"/>
      <c r="M132" s="161" t="s">
        <v>1</v>
      </c>
      <c r="N132" s="162" t="s">
        <v>35</v>
      </c>
      <c r="O132" s="58"/>
      <c r="P132" s="163">
        <f>O132*H132</f>
        <v>0</v>
      </c>
      <c r="Q132" s="163">
        <v>0</v>
      </c>
      <c r="R132" s="163">
        <f>Q132*H132</f>
        <v>0</v>
      </c>
      <c r="S132" s="163">
        <v>0</v>
      </c>
      <c r="T132" s="164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5" t="s">
        <v>185</v>
      </c>
      <c r="AT132" s="165" t="s">
        <v>181</v>
      </c>
      <c r="AU132" s="165" t="s">
        <v>82</v>
      </c>
      <c r="AY132" s="14" t="s">
        <v>179</v>
      </c>
      <c r="BE132" s="166">
        <f>IF(N132="základná",J132,0)</f>
        <v>0</v>
      </c>
      <c r="BF132" s="166">
        <f>IF(N132="znížená",J132,0)</f>
        <v>0</v>
      </c>
      <c r="BG132" s="166">
        <f>IF(N132="zákl. prenesená",J132,0)</f>
        <v>0</v>
      </c>
      <c r="BH132" s="166">
        <f>IF(N132="zníž. prenesená",J132,0)</f>
        <v>0</v>
      </c>
      <c r="BI132" s="166">
        <f>IF(N132="nulová",J132,0)</f>
        <v>0</v>
      </c>
      <c r="BJ132" s="14" t="s">
        <v>82</v>
      </c>
      <c r="BK132" s="166">
        <f>ROUND(I132*H132,2)</f>
        <v>0</v>
      </c>
      <c r="BL132" s="14" t="s">
        <v>185</v>
      </c>
      <c r="BM132" s="165" t="s">
        <v>2812</v>
      </c>
    </row>
    <row r="133" spans="1:65" s="12" customFormat="1" ht="22.9" customHeight="1">
      <c r="B133" s="139"/>
      <c r="D133" s="140" t="s">
        <v>68</v>
      </c>
      <c r="E133" s="150" t="s">
        <v>214</v>
      </c>
      <c r="F133" s="150" t="s">
        <v>2813</v>
      </c>
      <c r="I133" s="142"/>
      <c r="J133" s="151">
        <v>0</v>
      </c>
      <c r="L133" s="139"/>
      <c r="M133" s="144"/>
      <c r="N133" s="145"/>
      <c r="O133" s="145"/>
      <c r="P133" s="146">
        <f>SUM(P134:P146)</f>
        <v>0</v>
      </c>
      <c r="Q133" s="145"/>
      <c r="R133" s="146">
        <f>SUM(R134:R146)</f>
        <v>0</v>
      </c>
      <c r="S133" s="145"/>
      <c r="T133" s="147">
        <f>SUM(T134:T146)</f>
        <v>552</v>
      </c>
      <c r="AR133" s="140" t="s">
        <v>76</v>
      </c>
      <c r="AT133" s="148" t="s">
        <v>68</v>
      </c>
      <c r="AU133" s="148" t="s">
        <v>76</v>
      </c>
      <c r="AY133" s="140" t="s">
        <v>179</v>
      </c>
      <c r="BK133" s="149">
        <f>SUM(BK134:BK146)</f>
        <v>0</v>
      </c>
    </row>
    <row r="134" spans="1:65" s="2" customFormat="1" ht="33" customHeight="1">
      <c r="A134" s="29"/>
      <c r="B134" s="152"/>
      <c r="C134" s="153" t="s">
        <v>185</v>
      </c>
      <c r="D134" s="153" t="s">
        <v>181</v>
      </c>
      <c r="E134" s="154" t="s">
        <v>405</v>
      </c>
      <c r="F134" s="155" t="s">
        <v>2814</v>
      </c>
      <c r="G134" s="156" t="s">
        <v>196</v>
      </c>
      <c r="H134" s="157">
        <v>92</v>
      </c>
      <c r="I134" s="158"/>
      <c r="J134" s="151">
        <v>0</v>
      </c>
      <c r="K134" s="160"/>
      <c r="L134" s="30"/>
      <c r="M134" s="161" t="s">
        <v>1</v>
      </c>
      <c r="N134" s="162" t="s">
        <v>35</v>
      </c>
      <c r="O134" s="58"/>
      <c r="P134" s="163">
        <f>O134*H134</f>
        <v>0</v>
      </c>
      <c r="Q134" s="163">
        <v>0</v>
      </c>
      <c r="R134" s="163">
        <f>Q134*H134</f>
        <v>0</v>
      </c>
      <c r="S134" s="163">
        <v>2.4</v>
      </c>
      <c r="T134" s="164">
        <f>S134*H134</f>
        <v>220.79999999999998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5" t="s">
        <v>185</v>
      </c>
      <c r="AT134" s="165" t="s">
        <v>181</v>
      </c>
      <c r="AU134" s="165" t="s">
        <v>82</v>
      </c>
      <c r="AY134" s="14" t="s">
        <v>179</v>
      </c>
      <c r="BE134" s="166">
        <f>IF(N134="základná",J134,0)</f>
        <v>0</v>
      </c>
      <c r="BF134" s="166">
        <f>IF(N134="znížená",J134,0)</f>
        <v>0</v>
      </c>
      <c r="BG134" s="166">
        <f>IF(N134="zákl. prenesená",J134,0)</f>
        <v>0</v>
      </c>
      <c r="BH134" s="166">
        <f>IF(N134="zníž. prenesená",J134,0)</f>
        <v>0</v>
      </c>
      <c r="BI134" s="166">
        <f>IF(N134="nulová",J134,0)</f>
        <v>0</v>
      </c>
      <c r="BJ134" s="14" t="s">
        <v>82</v>
      </c>
      <c r="BK134" s="166">
        <f>ROUND(I134*H134,2)</f>
        <v>0</v>
      </c>
      <c r="BL134" s="14" t="s">
        <v>185</v>
      </c>
      <c r="BM134" s="165" t="s">
        <v>2815</v>
      </c>
    </row>
    <row r="135" spans="1:65" s="2" customFormat="1" ht="15" customHeight="1">
      <c r="A135" s="246"/>
      <c r="B135" s="152"/>
      <c r="C135" s="153"/>
      <c r="D135" s="153"/>
      <c r="E135" s="154"/>
      <c r="F135" s="155" t="s">
        <v>3399</v>
      </c>
      <c r="G135" s="156">
        <f>24*0.8*1.25*1</f>
        <v>24.000000000000004</v>
      </c>
      <c r="H135" s="157"/>
      <c r="I135" s="158"/>
      <c r="J135" s="151"/>
      <c r="K135" s="160"/>
      <c r="L135" s="30"/>
      <c r="M135" s="161"/>
      <c r="N135" s="162"/>
      <c r="O135" s="58"/>
      <c r="P135" s="163"/>
      <c r="Q135" s="163"/>
      <c r="R135" s="163"/>
      <c r="S135" s="163"/>
      <c r="T135" s="164"/>
      <c r="U135" s="246"/>
      <c r="V135" s="246"/>
      <c r="W135" s="246"/>
      <c r="X135" s="246"/>
      <c r="Y135" s="246"/>
      <c r="Z135" s="246"/>
      <c r="AA135" s="246"/>
      <c r="AB135" s="246"/>
      <c r="AC135" s="246"/>
      <c r="AD135" s="246"/>
      <c r="AE135" s="246"/>
      <c r="AR135" s="165"/>
      <c r="AT135" s="165"/>
      <c r="AU135" s="165"/>
      <c r="AY135" s="14"/>
      <c r="BE135" s="166"/>
      <c r="BF135" s="166"/>
      <c r="BG135" s="166"/>
      <c r="BH135" s="166"/>
      <c r="BI135" s="166"/>
      <c r="BJ135" s="14"/>
      <c r="BK135" s="166"/>
      <c r="BL135" s="14"/>
      <c r="BM135" s="165"/>
    </row>
    <row r="136" spans="1:65" s="2" customFormat="1" ht="15" customHeight="1">
      <c r="A136" s="246"/>
      <c r="B136" s="152"/>
      <c r="C136" s="153"/>
      <c r="D136" s="153"/>
      <c r="E136" s="154"/>
      <c r="F136" s="155" t="s">
        <v>3394</v>
      </c>
      <c r="G136" s="156">
        <f>30*0.8*1.25*1</f>
        <v>30</v>
      </c>
      <c r="H136" s="157"/>
      <c r="I136" s="158"/>
      <c r="J136" s="151"/>
      <c r="K136" s="160"/>
      <c r="L136" s="30"/>
      <c r="M136" s="161"/>
      <c r="N136" s="162"/>
      <c r="O136" s="58"/>
      <c r="P136" s="163"/>
      <c r="Q136" s="163"/>
      <c r="R136" s="163"/>
      <c r="S136" s="163"/>
      <c r="T136" s="164"/>
      <c r="U136" s="246"/>
      <c r="V136" s="246"/>
      <c r="W136" s="246"/>
      <c r="X136" s="246"/>
      <c r="Y136" s="246"/>
      <c r="Z136" s="246"/>
      <c r="AA136" s="246"/>
      <c r="AB136" s="246"/>
      <c r="AC136" s="246"/>
      <c r="AD136" s="246"/>
      <c r="AE136" s="246"/>
      <c r="AR136" s="165"/>
      <c r="AT136" s="165"/>
      <c r="AU136" s="165"/>
      <c r="AY136" s="14"/>
      <c r="BE136" s="166"/>
      <c r="BF136" s="166"/>
      <c r="BG136" s="166"/>
      <c r="BH136" s="166"/>
      <c r="BI136" s="166"/>
      <c r="BJ136" s="14"/>
      <c r="BK136" s="166"/>
      <c r="BL136" s="14"/>
      <c r="BM136" s="165"/>
    </row>
    <row r="137" spans="1:65" s="2" customFormat="1" ht="15" customHeight="1">
      <c r="A137" s="246"/>
      <c r="B137" s="152"/>
      <c r="C137" s="153"/>
      <c r="D137" s="153"/>
      <c r="E137" s="154"/>
      <c r="F137" s="155" t="s">
        <v>3395</v>
      </c>
      <c r="G137" s="156">
        <f>38*0.8*1.25*1</f>
        <v>38</v>
      </c>
      <c r="H137" s="157"/>
      <c r="I137" s="158"/>
      <c r="J137" s="151"/>
      <c r="K137" s="160"/>
      <c r="L137" s="30"/>
      <c r="M137" s="161"/>
      <c r="N137" s="162"/>
      <c r="O137" s="58"/>
      <c r="P137" s="163"/>
      <c r="Q137" s="163"/>
      <c r="R137" s="163"/>
      <c r="S137" s="163"/>
      <c r="T137" s="164"/>
      <c r="U137" s="246"/>
      <c r="V137" s="246"/>
      <c r="W137" s="246"/>
      <c r="X137" s="246"/>
      <c r="Y137" s="246"/>
      <c r="Z137" s="246"/>
      <c r="AA137" s="246"/>
      <c r="AB137" s="246"/>
      <c r="AC137" s="246"/>
      <c r="AD137" s="246"/>
      <c r="AE137" s="246"/>
      <c r="AR137" s="165"/>
      <c r="AT137" s="165"/>
      <c r="AU137" s="165"/>
      <c r="AY137" s="14"/>
      <c r="BE137" s="166"/>
      <c r="BF137" s="166"/>
      <c r="BG137" s="166"/>
      <c r="BH137" s="166"/>
      <c r="BI137" s="166"/>
      <c r="BJ137" s="14"/>
      <c r="BK137" s="166"/>
      <c r="BL137" s="14"/>
      <c r="BM137" s="165"/>
    </row>
    <row r="138" spans="1:65" s="2" customFormat="1" ht="15" customHeight="1">
      <c r="A138" s="246"/>
      <c r="B138" s="152"/>
      <c r="C138" s="153"/>
      <c r="D138" s="153"/>
      <c r="E138" s="154"/>
      <c r="F138" s="155" t="s">
        <v>3398</v>
      </c>
      <c r="G138" s="156">
        <f>SUM(G135:G137)</f>
        <v>92</v>
      </c>
      <c r="H138" s="157"/>
      <c r="I138" s="158"/>
      <c r="J138" s="151"/>
      <c r="K138" s="160"/>
      <c r="L138" s="30"/>
      <c r="M138" s="161"/>
      <c r="N138" s="162"/>
      <c r="O138" s="58"/>
      <c r="P138" s="163"/>
      <c r="Q138" s="163"/>
      <c r="R138" s="163"/>
      <c r="S138" s="163"/>
      <c r="T138" s="164"/>
      <c r="U138" s="246"/>
      <c r="V138" s="246"/>
      <c r="W138" s="246"/>
      <c r="X138" s="246"/>
      <c r="Y138" s="246"/>
      <c r="Z138" s="246"/>
      <c r="AA138" s="246"/>
      <c r="AB138" s="246"/>
      <c r="AC138" s="246"/>
      <c r="AD138" s="246"/>
      <c r="AE138" s="246"/>
      <c r="AR138" s="165"/>
      <c r="AT138" s="165"/>
      <c r="AU138" s="165"/>
      <c r="AY138" s="14"/>
      <c r="BE138" s="166"/>
      <c r="BF138" s="166"/>
      <c r="BG138" s="166"/>
      <c r="BH138" s="166"/>
      <c r="BI138" s="166"/>
      <c r="BJ138" s="14"/>
      <c r="BK138" s="166"/>
      <c r="BL138" s="14"/>
      <c r="BM138" s="165"/>
    </row>
    <row r="139" spans="1:65" s="2" customFormat="1" ht="33" customHeight="1">
      <c r="A139" s="29"/>
      <c r="B139" s="152"/>
      <c r="C139" s="153" t="s">
        <v>198</v>
      </c>
      <c r="D139" s="153" t="s">
        <v>181</v>
      </c>
      <c r="E139" s="154" t="s">
        <v>2816</v>
      </c>
      <c r="F139" s="155" t="s">
        <v>2817</v>
      </c>
      <c r="G139" s="156" t="s">
        <v>196</v>
      </c>
      <c r="H139" s="157">
        <v>138</v>
      </c>
      <c r="I139" s="158"/>
      <c r="J139" s="151">
        <v>0</v>
      </c>
      <c r="K139" s="160"/>
      <c r="L139" s="30"/>
      <c r="M139" s="161" t="s">
        <v>1</v>
      </c>
      <c r="N139" s="162" t="s">
        <v>35</v>
      </c>
      <c r="O139" s="58"/>
      <c r="P139" s="163">
        <f>O139*H139</f>
        <v>0</v>
      </c>
      <c r="Q139" s="163">
        <v>0</v>
      </c>
      <c r="R139" s="163">
        <f>Q139*H139</f>
        <v>0</v>
      </c>
      <c r="S139" s="163">
        <v>2.4</v>
      </c>
      <c r="T139" s="164">
        <f>S139*H139</f>
        <v>331.2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185</v>
      </c>
      <c r="AT139" s="165" t="s">
        <v>181</v>
      </c>
      <c r="AU139" s="165" t="s">
        <v>82</v>
      </c>
      <c r="AY139" s="14" t="s">
        <v>179</v>
      </c>
      <c r="BE139" s="166">
        <f>IF(N139="základná",J139,0)</f>
        <v>0</v>
      </c>
      <c r="BF139" s="166">
        <f>IF(N139="znížená",J139,0)</f>
        <v>0</v>
      </c>
      <c r="BG139" s="166">
        <f>IF(N139="zákl. prenesená",J139,0)</f>
        <v>0</v>
      </c>
      <c r="BH139" s="166">
        <f>IF(N139="zníž. prenesená",J139,0)</f>
        <v>0</v>
      </c>
      <c r="BI139" s="166">
        <f>IF(N139="nulová",J139,0)</f>
        <v>0</v>
      </c>
      <c r="BJ139" s="14" t="s">
        <v>82</v>
      </c>
      <c r="BK139" s="166">
        <f>ROUND(I139*H139,2)</f>
        <v>0</v>
      </c>
      <c r="BL139" s="14" t="s">
        <v>185</v>
      </c>
      <c r="BM139" s="165" t="s">
        <v>2818</v>
      </c>
    </row>
    <row r="140" spans="1:65" s="2" customFormat="1" ht="15" customHeight="1">
      <c r="A140" s="246"/>
      <c r="B140" s="152"/>
      <c r="C140" s="153"/>
      <c r="D140" s="153"/>
      <c r="E140" s="154"/>
      <c r="F140" s="155" t="s">
        <v>3393</v>
      </c>
      <c r="G140" s="156">
        <f>24*0.8*1.25*1.5</f>
        <v>36.000000000000007</v>
      </c>
      <c r="H140" s="157"/>
      <c r="I140" s="158"/>
      <c r="J140" s="151"/>
      <c r="K140" s="160"/>
      <c r="L140" s="30"/>
      <c r="M140" s="161"/>
      <c r="N140" s="162"/>
      <c r="O140" s="58"/>
      <c r="P140" s="163"/>
      <c r="Q140" s="163"/>
      <c r="R140" s="163"/>
      <c r="S140" s="163"/>
      <c r="T140" s="164"/>
      <c r="U140" s="246"/>
      <c r="V140" s="246"/>
      <c r="W140" s="246"/>
      <c r="X140" s="246"/>
      <c r="Y140" s="246"/>
      <c r="Z140" s="246"/>
      <c r="AA140" s="246"/>
      <c r="AB140" s="246"/>
      <c r="AC140" s="246"/>
      <c r="AD140" s="246"/>
      <c r="AE140" s="246"/>
      <c r="AR140" s="165"/>
      <c r="AT140" s="165"/>
      <c r="AU140" s="165"/>
      <c r="AY140" s="14"/>
      <c r="BE140" s="166"/>
      <c r="BF140" s="166"/>
      <c r="BG140" s="166"/>
      <c r="BH140" s="166"/>
      <c r="BI140" s="166"/>
      <c r="BJ140" s="14"/>
      <c r="BK140" s="166"/>
      <c r="BL140" s="14"/>
      <c r="BM140" s="165"/>
    </row>
    <row r="141" spans="1:65" s="2" customFormat="1" ht="15" customHeight="1">
      <c r="A141" s="246"/>
      <c r="B141" s="152"/>
      <c r="C141" s="153"/>
      <c r="D141" s="153"/>
      <c r="E141" s="154"/>
      <c r="F141" s="155" t="s">
        <v>3396</v>
      </c>
      <c r="G141" s="156">
        <f>30*0.8*1.25*1.5</f>
        <v>45</v>
      </c>
      <c r="H141" s="157"/>
      <c r="I141" s="158"/>
      <c r="J141" s="151"/>
      <c r="K141" s="160"/>
      <c r="L141" s="30"/>
      <c r="M141" s="161"/>
      <c r="N141" s="162"/>
      <c r="O141" s="58"/>
      <c r="P141" s="163"/>
      <c r="Q141" s="163"/>
      <c r="R141" s="163"/>
      <c r="S141" s="163"/>
      <c r="T141" s="164"/>
      <c r="U141" s="246"/>
      <c r="V141" s="246"/>
      <c r="W141" s="246"/>
      <c r="X141" s="246"/>
      <c r="Y141" s="246"/>
      <c r="Z141" s="246"/>
      <c r="AA141" s="246"/>
      <c r="AB141" s="246"/>
      <c r="AC141" s="246"/>
      <c r="AD141" s="246"/>
      <c r="AE141" s="246"/>
      <c r="AR141" s="165"/>
      <c r="AT141" s="165"/>
      <c r="AU141" s="165"/>
      <c r="AY141" s="14"/>
      <c r="BE141" s="166"/>
      <c r="BF141" s="166"/>
      <c r="BG141" s="166"/>
      <c r="BH141" s="166"/>
      <c r="BI141" s="166"/>
      <c r="BJ141" s="14"/>
      <c r="BK141" s="166"/>
      <c r="BL141" s="14"/>
      <c r="BM141" s="165"/>
    </row>
    <row r="142" spans="1:65" s="2" customFormat="1" ht="15" customHeight="1">
      <c r="A142" s="246"/>
      <c r="B142" s="152"/>
      <c r="C142" s="153"/>
      <c r="D142" s="153"/>
      <c r="E142" s="154"/>
      <c r="F142" s="155" t="s">
        <v>3397</v>
      </c>
      <c r="G142" s="156">
        <f>38*0.8*1.25*1.5</f>
        <v>57</v>
      </c>
      <c r="H142" s="157"/>
      <c r="I142" s="158"/>
      <c r="J142" s="151"/>
      <c r="K142" s="160"/>
      <c r="L142" s="30"/>
      <c r="M142" s="161"/>
      <c r="N142" s="162"/>
      <c r="O142" s="58"/>
      <c r="P142" s="163"/>
      <c r="Q142" s="163"/>
      <c r="R142" s="163"/>
      <c r="S142" s="163"/>
      <c r="T142" s="164"/>
      <c r="U142" s="246"/>
      <c r="V142" s="246"/>
      <c r="W142" s="246"/>
      <c r="X142" s="246"/>
      <c r="Y142" s="246"/>
      <c r="Z142" s="246"/>
      <c r="AA142" s="246"/>
      <c r="AB142" s="246"/>
      <c r="AC142" s="246"/>
      <c r="AD142" s="246"/>
      <c r="AE142" s="246"/>
      <c r="AR142" s="165"/>
      <c r="AT142" s="165"/>
      <c r="AU142" s="165"/>
      <c r="AY142" s="14"/>
      <c r="BE142" s="166"/>
      <c r="BF142" s="166"/>
      <c r="BG142" s="166"/>
      <c r="BH142" s="166"/>
      <c r="BI142" s="166"/>
      <c r="BJ142" s="14"/>
      <c r="BK142" s="166"/>
      <c r="BL142" s="14"/>
      <c r="BM142" s="165"/>
    </row>
    <row r="143" spans="1:65" s="2" customFormat="1" ht="15" customHeight="1">
      <c r="A143" s="246"/>
      <c r="B143" s="152"/>
      <c r="C143" s="153"/>
      <c r="D143" s="153"/>
      <c r="E143" s="154"/>
      <c r="F143" s="155" t="s">
        <v>3398</v>
      </c>
      <c r="G143" s="156">
        <f>SUM(G140:G142)</f>
        <v>138</v>
      </c>
      <c r="H143" s="157"/>
      <c r="I143" s="158"/>
      <c r="J143" s="151"/>
      <c r="K143" s="160"/>
      <c r="L143" s="30"/>
      <c r="M143" s="161"/>
      <c r="N143" s="162"/>
      <c r="O143" s="58"/>
      <c r="P143" s="163"/>
      <c r="Q143" s="163"/>
      <c r="R143" s="163"/>
      <c r="S143" s="163"/>
      <c r="T143" s="164"/>
      <c r="U143" s="246"/>
      <c r="V143" s="246"/>
      <c r="W143" s="246"/>
      <c r="X143" s="246"/>
      <c r="Y143" s="246"/>
      <c r="Z143" s="246"/>
      <c r="AA143" s="246"/>
      <c r="AB143" s="246"/>
      <c r="AC143" s="246"/>
      <c r="AD143" s="246"/>
      <c r="AE143" s="246"/>
      <c r="AR143" s="165"/>
      <c r="AT143" s="165"/>
      <c r="AU143" s="165"/>
      <c r="AY143" s="14"/>
      <c r="BE143" s="166"/>
      <c r="BF143" s="166"/>
      <c r="BG143" s="166"/>
      <c r="BH143" s="166"/>
      <c r="BI143" s="166"/>
      <c r="BJ143" s="14"/>
      <c r="BK143" s="166"/>
      <c r="BL143" s="14"/>
      <c r="BM143" s="165"/>
    </row>
    <row r="144" spans="1:65" s="2" customFormat="1" ht="21.75" customHeight="1">
      <c r="A144" s="29"/>
      <c r="B144" s="152"/>
      <c r="C144" s="153" t="s">
        <v>192</v>
      </c>
      <c r="D144" s="153" t="s">
        <v>181</v>
      </c>
      <c r="E144" s="154" t="s">
        <v>2138</v>
      </c>
      <c r="F144" s="155" t="s">
        <v>1019</v>
      </c>
      <c r="G144" s="156" t="s">
        <v>191</v>
      </c>
      <c r="H144" s="157">
        <v>552</v>
      </c>
      <c r="I144" s="158"/>
      <c r="J144" s="151">
        <v>0</v>
      </c>
      <c r="K144" s="160"/>
      <c r="L144" s="30"/>
      <c r="M144" s="161" t="s">
        <v>1</v>
      </c>
      <c r="N144" s="162" t="s">
        <v>35</v>
      </c>
      <c r="O144" s="58"/>
      <c r="P144" s="163">
        <f>O144*H144</f>
        <v>0</v>
      </c>
      <c r="Q144" s="163">
        <v>0</v>
      </c>
      <c r="R144" s="163">
        <f>Q144*H144</f>
        <v>0</v>
      </c>
      <c r="S144" s="163">
        <v>0</v>
      </c>
      <c r="T144" s="164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5" t="s">
        <v>185</v>
      </c>
      <c r="AT144" s="165" t="s">
        <v>181</v>
      </c>
      <c r="AU144" s="165" t="s">
        <v>82</v>
      </c>
      <c r="AY144" s="14" t="s">
        <v>179</v>
      </c>
      <c r="BE144" s="166">
        <f>IF(N144="základná",J144,0)</f>
        <v>0</v>
      </c>
      <c r="BF144" s="166">
        <f>IF(N144="znížená",J144,0)</f>
        <v>0</v>
      </c>
      <c r="BG144" s="166">
        <f>IF(N144="zákl. prenesená",J144,0)</f>
        <v>0</v>
      </c>
      <c r="BH144" s="166">
        <f>IF(N144="zníž. prenesená",J144,0)</f>
        <v>0</v>
      </c>
      <c r="BI144" s="166">
        <f>IF(N144="nulová",J144,0)</f>
        <v>0</v>
      </c>
      <c r="BJ144" s="14" t="s">
        <v>82</v>
      </c>
      <c r="BK144" s="166">
        <f>ROUND(I144*H144,2)</f>
        <v>0</v>
      </c>
      <c r="BL144" s="14" t="s">
        <v>185</v>
      </c>
      <c r="BM144" s="165" t="s">
        <v>2819</v>
      </c>
    </row>
    <row r="145" spans="1:65" s="2" customFormat="1" ht="24.2" customHeight="1">
      <c r="A145" s="29"/>
      <c r="B145" s="152"/>
      <c r="C145" s="153" t="s">
        <v>207</v>
      </c>
      <c r="D145" s="153" t="s">
        <v>181</v>
      </c>
      <c r="E145" s="154" t="s">
        <v>2139</v>
      </c>
      <c r="F145" s="155" t="s">
        <v>2140</v>
      </c>
      <c r="G145" s="156" t="s">
        <v>191</v>
      </c>
      <c r="H145" s="157">
        <v>8280</v>
      </c>
      <c r="I145" s="158"/>
      <c r="J145" s="151">
        <v>0</v>
      </c>
      <c r="K145" s="160"/>
      <c r="L145" s="30"/>
      <c r="M145" s="161" t="s">
        <v>1</v>
      </c>
      <c r="N145" s="162" t="s">
        <v>35</v>
      </c>
      <c r="O145" s="58"/>
      <c r="P145" s="163">
        <f>O145*H145</f>
        <v>0</v>
      </c>
      <c r="Q145" s="163">
        <v>0</v>
      </c>
      <c r="R145" s="163">
        <f>Q145*H145</f>
        <v>0</v>
      </c>
      <c r="S145" s="163">
        <v>0</v>
      </c>
      <c r="T145" s="164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5" t="s">
        <v>185</v>
      </c>
      <c r="AT145" s="165" t="s">
        <v>181</v>
      </c>
      <c r="AU145" s="165" t="s">
        <v>82</v>
      </c>
      <c r="AY145" s="14" t="s">
        <v>179</v>
      </c>
      <c r="BE145" s="166">
        <f>IF(N145="základná",J145,0)</f>
        <v>0</v>
      </c>
      <c r="BF145" s="166">
        <f>IF(N145="znížená",J145,0)</f>
        <v>0</v>
      </c>
      <c r="BG145" s="166">
        <f>IF(N145="zákl. prenesená",J145,0)</f>
        <v>0</v>
      </c>
      <c r="BH145" s="166">
        <f>IF(N145="zníž. prenesená",J145,0)</f>
        <v>0</v>
      </c>
      <c r="BI145" s="166">
        <f>IF(N145="nulová",J145,0)</f>
        <v>0</v>
      </c>
      <c r="BJ145" s="14" t="s">
        <v>82</v>
      </c>
      <c r="BK145" s="166">
        <f>ROUND(I145*H145,2)</f>
        <v>0</v>
      </c>
      <c r="BL145" s="14" t="s">
        <v>185</v>
      </c>
      <c r="BM145" s="165" t="s">
        <v>2820</v>
      </c>
    </row>
    <row r="146" spans="1:65" s="2" customFormat="1" ht="24.2" customHeight="1">
      <c r="A146" s="29"/>
      <c r="B146" s="152"/>
      <c r="C146" s="153" t="s">
        <v>197</v>
      </c>
      <c r="D146" s="153" t="s">
        <v>181</v>
      </c>
      <c r="E146" s="154" t="s">
        <v>532</v>
      </c>
      <c r="F146" s="155" t="s">
        <v>2821</v>
      </c>
      <c r="G146" s="156" t="s">
        <v>191</v>
      </c>
      <c r="H146" s="157">
        <v>552</v>
      </c>
      <c r="I146" s="158"/>
      <c r="J146" s="151">
        <v>0</v>
      </c>
      <c r="K146" s="160"/>
      <c r="L146" s="30"/>
      <c r="M146" s="179" t="s">
        <v>1</v>
      </c>
      <c r="N146" s="180" t="s">
        <v>35</v>
      </c>
      <c r="O146" s="181"/>
      <c r="P146" s="182">
        <f>O146*H146</f>
        <v>0</v>
      </c>
      <c r="Q146" s="182">
        <v>0</v>
      </c>
      <c r="R146" s="182">
        <f>Q146*H146</f>
        <v>0</v>
      </c>
      <c r="S146" s="182">
        <v>0</v>
      </c>
      <c r="T146" s="183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5" t="s">
        <v>185</v>
      </c>
      <c r="AT146" s="165" t="s">
        <v>181</v>
      </c>
      <c r="AU146" s="165" t="s">
        <v>82</v>
      </c>
      <c r="AY146" s="14" t="s">
        <v>179</v>
      </c>
      <c r="BE146" s="166">
        <f>IF(N146="základná",J146,0)</f>
        <v>0</v>
      </c>
      <c r="BF146" s="166">
        <f>IF(N146="znížená",J146,0)</f>
        <v>0</v>
      </c>
      <c r="BG146" s="166">
        <f>IF(N146="zákl. prenesená",J146,0)</f>
        <v>0</v>
      </c>
      <c r="BH146" s="166">
        <f>IF(N146="zníž. prenesená",J146,0)</f>
        <v>0</v>
      </c>
      <c r="BI146" s="166">
        <f>IF(N146="nulová",J146,0)</f>
        <v>0</v>
      </c>
      <c r="BJ146" s="14" t="s">
        <v>82</v>
      </c>
      <c r="BK146" s="166">
        <f>ROUND(I146*H146,2)</f>
        <v>0</v>
      </c>
      <c r="BL146" s="14" t="s">
        <v>185</v>
      </c>
      <c r="BM146" s="165" t="s">
        <v>2822</v>
      </c>
    </row>
    <row r="147" spans="1:65" s="2" customFormat="1" ht="6.95" customHeight="1">
      <c r="A147" s="29"/>
      <c r="B147" s="47"/>
      <c r="C147" s="48"/>
      <c r="D147" s="48"/>
      <c r="E147" s="48"/>
      <c r="F147" s="48"/>
      <c r="G147" s="48"/>
      <c r="H147" s="48"/>
      <c r="I147" s="48"/>
      <c r="J147" s="48"/>
      <c r="K147" s="48"/>
      <c r="L147" s="30"/>
      <c r="M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</row>
  </sheetData>
  <autoFilter ref="C122:K146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BM195"/>
  <sheetViews>
    <sheetView showGridLines="0" topLeftCell="A15" workbookViewId="0">
      <selection activeCell="J44" sqref="J44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0" t="s">
        <v>5</v>
      </c>
      <c r="M2" s="351"/>
      <c r="N2" s="351"/>
      <c r="O2" s="351"/>
      <c r="P2" s="351"/>
      <c r="Q2" s="351"/>
      <c r="R2" s="351"/>
      <c r="S2" s="351"/>
      <c r="T2" s="351"/>
      <c r="U2" s="351"/>
      <c r="V2" s="351"/>
      <c r="AT2" s="14" t="s">
        <v>116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5" customHeight="1">
      <c r="B4" s="17"/>
      <c r="D4" s="18" t="s">
        <v>129</v>
      </c>
      <c r="L4" s="17"/>
      <c r="M4" s="98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387" t="str">
        <f>'Rekapitulácia stavby'!K6</f>
        <v>Topoľčianky, Centrálny logistický sklad - rekonštrukcia tepelného hospodárstva</v>
      </c>
      <c r="F7" s="388"/>
      <c r="G7" s="388"/>
      <c r="H7" s="388"/>
      <c r="L7" s="17"/>
    </row>
    <row r="8" spans="1:46" s="1" customFormat="1" ht="12" customHeight="1">
      <c r="B8" s="17"/>
      <c r="D8" s="24" t="s">
        <v>130</v>
      </c>
      <c r="L8" s="17"/>
    </row>
    <row r="9" spans="1:46" s="2" customFormat="1" ht="16.5" customHeight="1">
      <c r="A9" s="29"/>
      <c r="B9" s="30"/>
      <c r="C9" s="29"/>
      <c r="D9" s="29"/>
      <c r="E9" s="387" t="s">
        <v>2801</v>
      </c>
      <c r="F9" s="386"/>
      <c r="G9" s="386"/>
      <c r="H9" s="386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>
      <c r="A10" s="29"/>
      <c r="B10" s="30"/>
      <c r="C10" s="29"/>
      <c r="D10" s="24" t="s">
        <v>132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>
      <c r="A11" s="29"/>
      <c r="B11" s="30"/>
      <c r="C11" s="29"/>
      <c r="D11" s="29"/>
      <c r="E11" s="382" t="s">
        <v>2823</v>
      </c>
      <c r="F11" s="386"/>
      <c r="G11" s="386"/>
      <c r="H11" s="386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>
      <c r="A13" s="29"/>
      <c r="B13" s="30"/>
      <c r="C13" s="29"/>
      <c r="D13" s="24" t="s">
        <v>15</v>
      </c>
      <c r="E13" s="29"/>
      <c r="F13" s="22" t="s">
        <v>1</v>
      </c>
      <c r="G13" s="29"/>
      <c r="H13" s="29"/>
      <c r="I13" s="24" t="s">
        <v>16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17</v>
      </c>
      <c r="E14" s="29"/>
      <c r="F14" s="22" t="s">
        <v>18</v>
      </c>
      <c r="G14" s="29"/>
      <c r="H14" s="29"/>
      <c r="I14" s="24" t="s">
        <v>19</v>
      </c>
      <c r="J14" s="55">
        <f>'Rekapitulácia stavby'!AN8</f>
        <v>45945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>
      <c r="A16" s="29"/>
      <c r="B16" s="30"/>
      <c r="C16" s="29"/>
      <c r="D16" s="24" t="s">
        <v>20</v>
      </c>
      <c r="E16" s="29"/>
      <c r="F16" s="29"/>
      <c r="G16" s="29"/>
      <c r="H16" s="29"/>
      <c r="I16" s="24" t="s">
        <v>21</v>
      </c>
      <c r="J16" s="22" t="str">
        <f>IF('Rekapitulácia stavby'!AN10="","",'Rekapitulácia stavby'!AN10)</f>
        <v/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>
      <c r="A17" s="29"/>
      <c r="B17" s="30"/>
      <c r="C17" s="29"/>
      <c r="D17" s="29"/>
      <c r="E17" s="22" t="str">
        <f>IF('Rekapitulácia stavby'!E11="","",'Rekapitulácia stavby'!E11)</f>
        <v xml:space="preserve"> </v>
      </c>
      <c r="F17" s="29"/>
      <c r="G17" s="29"/>
      <c r="H17" s="29"/>
      <c r="I17" s="24" t="s">
        <v>22</v>
      </c>
      <c r="J17" s="22" t="str">
        <f>IF('Rekapitulácia stavby'!AN11="","",'Rekapitulácia stavby'!AN11)</f>
        <v/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customHeight="1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>
      <c r="A19" s="29"/>
      <c r="B19" s="30"/>
      <c r="C19" s="29"/>
      <c r="D19" s="24" t="s">
        <v>23</v>
      </c>
      <c r="E19" s="29"/>
      <c r="F19" s="29"/>
      <c r="G19" s="29"/>
      <c r="H19" s="29"/>
      <c r="I19" s="24" t="s">
        <v>21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>
      <c r="A20" s="29"/>
      <c r="B20" s="30"/>
      <c r="C20" s="29"/>
      <c r="D20" s="29"/>
      <c r="E20" s="389" t="str">
        <f>'Rekapitulácia stavby'!E14</f>
        <v>Vyplň údaj</v>
      </c>
      <c r="F20" s="390"/>
      <c r="G20" s="390"/>
      <c r="H20" s="390"/>
      <c r="I20" s="24" t="s">
        <v>22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customHeight="1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>
      <c r="A22" s="29"/>
      <c r="B22" s="30"/>
      <c r="C22" s="29"/>
      <c r="D22" s="24" t="s">
        <v>25</v>
      </c>
      <c r="E22" s="29"/>
      <c r="F22" s="29"/>
      <c r="G22" s="29"/>
      <c r="H22" s="29"/>
      <c r="I22" s="24" t="s">
        <v>21</v>
      </c>
      <c r="J22" s="22" t="str">
        <f>IF('Rekapitulácia stavby'!AN16="","",'Rekapitulácia stavby'!AN16)</f>
        <v/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>
      <c r="A23" s="29"/>
      <c r="B23" s="30"/>
      <c r="C23" s="29"/>
      <c r="D23" s="29"/>
      <c r="E23" s="22" t="str">
        <f>IF('Rekapitulácia stavby'!E17="","",'Rekapitulácia stavby'!E17)</f>
        <v xml:space="preserve"> </v>
      </c>
      <c r="F23" s="29"/>
      <c r="G23" s="29"/>
      <c r="H23" s="29"/>
      <c r="I23" s="24" t="s">
        <v>22</v>
      </c>
      <c r="J23" s="22" t="str">
        <f>IF('Rekapitulácia stavby'!AN17="","",'Rekapitulácia stavby'!AN17)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customHeight="1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>
      <c r="A25" s="29"/>
      <c r="B25" s="30"/>
      <c r="C25" s="29"/>
      <c r="D25" s="24" t="s">
        <v>26</v>
      </c>
      <c r="E25" s="29"/>
      <c r="F25" s="29"/>
      <c r="G25" s="29"/>
      <c r="H25" s="29"/>
      <c r="I25" s="24" t="s">
        <v>21</v>
      </c>
      <c r="J25" s="22" t="str">
        <f>IF('Rekapitulácia stavby'!AN19="","",'Rekapitulácia stavby'!AN19)</f>
        <v/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24" t="s">
        <v>22</v>
      </c>
      <c r="J26" s="22" t="str">
        <f>IF('Rekapitulácia stavby'!AN20="","",'Rekapitulácia stavby'!AN20)</f>
        <v/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>
      <c r="A28" s="29"/>
      <c r="B28" s="30"/>
      <c r="C28" s="29"/>
      <c r="D28" s="24" t="s">
        <v>28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>
      <c r="A29" s="99"/>
      <c r="B29" s="100"/>
      <c r="C29" s="99"/>
      <c r="D29" s="99"/>
      <c r="E29" s="378" t="s">
        <v>1</v>
      </c>
      <c r="F29" s="378"/>
      <c r="G29" s="378"/>
      <c r="H29" s="378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102" t="s">
        <v>29</v>
      </c>
      <c r="E32" s="29"/>
      <c r="F32" s="29"/>
      <c r="G32" s="29"/>
      <c r="H32" s="29"/>
      <c r="I32" s="29"/>
      <c r="J32" s="71"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31</v>
      </c>
      <c r="G34" s="29"/>
      <c r="H34" s="29"/>
      <c r="I34" s="33" t="s">
        <v>30</v>
      </c>
      <c r="J34" s="33" t="s">
        <v>32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3" t="s">
        <v>33</v>
      </c>
      <c r="E35" s="35" t="s">
        <v>34</v>
      </c>
      <c r="F35" s="104">
        <f>ROUND((SUM(BE131:BE194)),  2)</f>
        <v>0</v>
      </c>
      <c r="G35" s="105"/>
      <c r="H35" s="105"/>
      <c r="I35" s="106">
        <v>0.23</v>
      </c>
      <c r="J35" s="104">
        <f>ROUND(((SUM(BE131:BE194))*I35),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35</v>
      </c>
      <c r="F36" s="104">
        <f>ROUND((SUM(BF131:BF194)),  2)</f>
        <v>0</v>
      </c>
      <c r="G36" s="105"/>
      <c r="H36" s="105"/>
      <c r="I36" s="106">
        <v>0.23</v>
      </c>
      <c r="J36" s="104">
        <f>ROUND(((SUM(BF131:BF194))*I36),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36</v>
      </c>
      <c r="F37" s="107">
        <f>ROUND((SUM(BG131:BG194)),  2)</f>
        <v>0</v>
      </c>
      <c r="G37" s="29"/>
      <c r="H37" s="29"/>
      <c r="I37" s="108">
        <v>0.23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37</v>
      </c>
      <c r="F38" s="107">
        <f>ROUND((SUM(BH131:BH194)),  2)</f>
        <v>0</v>
      </c>
      <c r="G38" s="29"/>
      <c r="H38" s="29"/>
      <c r="I38" s="108">
        <v>0.23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38</v>
      </c>
      <c r="F39" s="104">
        <f>ROUND((SUM(BI131:BI194)), 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9"/>
      <c r="D41" s="110" t="s">
        <v>39</v>
      </c>
      <c r="E41" s="60"/>
      <c r="F41" s="60"/>
      <c r="G41" s="111" t="s">
        <v>40</v>
      </c>
      <c r="H41" s="112" t="s">
        <v>41</v>
      </c>
      <c r="I41" s="60"/>
      <c r="J41" s="113"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42</v>
      </c>
      <c r="E50" s="44"/>
      <c r="F50" s="44"/>
      <c r="G50" s="43" t="s">
        <v>43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44</v>
      </c>
      <c r="E61" s="32"/>
      <c r="F61" s="115" t="s">
        <v>45</v>
      </c>
      <c r="G61" s="45" t="s">
        <v>44</v>
      </c>
      <c r="H61" s="32"/>
      <c r="I61" s="32"/>
      <c r="J61" s="116" t="s">
        <v>45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46</v>
      </c>
      <c r="E65" s="46"/>
      <c r="F65" s="46"/>
      <c r="G65" s="43" t="s">
        <v>47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44</v>
      </c>
      <c r="E76" s="32"/>
      <c r="F76" s="115" t="s">
        <v>45</v>
      </c>
      <c r="G76" s="45" t="s">
        <v>44</v>
      </c>
      <c r="H76" s="32"/>
      <c r="I76" s="32"/>
      <c r="J76" s="116" t="s">
        <v>45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hidden="1" customHeight="1">
      <c r="A82" s="29"/>
      <c r="B82" s="30"/>
      <c r="C82" s="18" t="s">
        <v>134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hidden="1" customHeight="1">
      <c r="A85" s="29"/>
      <c r="B85" s="30"/>
      <c r="C85" s="29"/>
      <c r="D85" s="29"/>
      <c r="E85" s="387" t="str">
        <f>E7</f>
        <v>Topoľčianky, Centrálny logistický sklad - rekonštrukcia tepelného hospodárstva</v>
      </c>
      <c r="F85" s="388"/>
      <c r="G85" s="388"/>
      <c r="H85" s="388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hidden="1" customHeight="1">
      <c r="B86" s="17"/>
      <c r="C86" s="24" t="s">
        <v>130</v>
      </c>
      <c r="L86" s="17"/>
    </row>
    <row r="87" spans="1:31" s="2" customFormat="1" ht="16.5" hidden="1" customHeight="1">
      <c r="A87" s="29"/>
      <c r="B87" s="30"/>
      <c r="C87" s="29"/>
      <c r="D87" s="29"/>
      <c r="E87" s="387" t="s">
        <v>2801</v>
      </c>
      <c r="F87" s="386"/>
      <c r="G87" s="386"/>
      <c r="H87" s="386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hidden="1" customHeight="1">
      <c r="A88" s="29"/>
      <c r="B88" s="30"/>
      <c r="C88" s="24" t="s">
        <v>132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hidden="1" customHeight="1">
      <c r="A89" s="29"/>
      <c r="B89" s="30"/>
      <c r="C89" s="29"/>
      <c r="D89" s="29"/>
      <c r="E89" s="382" t="str">
        <f>E11</f>
        <v>E2.1-A - Teplovod pre obj.03 Prevádz. budova</v>
      </c>
      <c r="F89" s="386"/>
      <c r="G89" s="386"/>
      <c r="H89" s="386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hidden="1" customHeight="1">
      <c r="A91" s="29"/>
      <c r="B91" s="30"/>
      <c r="C91" s="24" t="s">
        <v>17</v>
      </c>
      <c r="D91" s="29"/>
      <c r="E91" s="29"/>
      <c r="F91" s="22" t="str">
        <f>F14</f>
        <v xml:space="preserve"> </v>
      </c>
      <c r="G91" s="29"/>
      <c r="H91" s="29"/>
      <c r="I91" s="24" t="s">
        <v>19</v>
      </c>
      <c r="J91" s="55">
        <f>IF(J14="","",J14)</f>
        <v>45945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hidden="1" customHeight="1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hidden="1" customHeight="1">
      <c r="A93" s="29"/>
      <c r="B93" s="30"/>
      <c r="C93" s="24" t="s">
        <v>20</v>
      </c>
      <c r="D93" s="29"/>
      <c r="E93" s="29"/>
      <c r="F93" s="22" t="str">
        <f>E17</f>
        <v xml:space="preserve"> </v>
      </c>
      <c r="G93" s="29"/>
      <c r="H93" s="29"/>
      <c r="I93" s="24" t="s">
        <v>25</v>
      </c>
      <c r="J93" s="27" t="str">
        <f>E23</f>
        <v xml:space="preserve">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hidden="1" customHeight="1">
      <c r="A94" s="29"/>
      <c r="B94" s="30"/>
      <c r="C94" s="24" t="s">
        <v>23</v>
      </c>
      <c r="D94" s="29"/>
      <c r="E94" s="29"/>
      <c r="F94" s="22" t="str">
        <f>IF(E20="","",E20)</f>
        <v>Vyplň údaj</v>
      </c>
      <c r="G94" s="29"/>
      <c r="H94" s="29"/>
      <c r="I94" s="24" t="s">
        <v>26</v>
      </c>
      <c r="J94" s="27" t="str">
        <f>E26</f>
        <v xml:space="preserve">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hidden="1" customHeight="1">
      <c r="A96" s="29"/>
      <c r="B96" s="30"/>
      <c r="C96" s="117" t="s">
        <v>135</v>
      </c>
      <c r="D96" s="109"/>
      <c r="E96" s="109"/>
      <c r="F96" s="109"/>
      <c r="G96" s="109"/>
      <c r="H96" s="109"/>
      <c r="I96" s="109"/>
      <c r="J96" s="118" t="s">
        <v>136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hidden="1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hidden="1" customHeight="1">
      <c r="A98" s="29"/>
      <c r="B98" s="30"/>
      <c r="C98" s="119" t="s">
        <v>137</v>
      </c>
      <c r="D98" s="29"/>
      <c r="E98" s="29"/>
      <c r="F98" s="29"/>
      <c r="G98" s="29"/>
      <c r="H98" s="29"/>
      <c r="I98" s="29"/>
      <c r="J98" s="71">
        <f>J131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138</v>
      </c>
    </row>
    <row r="99" spans="1:47" s="9" customFormat="1" ht="24.95" hidden="1" customHeight="1">
      <c r="B99" s="120"/>
      <c r="D99" s="121" t="s">
        <v>975</v>
      </c>
      <c r="E99" s="122"/>
      <c r="F99" s="122"/>
      <c r="G99" s="122"/>
      <c r="H99" s="122"/>
      <c r="I99" s="122"/>
      <c r="J99" s="123">
        <f>J132</f>
        <v>0</v>
      </c>
      <c r="L99" s="120"/>
    </row>
    <row r="100" spans="1:47" s="10" customFormat="1" ht="19.899999999999999" hidden="1" customHeight="1">
      <c r="B100" s="124"/>
      <c r="D100" s="125" t="s">
        <v>976</v>
      </c>
      <c r="E100" s="126"/>
      <c r="F100" s="126"/>
      <c r="G100" s="126"/>
      <c r="H100" s="126"/>
      <c r="I100" s="126"/>
      <c r="J100" s="127">
        <f>J133</f>
        <v>0</v>
      </c>
      <c r="L100" s="124"/>
    </row>
    <row r="101" spans="1:47" s="10" customFormat="1" ht="19.899999999999999" hidden="1" customHeight="1">
      <c r="B101" s="124"/>
      <c r="D101" s="125" t="s">
        <v>977</v>
      </c>
      <c r="E101" s="126"/>
      <c r="F101" s="126"/>
      <c r="G101" s="126"/>
      <c r="H101" s="126"/>
      <c r="I101" s="126"/>
      <c r="J101" s="127">
        <f>J148</f>
        <v>0</v>
      </c>
      <c r="L101" s="124"/>
    </row>
    <row r="102" spans="1:47" s="10" customFormat="1" ht="19.899999999999999" hidden="1" customHeight="1">
      <c r="B102" s="124"/>
      <c r="D102" s="125" t="s">
        <v>2824</v>
      </c>
      <c r="E102" s="126"/>
      <c r="F102" s="126"/>
      <c r="G102" s="126"/>
      <c r="H102" s="126"/>
      <c r="I102" s="126"/>
      <c r="J102" s="127">
        <f>J151</f>
        <v>0</v>
      </c>
      <c r="L102" s="124"/>
    </row>
    <row r="103" spans="1:47" s="10" customFormat="1" ht="19.899999999999999" hidden="1" customHeight="1">
      <c r="B103" s="124"/>
      <c r="D103" s="125" t="s">
        <v>2825</v>
      </c>
      <c r="E103" s="126"/>
      <c r="F103" s="126"/>
      <c r="G103" s="126"/>
      <c r="H103" s="126"/>
      <c r="I103" s="126"/>
      <c r="J103" s="127">
        <f>J156</f>
        <v>0</v>
      </c>
      <c r="L103" s="124"/>
    </row>
    <row r="104" spans="1:47" s="10" customFormat="1" ht="19.899999999999999" hidden="1" customHeight="1">
      <c r="B104" s="124"/>
      <c r="D104" s="125" t="s">
        <v>978</v>
      </c>
      <c r="E104" s="126"/>
      <c r="F104" s="126"/>
      <c r="G104" s="126"/>
      <c r="H104" s="126"/>
      <c r="I104" s="126"/>
      <c r="J104" s="127">
        <f>J169</f>
        <v>0</v>
      </c>
      <c r="L104" s="124"/>
    </row>
    <row r="105" spans="1:47" s="10" customFormat="1" ht="19.899999999999999" hidden="1" customHeight="1">
      <c r="B105" s="124"/>
      <c r="D105" s="125" t="s">
        <v>2826</v>
      </c>
      <c r="E105" s="126"/>
      <c r="F105" s="126"/>
      <c r="G105" s="126"/>
      <c r="H105" s="126"/>
      <c r="I105" s="126"/>
      <c r="J105" s="127">
        <f>J177</f>
        <v>0</v>
      </c>
      <c r="L105" s="124"/>
    </row>
    <row r="106" spans="1:47" s="9" customFormat="1" ht="24.95" hidden="1" customHeight="1">
      <c r="B106" s="120"/>
      <c r="D106" s="121" t="s">
        <v>979</v>
      </c>
      <c r="E106" s="122"/>
      <c r="F106" s="122"/>
      <c r="G106" s="122"/>
      <c r="H106" s="122"/>
      <c r="I106" s="122"/>
      <c r="J106" s="123">
        <f>J180</f>
        <v>0</v>
      </c>
      <c r="L106" s="120"/>
    </row>
    <row r="107" spans="1:47" s="10" customFormat="1" ht="19.899999999999999" hidden="1" customHeight="1">
      <c r="B107" s="124"/>
      <c r="D107" s="125" t="s">
        <v>980</v>
      </c>
      <c r="E107" s="126"/>
      <c r="F107" s="126"/>
      <c r="G107" s="126"/>
      <c r="H107" s="126"/>
      <c r="I107" s="126"/>
      <c r="J107" s="127">
        <f>J181</f>
        <v>0</v>
      </c>
      <c r="L107" s="124"/>
    </row>
    <row r="108" spans="1:47" s="10" customFormat="1" ht="19.899999999999999" hidden="1" customHeight="1">
      <c r="B108" s="124"/>
      <c r="D108" s="125" t="s">
        <v>2130</v>
      </c>
      <c r="E108" s="126"/>
      <c r="F108" s="126"/>
      <c r="G108" s="126"/>
      <c r="H108" s="126"/>
      <c r="I108" s="126"/>
      <c r="J108" s="127">
        <f>J186</f>
        <v>0</v>
      </c>
      <c r="L108" s="124"/>
    </row>
    <row r="109" spans="1:47" s="9" customFormat="1" ht="24.95" hidden="1" customHeight="1">
      <c r="B109" s="120"/>
      <c r="D109" s="121" t="s">
        <v>1297</v>
      </c>
      <c r="E109" s="122"/>
      <c r="F109" s="122"/>
      <c r="G109" s="122"/>
      <c r="H109" s="122"/>
      <c r="I109" s="122"/>
      <c r="J109" s="123">
        <f>J193</f>
        <v>0</v>
      </c>
      <c r="L109" s="120"/>
    </row>
    <row r="110" spans="1:47" s="2" customFormat="1" ht="21.75" hidden="1" customHeigh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2" customFormat="1" ht="6.95" hidden="1" customHeight="1">
      <c r="A111" s="29"/>
      <c r="B111" s="47"/>
      <c r="C111" s="48"/>
      <c r="D111" s="48"/>
      <c r="E111" s="48"/>
      <c r="F111" s="48"/>
      <c r="G111" s="48"/>
      <c r="H111" s="48"/>
      <c r="I111" s="48"/>
      <c r="J111" s="48"/>
      <c r="K111" s="48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47" hidden="1"/>
    <row r="113" spans="1:31" hidden="1"/>
    <row r="114" spans="1:31" hidden="1"/>
    <row r="115" spans="1:31" s="2" customFormat="1" ht="6.95" customHeight="1">
      <c r="A115" s="29"/>
      <c r="B115" s="49"/>
      <c r="C115" s="50"/>
      <c r="D115" s="50"/>
      <c r="E115" s="50"/>
      <c r="F115" s="50"/>
      <c r="G115" s="50"/>
      <c r="H115" s="50"/>
      <c r="I115" s="50"/>
      <c r="J115" s="50"/>
      <c r="K115" s="50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31" s="2" customFormat="1" ht="24.95" customHeight="1">
      <c r="A116" s="29"/>
      <c r="B116" s="30"/>
      <c r="C116" s="18" t="s">
        <v>165</v>
      </c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31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12" customHeight="1">
      <c r="A118" s="29"/>
      <c r="B118" s="30"/>
      <c r="C118" s="24" t="s">
        <v>14</v>
      </c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16.5" customHeight="1">
      <c r="A119" s="29"/>
      <c r="B119" s="30"/>
      <c r="C119" s="29"/>
      <c r="D119" s="29"/>
      <c r="E119" s="387" t="str">
        <f>E7</f>
        <v>Topoľčianky, Centrálny logistický sklad - rekonštrukcia tepelného hospodárstva</v>
      </c>
      <c r="F119" s="388"/>
      <c r="G119" s="388"/>
      <c r="H119" s="388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1" customFormat="1" ht="12" customHeight="1">
      <c r="B120" s="17"/>
      <c r="C120" s="24" t="s">
        <v>130</v>
      </c>
      <c r="L120" s="17"/>
    </row>
    <row r="121" spans="1:31" s="2" customFormat="1" ht="16.5" customHeight="1">
      <c r="A121" s="29"/>
      <c r="B121" s="30"/>
      <c r="C121" s="29"/>
      <c r="D121" s="29"/>
      <c r="E121" s="387" t="s">
        <v>2801</v>
      </c>
      <c r="F121" s="386"/>
      <c r="G121" s="386"/>
      <c r="H121" s="386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2" customHeight="1">
      <c r="A122" s="29"/>
      <c r="B122" s="30"/>
      <c r="C122" s="24" t="s">
        <v>132</v>
      </c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6.5" customHeight="1">
      <c r="A123" s="29"/>
      <c r="B123" s="30"/>
      <c r="C123" s="29"/>
      <c r="D123" s="29"/>
      <c r="E123" s="382" t="str">
        <f>E11</f>
        <v>E2.1-A - Teplovod pre obj.03 Prevádz. budova</v>
      </c>
      <c r="F123" s="386"/>
      <c r="G123" s="386"/>
      <c r="H123" s="386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2" customHeight="1">
      <c r="A125" s="29"/>
      <c r="B125" s="30"/>
      <c r="C125" s="24" t="s">
        <v>17</v>
      </c>
      <c r="D125" s="29"/>
      <c r="E125" s="29"/>
      <c r="F125" s="22" t="str">
        <f>F14</f>
        <v xml:space="preserve"> </v>
      </c>
      <c r="G125" s="29"/>
      <c r="H125" s="29"/>
      <c r="I125" s="24" t="s">
        <v>19</v>
      </c>
      <c r="J125" s="55">
        <f>IF(J14="","",J14)</f>
        <v>45945</v>
      </c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6.9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5.2" customHeight="1">
      <c r="A127" s="29"/>
      <c r="B127" s="30"/>
      <c r="C127" s="24" t="s">
        <v>20</v>
      </c>
      <c r="D127" s="29"/>
      <c r="E127" s="29"/>
      <c r="F127" s="22" t="str">
        <f>E17</f>
        <v xml:space="preserve"> </v>
      </c>
      <c r="G127" s="29"/>
      <c r="H127" s="29"/>
      <c r="I127" s="24" t="s">
        <v>25</v>
      </c>
      <c r="J127" s="27" t="str">
        <f>E23</f>
        <v xml:space="preserve"> 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5.2" customHeight="1">
      <c r="A128" s="29"/>
      <c r="B128" s="30"/>
      <c r="C128" s="24" t="s">
        <v>23</v>
      </c>
      <c r="D128" s="29"/>
      <c r="E128" s="29"/>
      <c r="F128" s="22" t="str">
        <f>IF(E20="","",E20)</f>
        <v>Vyplň údaj</v>
      </c>
      <c r="G128" s="29"/>
      <c r="H128" s="29"/>
      <c r="I128" s="24" t="s">
        <v>26</v>
      </c>
      <c r="J128" s="27" t="str">
        <f>E26</f>
        <v xml:space="preserve"> </v>
      </c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0.35" customHeight="1">
      <c r="A129" s="29"/>
      <c r="B129" s="30"/>
      <c r="C129" s="29"/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11" customFormat="1" ht="29.25" customHeight="1">
      <c r="A130" s="128"/>
      <c r="B130" s="129"/>
      <c r="C130" s="130" t="s">
        <v>166</v>
      </c>
      <c r="D130" s="131" t="s">
        <v>54</v>
      </c>
      <c r="E130" s="131" t="s">
        <v>50</v>
      </c>
      <c r="F130" s="131" t="s">
        <v>51</v>
      </c>
      <c r="G130" s="131" t="s">
        <v>167</v>
      </c>
      <c r="H130" s="131" t="s">
        <v>168</v>
      </c>
      <c r="I130" s="131" t="s">
        <v>169</v>
      </c>
      <c r="J130" s="132" t="s">
        <v>136</v>
      </c>
      <c r="K130" s="133" t="s">
        <v>170</v>
      </c>
      <c r="L130" s="134"/>
      <c r="M130" s="62" t="s">
        <v>1</v>
      </c>
      <c r="N130" s="63" t="s">
        <v>33</v>
      </c>
      <c r="O130" s="63" t="s">
        <v>171</v>
      </c>
      <c r="P130" s="63" t="s">
        <v>172</v>
      </c>
      <c r="Q130" s="63" t="s">
        <v>173</v>
      </c>
      <c r="R130" s="63" t="s">
        <v>174</v>
      </c>
      <c r="S130" s="63" t="s">
        <v>175</v>
      </c>
      <c r="T130" s="64" t="s">
        <v>176</v>
      </c>
      <c r="U130" s="128"/>
      <c r="V130" s="128"/>
      <c r="W130" s="128"/>
      <c r="X130" s="128"/>
      <c r="Y130" s="128"/>
      <c r="Z130" s="128"/>
      <c r="AA130" s="128"/>
      <c r="AB130" s="128"/>
      <c r="AC130" s="128"/>
      <c r="AD130" s="128"/>
      <c r="AE130" s="128"/>
    </row>
    <row r="131" spans="1:65" s="2" customFormat="1" ht="22.9" customHeight="1">
      <c r="A131" s="29"/>
      <c r="B131" s="30"/>
      <c r="C131" s="69" t="s">
        <v>137</v>
      </c>
      <c r="D131" s="29"/>
      <c r="E131" s="29"/>
      <c r="F131" s="29"/>
      <c r="G131" s="29"/>
      <c r="H131" s="29"/>
      <c r="I131" s="29"/>
      <c r="J131" s="135">
        <v>0</v>
      </c>
      <c r="K131" s="29"/>
      <c r="L131" s="30"/>
      <c r="M131" s="65"/>
      <c r="N131" s="56"/>
      <c r="O131" s="66"/>
      <c r="P131" s="136">
        <f>P132+P180+P193</f>
        <v>0</v>
      </c>
      <c r="Q131" s="66"/>
      <c r="R131" s="136">
        <f>R132+R180+R193</f>
        <v>13.879430000000021</v>
      </c>
      <c r="S131" s="66"/>
      <c r="T131" s="137">
        <f>T132+T180+T193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T131" s="14" t="s">
        <v>68</v>
      </c>
      <c r="AU131" s="14" t="s">
        <v>138</v>
      </c>
      <c r="BK131" s="138">
        <f>BK132+BK180+BK193</f>
        <v>0</v>
      </c>
    </row>
    <row r="132" spans="1:65" s="12" customFormat="1" ht="25.9" customHeight="1">
      <c r="B132" s="139"/>
      <c r="D132" s="140" t="s">
        <v>68</v>
      </c>
      <c r="E132" s="141" t="s">
        <v>177</v>
      </c>
      <c r="F132" s="141" t="s">
        <v>985</v>
      </c>
      <c r="I132" s="142"/>
      <c r="J132" s="143">
        <v>0</v>
      </c>
      <c r="L132" s="139"/>
      <c r="M132" s="144"/>
      <c r="N132" s="145"/>
      <c r="O132" s="145"/>
      <c r="P132" s="146">
        <f>P133+P148+P151+P156+P169+P177</f>
        <v>0</v>
      </c>
      <c r="Q132" s="145"/>
      <c r="R132" s="146">
        <f>R133+R148+R151+R156+R169+R177</f>
        <v>13.78871000000002</v>
      </c>
      <c r="S132" s="145"/>
      <c r="T132" s="147">
        <f>T133+T148+T151+T156+T169+T177</f>
        <v>0</v>
      </c>
      <c r="AR132" s="140" t="s">
        <v>76</v>
      </c>
      <c r="AT132" s="148" t="s">
        <v>68</v>
      </c>
      <c r="AU132" s="148" t="s">
        <v>69</v>
      </c>
      <c r="AY132" s="140" t="s">
        <v>179</v>
      </c>
      <c r="BK132" s="149">
        <f>BK133+BK148+BK151+BK156+BK169+BK177</f>
        <v>0</v>
      </c>
    </row>
    <row r="133" spans="1:65" s="12" customFormat="1" ht="22.9" customHeight="1">
      <c r="B133" s="139"/>
      <c r="D133" s="140" t="s">
        <v>68</v>
      </c>
      <c r="E133" s="150" t="s">
        <v>76</v>
      </c>
      <c r="F133" s="150" t="s">
        <v>986</v>
      </c>
      <c r="I133" s="142"/>
      <c r="J133" s="151">
        <v>0</v>
      </c>
      <c r="L133" s="139"/>
      <c r="M133" s="144"/>
      <c r="N133" s="145"/>
      <c r="O133" s="145"/>
      <c r="P133" s="146">
        <f>SUM(P134:P147)</f>
        <v>0</v>
      </c>
      <c r="Q133" s="145"/>
      <c r="R133" s="146">
        <f>SUM(R134:R147)</f>
        <v>0</v>
      </c>
      <c r="S133" s="145"/>
      <c r="T133" s="147">
        <f>SUM(T134:T147)</f>
        <v>0</v>
      </c>
      <c r="AR133" s="140" t="s">
        <v>76</v>
      </c>
      <c r="AT133" s="148" t="s">
        <v>68</v>
      </c>
      <c r="AU133" s="148" t="s">
        <v>76</v>
      </c>
      <c r="AY133" s="140" t="s">
        <v>179</v>
      </c>
      <c r="BK133" s="149">
        <f>SUM(BK134:BK147)</f>
        <v>0</v>
      </c>
    </row>
    <row r="134" spans="1:65" s="2" customFormat="1" ht="33" customHeight="1">
      <c r="A134" s="29"/>
      <c r="B134" s="152"/>
      <c r="C134" s="153" t="s">
        <v>76</v>
      </c>
      <c r="D134" s="153" t="s">
        <v>181</v>
      </c>
      <c r="E134" s="154" t="s">
        <v>2827</v>
      </c>
      <c r="F134" s="155" t="s">
        <v>2828</v>
      </c>
      <c r="G134" s="156" t="s">
        <v>184</v>
      </c>
      <c r="H134" s="157">
        <v>45.15</v>
      </c>
      <c r="I134" s="158"/>
      <c r="J134" s="151">
        <v>0</v>
      </c>
      <c r="K134" s="160"/>
      <c r="L134" s="30"/>
      <c r="M134" s="161" t="s">
        <v>1</v>
      </c>
      <c r="N134" s="162" t="s">
        <v>35</v>
      </c>
      <c r="O134" s="58"/>
      <c r="P134" s="163">
        <f t="shared" ref="P134:P147" si="0">O134*H134</f>
        <v>0</v>
      </c>
      <c r="Q134" s="163">
        <v>0</v>
      </c>
      <c r="R134" s="163">
        <f t="shared" ref="R134:R147" si="1">Q134*H134</f>
        <v>0</v>
      </c>
      <c r="S134" s="163">
        <v>0</v>
      </c>
      <c r="T134" s="164">
        <f t="shared" ref="T134:T147" si="2"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5" t="s">
        <v>185</v>
      </c>
      <c r="AT134" s="165" t="s">
        <v>181</v>
      </c>
      <c r="AU134" s="165" t="s">
        <v>82</v>
      </c>
      <c r="AY134" s="14" t="s">
        <v>179</v>
      </c>
      <c r="BE134" s="166">
        <f t="shared" ref="BE134:BE147" si="3">IF(N134="základná",J134,0)</f>
        <v>0</v>
      </c>
      <c r="BF134" s="166">
        <f t="shared" ref="BF134:BF147" si="4">IF(N134="znížená",J134,0)</f>
        <v>0</v>
      </c>
      <c r="BG134" s="166">
        <f t="shared" ref="BG134:BG147" si="5">IF(N134="zákl. prenesená",J134,0)</f>
        <v>0</v>
      </c>
      <c r="BH134" s="166">
        <f t="shared" ref="BH134:BH147" si="6">IF(N134="zníž. prenesená",J134,0)</f>
        <v>0</v>
      </c>
      <c r="BI134" s="166">
        <f t="shared" ref="BI134:BI147" si="7">IF(N134="nulová",J134,0)</f>
        <v>0</v>
      </c>
      <c r="BJ134" s="14" t="s">
        <v>82</v>
      </c>
      <c r="BK134" s="166">
        <f t="shared" ref="BK134:BK147" si="8">ROUND(I134*H134,2)</f>
        <v>0</v>
      </c>
      <c r="BL134" s="14" t="s">
        <v>185</v>
      </c>
      <c r="BM134" s="165" t="s">
        <v>82</v>
      </c>
    </row>
    <row r="135" spans="1:65" s="2" customFormat="1" ht="33" customHeight="1">
      <c r="A135" s="29"/>
      <c r="B135" s="152"/>
      <c r="C135" s="153" t="s">
        <v>82</v>
      </c>
      <c r="D135" s="153" t="s">
        <v>181</v>
      </c>
      <c r="E135" s="154" t="s">
        <v>2829</v>
      </c>
      <c r="F135" s="155" t="s">
        <v>2830</v>
      </c>
      <c r="G135" s="156" t="s">
        <v>184</v>
      </c>
      <c r="H135" s="157">
        <v>45.15</v>
      </c>
      <c r="I135" s="158"/>
      <c r="J135" s="151">
        <v>0</v>
      </c>
      <c r="K135" s="160"/>
      <c r="L135" s="30"/>
      <c r="M135" s="161" t="s">
        <v>1</v>
      </c>
      <c r="N135" s="162" t="s">
        <v>35</v>
      </c>
      <c r="O135" s="58"/>
      <c r="P135" s="163">
        <f t="shared" si="0"/>
        <v>0</v>
      </c>
      <c r="Q135" s="163">
        <v>0</v>
      </c>
      <c r="R135" s="163">
        <f t="shared" si="1"/>
        <v>0</v>
      </c>
      <c r="S135" s="163">
        <v>0</v>
      </c>
      <c r="T135" s="164">
        <f t="shared" si="2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5" t="s">
        <v>185</v>
      </c>
      <c r="AT135" s="165" t="s">
        <v>181</v>
      </c>
      <c r="AU135" s="165" t="s">
        <v>82</v>
      </c>
      <c r="AY135" s="14" t="s">
        <v>179</v>
      </c>
      <c r="BE135" s="166">
        <f t="shared" si="3"/>
        <v>0</v>
      </c>
      <c r="BF135" s="166">
        <f t="shared" si="4"/>
        <v>0</v>
      </c>
      <c r="BG135" s="166">
        <f t="shared" si="5"/>
        <v>0</v>
      </c>
      <c r="BH135" s="166">
        <f t="shared" si="6"/>
        <v>0</v>
      </c>
      <c r="BI135" s="166">
        <f t="shared" si="7"/>
        <v>0</v>
      </c>
      <c r="BJ135" s="14" t="s">
        <v>82</v>
      </c>
      <c r="BK135" s="166">
        <f t="shared" si="8"/>
        <v>0</v>
      </c>
      <c r="BL135" s="14" t="s">
        <v>185</v>
      </c>
      <c r="BM135" s="165" t="s">
        <v>185</v>
      </c>
    </row>
    <row r="136" spans="1:65" s="2" customFormat="1" ht="33" customHeight="1">
      <c r="A136" s="29"/>
      <c r="B136" s="152"/>
      <c r="C136" s="153" t="s">
        <v>188</v>
      </c>
      <c r="D136" s="153" t="s">
        <v>181</v>
      </c>
      <c r="E136" s="154" t="s">
        <v>2831</v>
      </c>
      <c r="F136" s="155" t="s">
        <v>2832</v>
      </c>
      <c r="G136" s="156" t="s">
        <v>184</v>
      </c>
      <c r="H136" s="157">
        <v>45.15</v>
      </c>
      <c r="I136" s="158"/>
      <c r="J136" s="151">
        <v>0</v>
      </c>
      <c r="K136" s="160"/>
      <c r="L136" s="30"/>
      <c r="M136" s="161" t="s">
        <v>1</v>
      </c>
      <c r="N136" s="162" t="s">
        <v>35</v>
      </c>
      <c r="O136" s="58"/>
      <c r="P136" s="163">
        <f t="shared" si="0"/>
        <v>0</v>
      </c>
      <c r="Q136" s="163">
        <v>0</v>
      </c>
      <c r="R136" s="163">
        <f t="shared" si="1"/>
        <v>0</v>
      </c>
      <c r="S136" s="163">
        <v>0</v>
      </c>
      <c r="T136" s="164">
        <f t="shared" si="2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5" t="s">
        <v>185</v>
      </c>
      <c r="AT136" s="165" t="s">
        <v>181</v>
      </c>
      <c r="AU136" s="165" t="s">
        <v>82</v>
      </c>
      <c r="AY136" s="14" t="s">
        <v>179</v>
      </c>
      <c r="BE136" s="166">
        <f t="shared" si="3"/>
        <v>0</v>
      </c>
      <c r="BF136" s="166">
        <f t="shared" si="4"/>
        <v>0</v>
      </c>
      <c r="BG136" s="166">
        <f t="shared" si="5"/>
        <v>0</v>
      </c>
      <c r="BH136" s="166">
        <f t="shared" si="6"/>
        <v>0</v>
      </c>
      <c r="BI136" s="166">
        <f t="shared" si="7"/>
        <v>0</v>
      </c>
      <c r="BJ136" s="14" t="s">
        <v>82</v>
      </c>
      <c r="BK136" s="166">
        <f t="shared" si="8"/>
        <v>0</v>
      </c>
      <c r="BL136" s="14" t="s">
        <v>185</v>
      </c>
      <c r="BM136" s="165" t="s">
        <v>192</v>
      </c>
    </row>
    <row r="137" spans="1:65" s="2" customFormat="1" ht="21.75" customHeight="1">
      <c r="A137" s="29"/>
      <c r="B137" s="152"/>
      <c r="C137" s="153" t="s">
        <v>185</v>
      </c>
      <c r="D137" s="153" t="s">
        <v>181</v>
      </c>
      <c r="E137" s="154" t="s">
        <v>2833</v>
      </c>
      <c r="F137" s="155" t="s">
        <v>2834</v>
      </c>
      <c r="G137" s="156" t="s">
        <v>196</v>
      </c>
      <c r="H137" s="157">
        <v>53.231999999999999</v>
      </c>
      <c r="I137" s="158"/>
      <c r="J137" s="151">
        <v>0</v>
      </c>
      <c r="K137" s="160"/>
      <c r="L137" s="30"/>
      <c r="M137" s="161" t="s">
        <v>1</v>
      </c>
      <c r="N137" s="162" t="s">
        <v>35</v>
      </c>
      <c r="O137" s="58"/>
      <c r="P137" s="163">
        <f t="shared" si="0"/>
        <v>0</v>
      </c>
      <c r="Q137" s="163">
        <v>0</v>
      </c>
      <c r="R137" s="163">
        <f t="shared" si="1"/>
        <v>0</v>
      </c>
      <c r="S137" s="163">
        <v>0</v>
      </c>
      <c r="T137" s="164">
        <f t="shared" si="2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185</v>
      </c>
      <c r="AT137" s="165" t="s">
        <v>181</v>
      </c>
      <c r="AU137" s="165" t="s">
        <v>82</v>
      </c>
      <c r="AY137" s="14" t="s">
        <v>179</v>
      </c>
      <c r="BE137" s="166">
        <f t="shared" si="3"/>
        <v>0</v>
      </c>
      <c r="BF137" s="166">
        <f t="shared" si="4"/>
        <v>0</v>
      </c>
      <c r="BG137" s="166">
        <f t="shared" si="5"/>
        <v>0</v>
      </c>
      <c r="BH137" s="166">
        <f t="shared" si="6"/>
        <v>0</v>
      </c>
      <c r="BI137" s="166">
        <f t="shared" si="7"/>
        <v>0</v>
      </c>
      <c r="BJ137" s="14" t="s">
        <v>82</v>
      </c>
      <c r="BK137" s="166">
        <f t="shared" si="8"/>
        <v>0</v>
      </c>
      <c r="BL137" s="14" t="s">
        <v>185</v>
      </c>
      <c r="BM137" s="165" t="s">
        <v>197</v>
      </c>
    </row>
    <row r="138" spans="1:65" s="2" customFormat="1" ht="37.9" customHeight="1">
      <c r="A138" s="29"/>
      <c r="B138" s="152"/>
      <c r="C138" s="153" t="s">
        <v>198</v>
      </c>
      <c r="D138" s="153" t="s">
        <v>181</v>
      </c>
      <c r="E138" s="154" t="s">
        <v>2835</v>
      </c>
      <c r="F138" s="155" t="s">
        <v>2836</v>
      </c>
      <c r="G138" s="156" t="s">
        <v>196</v>
      </c>
      <c r="H138" s="157">
        <v>53.231999999999999</v>
      </c>
      <c r="I138" s="158"/>
      <c r="J138" s="151">
        <v>0</v>
      </c>
      <c r="K138" s="160"/>
      <c r="L138" s="30"/>
      <c r="M138" s="161" t="s">
        <v>1</v>
      </c>
      <c r="N138" s="162" t="s">
        <v>35</v>
      </c>
      <c r="O138" s="58"/>
      <c r="P138" s="163">
        <f t="shared" si="0"/>
        <v>0</v>
      </c>
      <c r="Q138" s="163">
        <v>0</v>
      </c>
      <c r="R138" s="163">
        <f t="shared" si="1"/>
        <v>0</v>
      </c>
      <c r="S138" s="163">
        <v>0</v>
      </c>
      <c r="T138" s="164">
        <f t="shared" si="2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185</v>
      </c>
      <c r="AT138" s="165" t="s">
        <v>181</v>
      </c>
      <c r="AU138" s="165" t="s">
        <v>82</v>
      </c>
      <c r="AY138" s="14" t="s">
        <v>179</v>
      </c>
      <c r="BE138" s="166">
        <f t="shared" si="3"/>
        <v>0</v>
      </c>
      <c r="BF138" s="166">
        <f t="shared" si="4"/>
        <v>0</v>
      </c>
      <c r="BG138" s="166">
        <f t="shared" si="5"/>
        <v>0</v>
      </c>
      <c r="BH138" s="166">
        <f t="shared" si="6"/>
        <v>0</v>
      </c>
      <c r="BI138" s="166">
        <f t="shared" si="7"/>
        <v>0</v>
      </c>
      <c r="BJ138" s="14" t="s">
        <v>82</v>
      </c>
      <c r="BK138" s="166">
        <f t="shared" si="8"/>
        <v>0</v>
      </c>
      <c r="BL138" s="14" t="s">
        <v>185</v>
      </c>
      <c r="BM138" s="165" t="s">
        <v>201</v>
      </c>
    </row>
    <row r="139" spans="1:65" s="2" customFormat="1" ht="33" customHeight="1">
      <c r="A139" s="29"/>
      <c r="B139" s="152"/>
      <c r="C139" s="153" t="s">
        <v>192</v>
      </c>
      <c r="D139" s="153" t="s">
        <v>181</v>
      </c>
      <c r="E139" s="154" t="s">
        <v>991</v>
      </c>
      <c r="F139" s="155" t="s">
        <v>992</v>
      </c>
      <c r="G139" s="156" t="s">
        <v>196</v>
      </c>
      <c r="H139" s="157">
        <v>44.697000000000003</v>
      </c>
      <c r="I139" s="158"/>
      <c r="J139" s="151">
        <v>0</v>
      </c>
      <c r="K139" s="160"/>
      <c r="L139" s="30"/>
      <c r="M139" s="161" t="s">
        <v>1</v>
      </c>
      <c r="N139" s="162" t="s">
        <v>35</v>
      </c>
      <c r="O139" s="58"/>
      <c r="P139" s="163">
        <f t="shared" si="0"/>
        <v>0</v>
      </c>
      <c r="Q139" s="163">
        <v>0</v>
      </c>
      <c r="R139" s="163">
        <f t="shared" si="1"/>
        <v>0</v>
      </c>
      <c r="S139" s="163">
        <v>0</v>
      </c>
      <c r="T139" s="164">
        <f t="shared" si="2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185</v>
      </c>
      <c r="AT139" s="165" t="s">
        <v>181</v>
      </c>
      <c r="AU139" s="165" t="s">
        <v>82</v>
      </c>
      <c r="AY139" s="14" t="s">
        <v>179</v>
      </c>
      <c r="BE139" s="166">
        <f t="shared" si="3"/>
        <v>0</v>
      </c>
      <c r="BF139" s="166">
        <f t="shared" si="4"/>
        <v>0</v>
      </c>
      <c r="BG139" s="166">
        <f t="shared" si="5"/>
        <v>0</v>
      </c>
      <c r="BH139" s="166">
        <f t="shared" si="6"/>
        <v>0</v>
      </c>
      <c r="BI139" s="166">
        <f t="shared" si="7"/>
        <v>0</v>
      </c>
      <c r="BJ139" s="14" t="s">
        <v>82</v>
      </c>
      <c r="BK139" s="166">
        <f t="shared" si="8"/>
        <v>0</v>
      </c>
      <c r="BL139" s="14" t="s">
        <v>185</v>
      </c>
      <c r="BM139" s="165" t="s">
        <v>205</v>
      </c>
    </row>
    <row r="140" spans="1:65" s="2" customFormat="1" ht="33" customHeight="1">
      <c r="A140" s="29"/>
      <c r="B140" s="152"/>
      <c r="C140" s="153" t="s">
        <v>207</v>
      </c>
      <c r="D140" s="153" t="s">
        <v>181</v>
      </c>
      <c r="E140" s="154" t="s">
        <v>995</v>
      </c>
      <c r="F140" s="155" t="s">
        <v>996</v>
      </c>
      <c r="G140" s="156" t="s">
        <v>196</v>
      </c>
      <c r="H140" s="157">
        <v>44.697000000000003</v>
      </c>
      <c r="I140" s="158"/>
      <c r="J140" s="151">
        <v>0</v>
      </c>
      <c r="K140" s="160"/>
      <c r="L140" s="30"/>
      <c r="M140" s="161" t="s">
        <v>1</v>
      </c>
      <c r="N140" s="162" t="s">
        <v>35</v>
      </c>
      <c r="O140" s="58"/>
      <c r="P140" s="163">
        <f t="shared" si="0"/>
        <v>0</v>
      </c>
      <c r="Q140" s="163">
        <v>0</v>
      </c>
      <c r="R140" s="163">
        <f t="shared" si="1"/>
        <v>0</v>
      </c>
      <c r="S140" s="163">
        <v>0</v>
      </c>
      <c r="T140" s="164">
        <f t="shared" si="2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185</v>
      </c>
      <c r="AT140" s="165" t="s">
        <v>181</v>
      </c>
      <c r="AU140" s="165" t="s">
        <v>82</v>
      </c>
      <c r="AY140" s="14" t="s">
        <v>179</v>
      </c>
      <c r="BE140" s="166">
        <f t="shared" si="3"/>
        <v>0</v>
      </c>
      <c r="BF140" s="166">
        <f t="shared" si="4"/>
        <v>0</v>
      </c>
      <c r="BG140" s="166">
        <f t="shared" si="5"/>
        <v>0</v>
      </c>
      <c r="BH140" s="166">
        <f t="shared" si="6"/>
        <v>0</v>
      </c>
      <c r="BI140" s="166">
        <f t="shared" si="7"/>
        <v>0</v>
      </c>
      <c r="BJ140" s="14" t="s">
        <v>82</v>
      </c>
      <c r="BK140" s="166">
        <f t="shared" si="8"/>
        <v>0</v>
      </c>
      <c r="BL140" s="14" t="s">
        <v>185</v>
      </c>
      <c r="BM140" s="165" t="s">
        <v>210</v>
      </c>
    </row>
    <row r="141" spans="1:65" s="2" customFormat="1" ht="24.2" customHeight="1">
      <c r="A141" s="29"/>
      <c r="B141" s="152"/>
      <c r="C141" s="153" t="s">
        <v>197</v>
      </c>
      <c r="D141" s="153" t="s">
        <v>181</v>
      </c>
      <c r="E141" s="154" t="s">
        <v>2837</v>
      </c>
      <c r="F141" s="155" t="s">
        <v>2838</v>
      </c>
      <c r="G141" s="156" t="s">
        <v>196</v>
      </c>
      <c r="H141" s="157">
        <v>44.697000000000003</v>
      </c>
      <c r="I141" s="158"/>
      <c r="J141" s="151">
        <v>0</v>
      </c>
      <c r="K141" s="160"/>
      <c r="L141" s="30"/>
      <c r="M141" s="161" t="s">
        <v>1</v>
      </c>
      <c r="N141" s="162" t="s">
        <v>35</v>
      </c>
      <c r="O141" s="58"/>
      <c r="P141" s="163">
        <f t="shared" si="0"/>
        <v>0</v>
      </c>
      <c r="Q141" s="163">
        <v>0</v>
      </c>
      <c r="R141" s="163">
        <f t="shared" si="1"/>
        <v>0</v>
      </c>
      <c r="S141" s="163">
        <v>0</v>
      </c>
      <c r="T141" s="164">
        <f t="shared" si="2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5" t="s">
        <v>185</v>
      </c>
      <c r="AT141" s="165" t="s">
        <v>181</v>
      </c>
      <c r="AU141" s="165" t="s">
        <v>82</v>
      </c>
      <c r="AY141" s="14" t="s">
        <v>179</v>
      </c>
      <c r="BE141" s="166">
        <f t="shared" si="3"/>
        <v>0</v>
      </c>
      <c r="BF141" s="166">
        <f t="shared" si="4"/>
        <v>0</v>
      </c>
      <c r="BG141" s="166">
        <f t="shared" si="5"/>
        <v>0</v>
      </c>
      <c r="BH141" s="166">
        <f t="shared" si="6"/>
        <v>0</v>
      </c>
      <c r="BI141" s="166">
        <f t="shared" si="7"/>
        <v>0</v>
      </c>
      <c r="BJ141" s="14" t="s">
        <v>82</v>
      </c>
      <c r="BK141" s="166">
        <f t="shared" si="8"/>
        <v>0</v>
      </c>
      <c r="BL141" s="14" t="s">
        <v>185</v>
      </c>
      <c r="BM141" s="165" t="s">
        <v>213</v>
      </c>
    </row>
    <row r="142" spans="1:65" s="2" customFormat="1" ht="24.2" customHeight="1">
      <c r="A142" s="29"/>
      <c r="B142" s="152"/>
      <c r="C142" s="153" t="s">
        <v>214</v>
      </c>
      <c r="D142" s="153" t="s">
        <v>181</v>
      </c>
      <c r="E142" s="154" t="s">
        <v>999</v>
      </c>
      <c r="F142" s="155" t="s">
        <v>1000</v>
      </c>
      <c r="G142" s="156" t="s">
        <v>196</v>
      </c>
      <c r="H142" s="157">
        <v>44.697000000000003</v>
      </c>
      <c r="I142" s="158"/>
      <c r="J142" s="151">
        <v>0</v>
      </c>
      <c r="K142" s="160"/>
      <c r="L142" s="30"/>
      <c r="M142" s="161" t="s">
        <v>1</v>
      </c>
      <c r="N142" s="162" t="s">
        <v>35</v>
      </c>
      <c r="O142" s="58"/>
      <c r="P142" s="163">
        <f t="shared" si="0"/>
        <v>0</v>
      </c>
      <c r="Q142" s="163">
        <v>0</v>
      </c>
      <c r="R142" s="163">
        <f t="shared" si="1"/>
        <v>0</v>
      </c>
      <c r="S142" s="163">
        <v>0</v>
      </c>
      <c r="T142" s="164">
        <f t="shared" si="2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5" t="s">
        <v>185</v>
      </c>
      <c r="AT142" s="165" t="s">
        <v>181</v>
      </c>
      <c r="AU142" s="165" t="s">
        <v>82</v>
      </c>
      <c r="AY142" s="14" t="s">
        <v>179</v>
      </c>
      <c r="BE142" s="166">
        <f t="shared" si="3"/>
        <v>0</v>
      </c>
      <c r="BF142" s="166">
        <f t="shared" si="4"/>
        <v>0</v>
      </c>
      <c r="BG142" s="166">
        <f t="shared" si="5"/>
        <v>0</v>
      </c>
      <c r="BH142" s="166">
        <f t="shared" si="6"/>
        <v>0</v>
      </c>
      <c r="BI142" s="166">
        <f t="shared" si="7"/>
        <v>0</v>
      </c>
      <c r="BJ142" s="14" t="s">
        <v>82</v>
      </c>
      <c r="BK142" s="166">
        <f t="shared" si="8"/>
        <v>0</v>
      </c>
      <c r="BL142" s="14" t="s">
        <v>185</v>
      </c>
      <c r="BM142" s="165" t="s">
        <v>218</v>
      </c>
    </row>
    <row r="143" spans="1:65" s="2" customFormat="1" ht="16.5" customHeight="1">
      <c r="A143" s="29"/>
      <c r="B143" s="152"/>
      <c r="C143" s="153" t="s">
        <v>201</v>
      </c>
      <c r="D143" s="153" t="s">
        <v>181</v>
      </c>
      <c r="E143" s="154" t="s">
        <v>993</v>
      </c>
      <c r="F143" s="155" t="s">
        <v>994</v>
      </c>
      <c r="G143" s="156" t="s">
        <v>196</v>
      </c>
      <c r="H143" s="157">
        <v>44.697000000000003</v>
      </c>
      <c r="I143" s="158"/>
      <c r="J143" s="151">
        <v>0</v>
      </c>
      <c r="K143" s="160"/>
      <c r="L143" s="30"/>
      <c r="M143" s="161" t="s">
        <v>1</v>
      </c>
      <c r="N143" s="162" t="s">
        <v>35</v>
      </c>
      <c r="O143" s="58"/>
      <c r="P143" s="163">
        <f t="shared" si="0"/>
        <v>0</v>
      </c>
      <c r="Q143" s="163">
        <v>0</v>
      </c>
      <c r="R143" s="163">
        <f t="shared" si="1"/>
        <v>0</v>
      </c>
      <c r="S143" s="163">
        <v>0</v>
      </c>
      <c r="T143" s="164">
        <f t="shared" si="2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185</v>
      </c>
      <c r="AT143" s="165" t="s">
        <v>181</v>
      </c>
      <c r="AU143" s="165" t="s">
        <v>82</v>
      </c>
      <c r="AY143" s="14" t="s">
        <v>179</v>
      </c>
      <c r="BE143" s="166">
        <f t="shared" si="3"/>
        <v>0</v>
      </c>
      <c r="BF143" s="166">
        <f t="shared" si="4"/>
        <v>0</v>
      </c>
      <c r="BG143" s="166">
        <f t="shared" si="5"/>
        <v>0</v>
      </c>
      <c r="BH143" s="166">
        <f t="shared" si="6"/>
        <v>0</v>
      </c>
      <c r="BI143" s="166">
        <f t="shared" si="7"/>
        <v>0</v>
      </c>
      <c r="BJ143" s="14" t="s">
        <v>82</v>
      </c>
      <c r="BK143" s="166">
        <f t="shared" si="8"/>
        <v>0</v>
      </c>
      <c r="BL143" s="14" t="s">
        <v>185</v>
      </c>
      <c r="BM143" s="165" t="s">
        <v>221</v>
      </c>
    </row>
    <row r="144" spans="1:65" s="2" customFormat="1" ht="24.2" customHeight="1">
      <c r="A144" s="29"/>
      <c r="B144" s="152"/>
      <c r="C144" s="153" t="s">
        <v>222</v>
      </c>
      <c r="D144" s="153" t="s">
        <v>181</v>
      </c>
      <c r="E144" s="154" t="s">
        <v>189</v>
      </c>
      <c r="F144" s="155" t="s">
        <v>2839</v>
      </c>
      <c r="G144" s="156" t="s">
        <v>191</v>
      </c>
      <c r="H144" s="157">
        <v>74.644000000000005</v>
      </c>
      <c r="I144" s="158"/>
      <c r="J144" s="151">
        <v>0</v>
      </c>
      <c r="K144" s="160"/>
      <c r="L144" s="30"/>
      <c r="M144" s="161" t="s">
        <v>1</v>
      </c>
      <c r="N144" s="162" t="s">
        <v>35</v>
      </c>
      <c r="O144" s="58"/>
      <c r="P144" s="163">
        <f t="shared" si="0"/>
        <v>0</v>
      </c>
      <c r="Q144" s="163">
        <v>0</v>
      </c>
      <c r="R144" s="163">
        <f t="shared" si="1"/>
        <v>0</v>
      </c>
      <c r="S144" s="163">
        <v>0</v>
      </c>
      <c r="T144" s="164">
        <f t="shared" si="2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5" t="s">
        <v>185</v>
      </c>
      <c r="AT144" s="165" t="s">
        <v>181</v>
      </c>
      <c r="AU144" s="165" t="s">
        <v>82</v>
      </c>
      <c r="AY144" s="14" t="s">
        <v>179</v>
      </c>
      <c r="BE144" s="166">
        <f t="shared" si="3"/>
        <v>0</v>
      </c>
      <c r="BF144" s="166">
        <f t="shared" si="4"/>
        <v>0</v>
      </c>
      <c r="BG144" s="166">
        <f t="shared" si="5"/>
        <v>0</v>
      </c>
      <c r="BH144" s="166">
        <f t="shared" si="6"/>
        <v>0</v>
      </c>
      <c r="BI144" s="166">
        <f t="shared" si="7"/>
        <v>0</v>
      </c>
      <c r="BJ144" s="14" t="s">
        <v>82</v>
      </c>
      <c r="BK144" s="166">
        <f t="shared" si="8"/>
        <v>0</v>
      </c>
      <c r="BL144" s="14" t="s">
        <v>185</v>
      </c>
      <c r="BM144" s="165" t="s">
        <v>225</v>
      </c>
    </row>
    <row r="145" spans="1:65" s="2" customFormat="1" ht="24.2" customHeight="1">
      <c r="A145" s="29"/>
      <c r="B145" s="152"/>
      <c r="C145" s="153" t="s">
        <v>205</v>
      </c>
      <c r="D145" s="153" t="s">
        <v>181</v>
      </c>
      <c r="E145" s="154" t="s">
        <v>2840</v>
      </c>
      <c r="F145" s="155" t="s">
        <v>2841</v>
      </c>
      <c r="G145" s="156" t="s">
        <v>196</v>
      </c>
      <c r="H145" s="157">
        <v>31.765999999999998</v>
      </c>
      <c r="I145" s="158"/>
      <c r="J145" s="151">
        <v>0</v>
      </c>
      <c r="K145" s="160"/>
      <c r="L145" s="30"/>
      <c r="M145" s="161" t="s">
        <v>1</v>
      </c>
      <c r="N145" s="162" t="s">
        <v>35</v>
      </c>
      <c r="O145" s="58"/>
      <c r="P145" s="163">
        <f t="shared" si="0"/>
        <v>0</v>
      </c>
      <c r="Q145" s="163">
        <v>0</v>
      </c>
      <c r="R145" s="163">
        <f t="shared" si="1"/>
        <v>0</v>
      </c>
      <c r="S145" s="163">
        <v>0</v>
      </c>
      <c r="T145" s="164">
        <f t="shared" si="2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5" t="s">
        <v>185</v>
      </c>
      <c r="AT145" s="165" t="s">
        <v>181</v>
      </c>
      <c r="AU145" s="165" t="s">
        <v>82</v>
      </c>
      <c r="AY145" s="14" t="s">
        <v>179</v>
      </c>
      <c r="BE145" s="166">
        <f t="shared" si="3"/>
        <v>0</v>
      </c>
      <c r="BF145" s="166">
        <f t="shared" si="4"/>
        <v>0</v>
      </c>
      <c r="BG145" s="166">
        <f t="shared" si="5"/>
        <v>0</v>
      </c>
      <c r="BH145" s="166">
        <f t="shared" si="6"/>
        <v>0</v>
      </c>
      <c r="BI145" s="166">
        <f t="shared" si="7"/>
        <v>0</v>
      </c>
      <c r="BJ145" s="14" t="s">
        <v>82</v>
      </c>
      <c r="BK145" s="166">
        <f t="shared" si="8"/>
        <v>0</v>
      </c>
      <c r="BL145" s="14" t="s">
        <v>185</v>
      </c>
      <c r="BM145" s="165" t="s">
        <v>228</v>
      </c>
    </row>
    <row r="146" spans="1:65" s="2" customFormat="1" ht="24.2" customHeight="1">
      <c r="A146" s="29"/>
      <c r="B146" s="152"/>
      <c r="C146" s="153" t="s">
        <v>229</v>
      </c>
      <c r="D146" s="153" t="s">
        <v>181</v>
      </c>
      <c r="E146" s="154" t="s">
        <v>2842</v>
      </c>
      <c r="F146" s="155" t="s">
        <v>1004</v>
      </c>
      <c r="G146" s="156" t="s">
        <v>196</v>
      </c>
      <c r="H146" s="157">
        <v>22.571999999999999</v>
      </c>
      <c r="I146" s="158"/>
      <c r="J146" s="151">
        <v>0</v>
      </c>
      <c r="K146" s="160"/>
      <c r="L146" s="30"/>
      <c r="M146" s="161" t="s">
        <v>1</v>
      </c>
      <c r="N146" s="162" t="s">
        <v>35</v>
      </c>
      <c r="O146" s="58"/>
      <c r="P146" s="163">
        <f t="shared" si="0"/>
        <v>0</v>
      </c>
      <c r="Q146" s="163">
        <v>0</v>
      </c>
      <c r="R146" s="163">
        <f t="shared" si="1"/>
        <v>0</v>
      </c>
      <c r="S146" s="163">
        <v>0</v>
      </c>
      <c r="T146" s="164">
        <f t="shared" si="2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5" t="s">
        <v>185</v>
      </c>
      <c r="AT146" s="165" t="s">
        <v>181</v>
      </c>
      <c r="AU146" s="165" t="s">
        <v>82</v>
      </c>
      <c r="AY146" s="14" t="s">
        <v>179</v>
      </c>
      <c r="BE146" s="166">
        <f t="shared" si="3"/>
        <v>0</v>
      </c>
      <c r="BF146" s="166">
        <f t="shared" si="4"/>
        <v>0</v>
      </c>
      <c r="BG146" s="166">
        <f t="shared" si="5"/>
        <v>0</v>
      </c>
      <c r="BH146" s="166">
        <f t="shared" si="6"/>
        <v>0</v>
      </c>
      <c r="BI146" s="166">
        <f t="shared" si="7"/>
        <v>0</v>
      </c>
      <c r="BJ146" s="14" t="s">
        <v>82</v>
      </c>
      <c r="BK146" s="166">
        <f t="shared" si="8"/>
        <v>0</v>
      </c>
      <c r="BL146" s="14" t="s">
        <v>185</v>
      </c>
      <c r="BM146" s="165" t="s">
        <v>232</v>
      </c>
    </row>
    <row r="147" spans="1:65" s="2" customFormat="1" ht="16.5" customHeight="1">
      <c r="A147" s="29"/>
      <c r="B147" s="152"/>
      <c r="C147" s="167" t="s">
        <v>210</v>
      </c>
      <c r="D147" s="167" t="s">
        <v>202</v>
      </c>
      <c r="E147" s="168" t="s">
        <v>2843</v>
      </c>
      <c r="F147" s="169" t="s">
        <v>2844</v>
      </c>
      <c r="G147" s="170" t="s">
        <v>191</v>
      </c>
      <c r="H147" s="171">
        <v>78.704999999999998</v>
      </c>
      <c r="I147" s="172"/>
      <c r="J147" s="151">
        <v>0</v>
      </c>
      <c r="K147" s="174"/>
      <c r="L147" s="175"/>
      <c r="M147" s="176" t="s">
        <v>1</v>
      </c>
      <c r="N147" s="177" t="s">
        <v>35</v>
      </c>
      <c r="O147" s="58"/>
      <c r="P147" s="163">
        <f t="shared" si="0"/>
        <v>0</v>
      </c>
      <c r="Q147" s="163">
        <v>0</v>
      </c>
      <c r="R147" s="163">
        <f t="shared" si="1"/>
        <v>0</v>
      </c>
      <c r="S147" s="163">
        <v>0</v>
      </c>
      <c r="T147" s="164">
        <f t="shared" si="2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5" t="s">
        <v>197</v>
      </c>
      <c r="AT147" s="165" t="s">
        <v>202</v>
      </c>
      <c r="AU147" s="165" t="s">
        <v>82</v>
      </c>
      <c r="AY147" s="14" t="s">
        <v>179</v>
      </c>
      <c r="BE147" s="166">
        <f t="shared" si="3"/>
        <v>0</v>
      </c>
      <c r="BF147" s="166">
        <f t="shared" si="4"/>
        <v>0</v>
      </c>
      <c r="BG147" s="166">
        <f t="shared" si="5"/>
        <v>0</v>
      </c>
      <c r="BH147" s="166">
        <f t="shared" si="6"/>
        <v>0</v>
      </c>
      <c r="BI147" s="166">
        <f t="shared" si="7"/>
        <v>0</v>
      </c>
      <c r="BJ147" s="14" t="s">
        <v>82</v>
      </c>
      <c r="BK147" s="166">
        <f t="shared" si="8"/>
        <v>0</v>
      </c>
      <c r="BL147" s="14" t="s">
        <v>185</v>
      </c>
      <c r="BM147" s="165" t="s">
        <v>235</v>
      </c>
    </row>
    <row r="148" spans="1:65" s="12" customFormat="1" ht="22.9" customHeight="1">
      <c r="B148" s="139"/>
      <c r="D148" s="140" t="s">
        <v>68</v>
      </c>
      <c r="E148" s="150" t="s">
        <v>185</v>
      </c>
      <c r="F148" s="150" t="s">
        <v>1007</v>
      </c>
      <c r="I148" s="142"/>
      <c r="J148" s="151">
        <v>0</v>
      </c>
      <c r="L148" s="139"/>
      <c r="M148" s="144"/>
      <c r="N148" s="145"/>
      <c r="O148" s="145"/>
      <c r="P148" s="146">
        <f>SUM(P149:P150)</f>
        <v>0</v>
      </c>
      <c r="Q148" s="145"/>
      <c r="R148" s="146">
        <f>SUM(R149:R150)</f>
        <v>1.773069999999999</v>
      </c>
      <c r="S148" s="145"/>
      <c r="T148" s="147">
        <f>SUM(T149:T150)</f>
        <v>0</v>
      </c>
      <c r="AR148" s="140" t="s">
        <v>76</v>
      </c>
      <c r="AT148" s="148" t="s">
        <v>68</v>
      </c>
      <c r="AU148" s="148" t="s">
        <v>76</v>
      </c>
      <c r="AY148" s="140" t="s">
        <v>179</v>
      </c>
      <c r="BK148" s="149">
        <f>SUM(BK149:BK150)</f>
        <v>0</v>
      </c>
    </row>
    <row r="149" spans="1:65" s="2" customFormat="1" ht="37.9" customHeight="1">
      <c r="A149" s="29"/>
      <c r="B149" s="152"/>
      <c r="C149" s="153" t="s">
        <v>236</v>
      </c>
      <c r="D149" s="153" t="s">
        <v>181</v>
      </c>
      <c r="E149" s="154" t="s">
        <v>2134</v>
      </c>
      <c r="F149" s="155" t="s">
        <v>2135</v>
      </c>
      <c r="G149" s="156" t="s">
        <v>184</v>
      </c>
      <c r="H149" s="157">
        <v>3</v>
      </c>
      <c r="I149" s="158"/>
      <c r="J149" s="151">
        <v>0</v>
      </c>
      <c r="K149" s="160"/>
      <c r="L149" s="30"/>
      <c r="M149" s="161" t="s">
        <v>1</v>
      </c>
      <c r="N149" s="162" t="s">
        <v>35</v>
      </c>
      <c r="O149" s="58"/>
      <c r="P149" s="163">
        <f>O149*H149</f>
        <v>0</v>
      </c>
      <c r="Q149" s="163">
        <v>0.59102333333333301</v>
      </c>
      <c r="R149" s="163">
        <f>Q149*H149</f>
        <v>1.773069999999999</v>
      </c>
      <c r="S149" s="163">
        <v>0</v>
      </c>
      <c r="T149" s="164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5" t="s">
        <v>185</v>
      </c>
      <c r="AT149" s="165" t="s">
        <v>181</v>
      </c>
      <c r="AU149" s="165" t="s">
        <v>82</v>
      </c>
      <c r="AY149" s="14" t="s">
        <v>179</v>
      </c>
      <c r="BE149" s="166">
        <f>IF(N149="základná",J149,0)</f>
        <v>0</v>
      </c>
      <c r="BF149" s="166">
        <f>IF(N149="znížená",J149,0)</f>
        <v>0</v>
      </c>
      <c r="BG149" s="166">
        <f>IF(N149="zákl. prenesená",J149,0)</f>
        <v>0</v>
      </c>
      <c r="BH149" s="166">
        <f>IF(N149="zníž. prenesená",J149,0)</f>
        <v>0</v>
      </c>
      <c r="BI149" s="166">
        <f>IF(N149="nulová",J149,0)</f>
        <v>0</v>
      </c>
      <c r="BJ149" s="14" t="s">
        <v>82</v>
      </c>
      <c r="BK149" s="166">
        <f>ROUND(I149*H149,2)</f>
        <v>0</v>
      </c>
      <c r="BL149" s="14" t="s">
        <v>185</v>
      </c>
      <c r="BM149" s="165" t="s">
        <v>239</v>
      </c>
    </row>
    <row r="150" spans="1:65" s="2" customFormat="1" ht="33" customHeight="1">
      <c r="A150" s="29"/>
      <c r="B150" s="152"/>
      <c r="C150" s="153" t="s">
        <v>213</v>
      </c>
      <c r="D150" s="153" t="s">
        <v>181</v>
      </c>
      <c r="E150" s="154" t="s">
        <v>2845</v>
      </c>
      <c r="F150" s="155" t="s">
        <v>2846</v>
      </c>
      <c r="G150" s="156" t="s">
        <v>196</v>
      </c>
      <c r="H150" s="157">
        <v>5.94</v>
      </c>
      <c r="I150" s="158"/>
      <c r="J150" s="151">
        <v>0</v>
      </c>
      <c r="K150" s="160"/>
      <c r="L150" s="30"/>
      <c r="M150" s="161" t="s">
        <v>1</v>
      </c>
      <c r="N150" s="162" t="s">
        <v>35</v>
      </c>
      <c r="O150" s="58"/>
      <c r="P150" s="163">
        <f>O150*H150</f>
        <v>0</v>
      </c>
      <c r="Q150" s="163">
        <v>0</v>
      </c>
      <c r="R150" s="163">
        <f>Q150*H150</f>
        <v>0</v>
      </c>
      <c r="S150" s="163">
        <v>0</v>
      </c>
      <c r="T150" s="164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5" t="s">
        <v>185</v>
      </c>
      <c r="AT150" s="165" t="s">
        <v>181</v>
      </c>
      <c r="AU150" s="165" t="s">
        <v>82</v>
      </c>
      <c r="AY150" s="14" t="s">
        <v>179</v>
      </c>
      <c r="BE150" s="166">
        <f>IF(N150="základná",J150,0)</f>
        <v>0</v>
      </c>
      <c r="BF150" s="166">
        <f>IF(N150="znížená",J150,0)</f>
        <v>0</v>
      </c>
      <c r="BG150" s="166">
        <f>IF(N150="zákl. prenesená",J150,0)</f>
        <v>0</v>
      </c>
      <c r="BH150" s="166">
        <f>IF(N150="zníž. prenesená",J150,0)</f>
        <v>0</v>
      </c>
      <c r="BI150" s="166">
        <f>IF(N150="nulová",J150,0)</f>
        <v>0</v>
      </c>
      <c r="BJ150" s="14" t="s">
        <v>82</v>
      </c>
      <c r="BK150" s="166">
        <f>ROUND(I150*H150,2)</f>
        <v>0</v>
      </c>
      <c r="BL150" s="14" t="s">
        <v>185</v>
      </c>
      <c r="BM150" s="165" t="s">
        <v>242</v>
      </c>
    </row>
    <row r="151" spans="1:65" s="12" customFormat="1" ht="22.9" customHeight="1">
      <c r="B151" s="139"/>
      <c r="D151" s="140" t="s">
        <v>68</v>
      </c>
      <c r="E151" s="150" t="s">
        <v>198</v>
      </c>
      <c r="F151" s="150" t="s">
        <v>2847</v>
      </c>
      <c r="I151" s="142"/>
      <c r="J151" s="151">
        <v>0</v>
      </c>
      <c r="L151" s="139"/>
      <c r="M151" s="144"/>
      <c r="N151" s="145"/>
      <c r="O151" s="145"/>
      <c r="P151" s="146">
        <f>SUM(P152:P155)</f>
        <v>0</v>
      </c>
      <c r="Q151" s="145"/>
      <c r="R151" s="146">
        <f>SUM(R152:R155)</f>
        <v>6.6316300000000217</v>
      </c>
      <c r="S151" s="145"/>
      <c r="T151" s="147">
        <f>SUM(T152:T155)</f>
        <v>0</v>
      </c>
      <c r="AR151" s="140" t="s">
        <v>76</v>
      </c>
      <c r="AT151" s="148" t="s">
        <v>68</v>
      </c>
      <c r="AU151" s="148" t="s">
        <v>76</v>
      </c>
      <c r="AY151" s="140" t="s">
        <v>179</v>
      </c>
      <c r="BK151" s="149">
        <f>SUM(BK152:BK155)</f>
        <v>0</v>
      </c>
    </row>
    <row r="152" spans="1:65" s="2" customFormat="1" ht="33" customHeight="1">
      <c r="A152" s="29"/>
      <c r="B152" s="152"/>
      <c r="C152" s="153" t="s">
        <v>243</v>
      </c>
      <c r="D152" s="153" t="s">
        <v>181</v>
      </c>
      <c r="E152" s="154" t="s">
        <v>2848</v>
      </c>
      <c r="F152" s="155" t="s">
        <v>2849</v>
      </c>
      <c r="G152" s="156" t="s">
        <v>184</v>
      </c>
      <c r="H152" s="157">
        <v>45.15</v>
      </c>
      <c r="I152" s="158"/>
      <c r="J152" s="151">
        <v>0</v>
      </c>
      <c r="K152" s="160"/>
      <c r="L152" s="30"/>
      <c r="M152" s="161" t="s">
        <v>1</v>
      </c>
      <c r="N152" s="162" t="s">
        <v>35</v>
      </c>
      <c r="O152" s="58"/>
      <c r="P152" s="163">
        <f>O152*H152</f>
        <v>0</v>
      </c>
      <c r="Q152" s="163">
        <v>0</v>
      </c>
      <c r="R152" s="163">
        <f>Q152*H152</f>
        <v>0</v>
      </c>
      <c r="S152" s="163">
        <v>0</v>
      </c>
      <c r="T152" s="164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5" t="s">
        <v>185</v>
      </c>
      <c r="AT152" s="165" t="s">
        <v>181</v>
      </c>
      <c r="AU152" s="165" t="s">
        <v>82</v>
      </c>
      <c r="AY152" s="14" t="s">
        <v>179</v>
      </c>
      <c r="BE152" s="166">
        <f>IF(N152="základná",J152,0)</f>
        <v>0</v>
      </c>
      <c r="BF152" s="166">
        <f>IF(N152="znížená",J152,0)</f>
        <v>0</v>
      </c>
      <c r="BG152" s="166">
        <f>IF(N152="zákl. prenesená",J152,0)</f>
        <v>0</v>
      </c>
      <c r="BH152" s="166">
        <f>IF(N152="zníž. prenesená",J152,0)</f>
        <v>0</v>
      </c>
      <c r="BI152" s="166">
        <f>IF(N152="nulová",J152,0)</f>
        <v>0</v>
      </c>
      <c r="BJ152" s="14" t="s">
        <v>82</v>
      </c>
      <c r="BK152" s="166">
        <f>ROUND(I152*H152,2)</f>
        <v>0</v>
      </c>
      <c r="BL152" s="14" t="s">
        <v>185</v>
      </c>
      <c r="BM152" s="165" t="s">
        <v>246</v>
      </c>
    </row>
    <row r="153" spans="1:65" s="2" customFormat="1" ht="24.2" customHeight="1">
      <c r="A153" s="29"/>
      <c r="B153" s="152"/>
      <c r="C153" s="153" t="s">
        <v>218</v>
      </c>
      <c r="D153" s="153" t="s">
        <v>181</v>
      </c>
      <c r="E153" s="154" t="s">
        <v>2850</v>
      </c>
      <c r="F153" s="155" t="s">
        <v>2851</v>
      </c>
      <c r="G153" s="156" t="s">
        <v>184</v>
      </c>
      <c r="H153" s="157">
        <v>45.15</v>
      </c>
      <c r="I153" s="158"/>
      <c r="J153" s="151">
        <v>0</v>
      </c>
      <c r="K153" s="160"/>
      <c r="L153" s="30"/>
      <c r="M153" s="161" t="s">
        <v>1</v>
      </c>
      <c r="N153" s="162" t="s">
        <v>35</v>
      </c>
      <c r="O153" s="58"/>
      <c r="P153" s="163">
        <f>O153*H153</f>
        <v>0</v>
      </c>
      <c r="Q153" s="163">
        <v>0</v>
      </c>
      <c r="R153" s="163">
        <f>Q153*H153</f>
        <v>0</v>
      </c>
      <c r="S153" s="163">
        <v>0</v>
      </c>
      <c r="T153" s="164">
        <f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5" t="s">
        <v>185</v>
      </c>
      <c r="AT153" s="165" t="s">
        <v>181</v>
      </c>
      <c r="AU153" s="165" t="s">
        <v>82</v>
      </c>
      <c r="AY153" s="14" t="s">
        <v>179</v>
      </c>
      <c r="BE153" s="166">
        <f>IF(N153="základná",J153,0)</f>
        <v>0</v>
      </c>
      <c r="BF153" s="166">
        <f>IF(N153="znížená",J153,0)</f>
        <v>0</v>
      </c>
      <c r="BG153" s="166">
        <f>IF(N153="zákl. prenesená",J153,0)</f>
        <v>0</v>
      </c>
      <c r="BH153" s="166">
        <f>IF(N153="zníž. prenesená",J153,0)</f>
        <v>0</v>
      </c>
      <c r="BI153" s="166">
        <f>IF(N153="nulová",J153,0)</f>
        <v>0</v>
      </c>
      <c r="BJ153" s="14" t="s">
        <v>82</v>
      </c>
      <c r="BK153" s="166">
        <f>ROUND(I153*H153,2)</f>
        <v>0</v>
      </c>
      <c r="BL153" s="14" t="s">
        <v>185</v>
      </c>
      <c r="BM153" s="165" t="s">
        <v>250</v>
      </c>
    </row>
    <row r="154" spans="1:65" s="2" customFormat="1" ht="33" customHeight="1">
      <c r="A154" s="29"/>
      <c r="B154" s="152"/>
      <c r="C154" s="153" t="s">
        <v>251</v>
      </c>
      <c r="D154" s="153" t="s">
        <v>181</v>
      </c>
      <c r="E154" s="154" t="s">
        <v>2852</v>
      </c>
      <c r="F154" s="155" t="s">
        <v>2853</v>
      </c>
      <c r="G154" s="156" t="s">
        <v>184</v>
      </c>
      <c r="H154" s="157">
        <v>45.15</v>
      </c>
      <c r="I154" s="158"/>
      <c r="J154" s="151">
        <v>0</v>
      </c>
      <c r="K154" s="160"/>
      <c r="L154" s="30"/>
      <c r="M154" s="161" t="s">
        <v>1</v>
      </c>
      <c r="N154" s="162" t="s">
        <v>35</v>
      </c>
      <c r="O154" s="58"/>
      <c r="P154" s="163">
        <f>O154*H154</f>
        <v>0</v>
      </c>
      <c r="Q154" s="163">
        <v>0.146879955703212</v>
      </c>
      <c r="R154" s="163">
        <f>Q154*H154</f>
        <v>6.6316300000000217</v>
      </c>
      <c r="S154" s="163">
        <v>0</v>
      </c>
      <c r="T154" s="164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5" t="s">
        <v>185</v>
      </c>
      <c r="AT154" s="165" t="s">
        <v>181</v>
      </c>
      <c r="AU154" s="165" t="s">
        <v>82</v>
      </c>
      <c r="AY154" s="14" t="s">
        <v>179</v>
      </c>
      <c r="BE154" s="166">
        <f>IF(N154="základná",J154,0)</f>
        <v>0</v>
      </c>
      <c r="BF154" s="166">
        <f>IF(N154="znížená",J154,0)</f>
        <v>0</v>
      </c>
      <c r="BG154" s="166">
        <f>IF(N154="zákl. prenesená",J154,0)</f>
        <v>0</v>
      </c>
      <c r="BH154" s="166">
        <f>IF(N154="zníž. prenesená",J154,0)</f>
        <v>0</v>
      </c>
      <c r="BI154" s="166">
        <f>IF(N154="nulová",J154,0)</f>
        <v>0</v>
      </c>
      <c r="BJ154" s="14" t="s">
        <v>82</v>
      </c>
      <c r="BK154" s="166">
        <f>ROUND(I154*H154,2)</f>
        <v>0</v>
      </c>
      <c r="BL154" s="14" t="s">
        <v>185</v>
      </c>
      <c r="BM154" s="165" t="s">
        <v>254</v>
      </c>
    </row>
    <row r="155" spans="1:65" s="2" customFormat="1" ht="33" customHeight="1">
      <c r="A155" s="29"/>
      <c r="B155" s="152"/>
      <c r="C155" s="153" t="s">
        <v>221</v>
      </c>
      <c r="D155" s="153" t="s">
        <v>181</v>
      </c>
      <c r="E155" s="154" t="s">
        <v>2854</v>
      </c>
      <c r="F155" s="155" t="s">
        <v>2855</v>
      </c>
      <c r="G155" s="156" t="s">
        <v>184</v>
      </c>
      <c r="H155" s="157">
        <v>45.15</v>
      </c>
      <c r="I155" s="158"/>
      <c r="J155" s="151">
        <v>0</v>
      </c>
      <c r="K155" s="160"/>
      <c r="L155" s="30"/>
      <c r="M155" s="161" t="s">
        <v>1</v>
      </c>
      <c r="N155" s="162" t="s">
        <v>35</v>
      </c>
      <c r="O155" s="58"/>
      <c r="P155" s="163">
        <f>O155*H155</f>
        <v>0</v>
      </c>
      <c r="Q155" s="163">
        <v>0</v>
      </c>
      <c r="R155" s="163">
        <f>Q155*H155</f>
        <v>0</v>
      </c>
      <c r="S155" s="163">
        <v>0</v>
      </c>
      <c r="T155" s="164">
        <f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5" t="s">
        <v>185</v>
      </c>
      <c r="AT155" s="165" t="s">
        <v>181</v>
      </c>
      <c r="AU155" s="165" t="s">
        <v>82</v>
      </c>
      <c r="AY155" s="14" t="s">
        <v>179</v>
      </c>
      <c r="BE155" s="166">
        <f>IF(N155="základná",J155,0)</f>
        <v>0</v>
      </c>
      <c r="BF155" s="166">
        <f>IF(N155="znížená",J155,0)</f>
        <v>0</v>
      </c>
      <c r="BG155" s="166">
        <f>IF(N155="zákl. prenesená",J155,0)</f>
        <v>0</v>
      </c>
      <c r="BH155" s="166">
        <f>IF(N155="zníž. prenesená",J155,0)</f>
        <v>0</v>
      </c>
      <c r="BI155" s="166">
        <f>IF(N155="nulová",J155,0)</f>
        <v>0</v>
      </c>
      <c r="BJ155" s="14" t="s">
        <v>82</v>
      </c>
      <c r="BK155" s="166">
        <f>ROUND(I155*H155,2)</f>
        <v>0</v>
      </c>
      <c r="BL155" s="14" t="s">
        <v>185</v>
      </c>
      <c r="BM155" s="165" t="s">
        <v>257</v>
      </c>
    </row>
    <row r="156" spans="1:65" s="12" customFormat="1" ht="22.9" customHeight="1">
      <c r="B156" s="139"/>
      <c r="D156" s="140" t="s">
        <v>68</v>
      </c>
      <c r="E156" s="150" t="s">
        <v>197</v>
      </c>
      <c r="F156" s="150" t="s">
        <v>2856</v>
      </c>
      <c r="I156" s="142"/>
      <c r="J156" s="151">
        <v>0</v>
      </c>
      <c r="L156" s="139"/>
      <c r="M156" s="144"/>
      <c r="N156" s="145"/>
      <c r="O156" s="145"/>
      <c r="P156" s="146">
        <f>SUM(P157:P168)</f>
        <v>0</v>
      </c>
      <c r="Q156" s="145"/>
      <c r="R156" s="146">
        <f>SUM(R157:R168)</f>
        <v>5.3839999999999986</v>
      </c>
      <c r="S156" s="145"/>
      <c r="T156" s="147">
        <f>SUM(T157:T168)</f>
        <v>0</v>
      </c>
      <c r="AR156" s="140" t="s">
        <v>76</v>
      </c>
      <c r="AT156" s="148" t="s">
        <v>68</v>
      </c>
      <c r="AU156" s="148" t="s">
        <v>76</v>
      </c>
      <c r="AY156" s="140" t="s">
        <v>179</v>
      </c>
      <c r="BK156" s="149">
        <f>SUM(BK157:BK168)</f>
        <v>0</v>
      </c>
    </row>
    <row r="157" spans="1:65" s="2" customFormat="1" ht="37.9" customHeight="1">
      <c r="A157" s="29"/>
      <c r="B157" s="152"/>
      <c r="C157" s="153" t="s">
        <v>258</v>
      </c>
      <c r="D157" s="153" t="s">
        <v>181</v>
      </c>
      <c r="E157" s="154" t="s">
        <v>2857</v>
      </c>
      <c r="F157" s="155" t="s">
        <v>2858</v>
      </c>
      <c r="G157" s="156" t="s">
        <v>293</v>
      </c>
      <c r="H157" s="157">
        <v>86</v>
      </c>
      <c r="I157" s="158"/>
      <c r="J157" s="151">
        <v>0</v>
      </c>
      <c r="K157" s="160"/>
      <c r="L157" s="30"/>
      <c r="M157" s="161" t="s">
        <v>1</v>
      </c>
      <c r="N157" s="162" t="s">
        <v>35</v>
      </c>
      <c r="O157" s="58"/>
      <c r="P157" s="163">
        <f t="shared" ref="P157:P168" si="9">O157*H157</f>
        <v>0</v>
      </c>
      <c r="Q157" s="163">
        <v>4.0453488372093E-3</v>
      </c>
      <c r="R157" s="163">
        <f t="shared" ref="R157:R168" si="10">Q157*H157</f>
        <v>0.34789999999999982</v>
      </c>
      <c r="S157" s="163">
        <v>0</v>
      </c>
      <c r="T157" s="164">
        <f t="shared" ref="T157:T168" si="11"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5" t="s">
        <v>185</v>
      </c>
      <c r="AT157" s="165" t="s">
        <v>181</v>
      </c>
      <c r="AU157" s="165" t="s">
        <v>82</v>
      </c>
      <c r="AY157" s="14" t="s">
        <v>179</v>
      </c>
      <c r="BE157" s="166">
        <f t="shared" ref="BE157:BE168" si="12">IF(N157="základná",J157,0)</f>
        <v>0</v>
      </c>
      <c r="BF157" s="166">
        <f t="shared" ref="BF157:BF168" si="13">IF(N157="znížená",J157,0)</f>
        <v>0</v>
      </c>
      <c r="BG157" s="166">
        <f t="shared" ref="BG157:BG168" si="14">IF(N157="zákl. prenesená",J157,0)</f>
        <v>0</v>
      </c>
      <c r="BH157" s="166">
        <f t="shared" ref="BH157:BH168" si="15">IF(N157="zníž. prenesená",J157,0)</f>
        <v>0</v>
      </c>
      <c r="BI157" s="166">
        <f t="shared" ref="BI157:BI168" si="16">IF(N157="nulová",J157,0)</f>
        <v>0</v>
      </c>
      <c r="BJ157" s="14" t="s">
        <v>82</v>
      </c>
      <c r="BK157" s="166">
        <f t="shared" ref="BK157:BK168" si="17">ROUND(I157*H157,2)</f>
        <v>0</v>
      </c>
      <c r="BL157" s="14" t="s">
        <v>185</v>
      </c>
      <c r="BM157" s="165" t="s">
        <v>261</v>
      </c>
    </row>
    <row r="158" spans="1:65" s="2" customFormat="1" ht="55.5" customHeight="1">
      <c r="A158" s="29"/>
      <c r="B158" s="152"/>
      <c r="C158" s="167" t="s">
        <v>225</v>
      </c>
      <c r="D158" s="167" t="s">
        <v>202</v>
      </c>
      <c r="E158" s="168" t="s">
        <v>2859</v>
      </c>
      <c r="F158" s="338" t="s">
        <v>3476</v>
      </c>
      <c r="G158" s="170" t="s">
        <v>293</v>
      </c>
      <c r="H158" s="171">
        <v>66</v>
      </c>
      <c r="I158" s="172"/>
      <c r="J158" s="151">
        <v>0</v>
      </c>
      <c r="K158" s="174"/>
      <c r="L158" s="175"/>
      <c r="M158" s="176" t="s">
        <v>1</v>
      </c>
      <c r="N158" s="177" t="s">
        <v>35</v>
      </c>
      <c r="O158" s="58"/>
      <c r="P158" s="163">
        <f t="shared" si="9"/>
        <v>0</v>
      </c>
      <c r="Q158" s="163">
        <v>9.8700000000000003E-3</v>
      </c>
      <c r="R158" s="163">
        <f t="shared" si="10"/>
        <v>0.65142</v>
      </c>
      <c r="S158" s="163">
        <v>0</v>
      </c>
      <c r="T158" s="164">
        <f t="shared" si="11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5" t="s">
        <v>197</v>
      </c>
      <c r="AT158" s="165" t="s">
        <v>202</v>
      </c>
      <c r="AU158" s="165" t="s">
        <v>82</v>
      </c>
      <c r="AY158" s="14" t="s">
        <v>179</v>
      </c>
      <c r="BE158" s="166">
        <f t="shared" si="12"/>
        <v>0</v>
      </c>
      <c r="BF158" s="166">
        <f t="shared" si="13"/>
        <v>0</v>
      </c>
      <c r="BG158" s="166">
        <f t="shared" si="14"/>
        <v>0</v>
      </c>
      <c r="BH158" s="166">
        <f t="shared" si="15"/>
        <v>0</v>
      </c>
      <c r="BI158" s="166">
        <f t="shared" si="16"/>
        <v>0</v>
      </c>
      <c r="BJ158" s="14" t="s">
        <v>82</v>
      </c>
      <c r="BK158" s="166">
        <f t="shared" si="17"/>
        <v>0</v>
      </c>
      <c r="BL158" s="14" t="s">
        <v>185</v>
      </c>
      <c r="BM158" s="165" t="s">
        <v>265</v>
      </c>
    </row>
    <row r="159" spans="1:65" s="2" customFormat="1" ht="44.25" customHeight="1">
      <c r="A159" s="29"/>
      <c r="B159" s="152"/>
      <c r="C159" s="153" t="s">
        <v>7</v>
      </c>
      <c r="D159" s="153" t="s">
        <v>181</v>
      </c>
      <c r="E159" s="154" t="s">
        <v>2860</v>
      </c>
      <c r="F159" s="155" t="s">
        <v>2861</v>
      </c>
      <c r="G159" s="156" t="s">
        <v>217</v>
      </c>
      <c r="H159" s="157">
        <v>22</v>
      </c>
      <c r="I159" s="158"/>
      <c r="J159" s="151">
        <v>0</v>
      </c>
      <c r="K159" s="160"/>
      <c r="L159" s="30"/>
      <c r="M159" s="161" t="s">
        <v>1</v>
      </c>
      <c r="N159" s="162" t="s">
        <v>35</v>
      </c>
      <c r="O159" s="58"/>
      <c r="P159" s="163">
        <f t="shared" si="9"/>
        <v>0</v>
      </c>
      <c r="Q159" s="163">
        <v>1.60459090909091E-2</v>
      </c>
      <c r="R159" s="163">
        <f t="shared" si="10"/>
        <v>0.35301000000000021</v>
      </c>
      <c r="S159" s="163">
        <v>0</v>
      </c>
      <c r="T159" s="164">
        <f t="shared" si="11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5" t="s">
        <v>185</v>
      </c>
      <c r="AT159" s="165" t="s">
        <v>181</v>
      </c>
      <c r="AU159" s="165" t="s">
        <v>82</v>
      </c>
      <c r="AY159" s="14" t="s">
        <v>179</v>
      </c>
      <c r="BE159" s="166">
        <f t="shared" si="12"/>
        <v>0</v>
      </c>
      <c r="BF159" s="166">
        <f t="shared" si="13"/>
        <v>0</v>
      </c>
      <c r="BG159" s="166">
        <f t="shared" si="14"/>
        <v>0</v>
      </c>
      <c r="BH159" s="166">
        <f t="shared" si="15"/>
        <v>0</v>
      </c>
      <c r="BI159" s="166">
        <f t="shared" si="16"/>
        <v>0</v>
      </c>
      <c r="BJ159" s="14" t="s">
        <v>82</v>
      </c>
      <c r="BK159" s="166">
        <f t="shared" si="17"/>
        <v>0</v>
      </c>
      <c r="BL159" s="14" t="s">
        <v>185</v>
      </c>
      <c r="BM159" s="165" t="s">
        <v>268</v>
      </c>
    </row>
    <row r="160" spans="1:65" s="2" customFormat="1" ht="55.5" customHeight="1">
      <c r="A160" s="29"/>
      <c r="B160" s="152"/>
      <c r="C160" s="153" t="s">
        <v>228</v>
      </c>
      <c r="D160" s="153" t="s">
        <v>181</v>
      </c>
      <c r="E160" s="154" t="s">
        <v>2862</v>
      </c>
      <c r="F160" s="155" t="s">
        <v>2863</v>
      </c>
      <c r="G160" s="156" t="s">
        <v>217</v>
      </c>
      <c r="H160" s="157">
        <v>12</v>
      </c>
      <c r="I160" s="158"/>
      <c r="J160" s="151">
        <v>0</v>
      </c>
      <c r="K160" s="160"/>
      <c r="L160" s="30"/>
      <c r="M160" s="161" t="s">
        <v>1</v>
      </c>
      <c r="N160" s="162" t="s">
        <v>35</v>
      </c>
      <c r="O160" s="58"/>
      <c r="P160" s="163">
        <f t="shared" si="9"/>
        <v>0</v>
      </c>
      <c r="Q160" s="163">
        <v>2.4212500000000001E-2</v>
      </c>
      <c r="R160" s="163">
        <f t="shared" si="10"/>
        <v>0.29055000000000003</v>
      </c>
      <c r="S160" s="163">
        <v>0</v>
      </c>
      <c r="T160" s="164">
        <f t="shared" si="11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5" t="s">
        <v>185</v>
      </c>
      <c r="AT160" s="165" t="s">
        <v>181</v>
      </c>
      <c r="AU160" s="165" t="s">
        <v>82</v>
      </c>
      <c r="AY160" s="14" t="s">
        <v>179</v>
      </c>
      <c r="BE160" s="166">
        <f t="shared" si="12"/>
        <v>0</v>
      </c>
      <c r="BF160" s="166">
        <f t="shared" si="13"/>
        <v>0</v>
      </c>
      <c r="BG160" s="166">
        <f t="shared" si="14"/>
        <v>0</v>
      </c>
      <c r="BH160" s="166">
        <f t="shared" si="15"/>
        <v>0</v>
      </c>
      <c r="BI160" s="166">
        <f t="shared" si="16"/>
        <v>0</v>
      </c>
      <c r="BJ160" s="14" t="s">
        <v>82</v>
      </c>
      <c r="BK160" s="166">
        <f t="shared" si="17"/>
        <v>0</v>
      </c>
      <c r="BL160" s="14" t="s">
        <v>185</v>
      </c>
      <c r="BM160" s="165" t="s">
        <v>271</v>
      </c>
    </row>
    <row r="161" spans="1:65" s="2" customFormat="1" ht="24.2" customHeight="1">
      <c r="A161" s="29"/>
      <c r="B161" s="152"/>
      <c r="C161" s="167" t="s">
        <v>272</v>
      </c>
      <c r="D161" s="167" t="s">
        <v>202</v>
      </c>
      <c r="E161" s="168" t="s">
        <v>2864</v>
      </c>
      <c r="F161" s="169" t="s">
        <v>2865</v>
      </c>
      <c r="G161" s="170" t="s">
        <v>217</v>
      </c>
      <c r="H161" s="171">
        <v>2</v>
      </c>
      <c r="I161" s="172"/>
      <c r="J161" s="151">
        <v>0</v>
      </c>
      <c r="K161" s="174"/>
      <c r="L161" s="175"/>
      <c r="M161" s="176" t="s">
        <v>1</v>
      </c>
      <c r="N161" s="177" t="s">
        <v>35</v>
      </c>
      <c r="O161" s="58"/>
      <c r="P161" s="163">
        <f t="shared" si="9"/>
        <v>0</v>
      </c>
      <c r="Q161" s="163">
        <v>3.8969999999999998E-2</v>
      </c>
      <c r="R161" s="163">
        <f t="shared" si="10"/>
        <v>7.7939999999999995E-2</v>
      </c>
      <c r="S161" s="163">
        <v>0</v>
      </c>
      <c r="T161" s="164">
        <f t="shared" si="11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5" t="s">
        <v>197</v>
      </c>
      <c r="AT161" s="165" t="s">
        <v>202</v>
      </c>
      <c r="AU161" s="165" t="s">
        <v>82</v>
      </c>
      <c r="AY161" s="14" t="s">
        <v>179</v>
      </c>
      <c r="BE161" s="166">
        <f t="shared" si="12"/>
        <v>0</v>
      </c>
      <c r="BF161" s="166">
        <f t="shared" si="13"/>
        <v>0</v>
      </c>
      <c r="BG161" s="166">
        <f t="shared" si="14"/>
        <v>0</v>
      </c>
      <c r="BH161" s="166">
        <f t="shared" si="15"/>
        <v>0</v>
      </c>
      <c r="BI161" s="166">
        <f t="shared" si="16"/>
        <v>0</v>
      </c>
      <c r="BJ161" s="14" t="s">
        <v>82</v>
      </c>
      <c r="BK161" s="166">
        <f t="shared" si="17"/>
        <v>0</v>
      </c>
      <c r="BL161" s="14" t="s">
        <v>185</v>
      </c>
      <c r="BM161" s="165" t="s">
        <v>275</v>
      </c>
    </row>
    <row r="162" spans="1:65" s="2" customFormat="1" ht="24.2" customHeight="1">
      <c r="A162" s="29"/>
      <c r="B162" s="152"/>
      <c r="C162" s="167" t="s">
        <v>232</v>
      </c>
      <c r="D162" s="167" t="s">
        <v>202</v>
      </c>
      <c r="E162" s="168" t="s">
        <v>2866</v>
      </c>
      <c r="F162" s="169" t="s">
        <v>2867</v>
      </c>
      <c r="G162" s="170" t="s">
        <v>217</v>
      </c>
      <c r="H162" s="171">
        <v>2</v>
      </c>
      <c r="I162" s="172"/>
      <c r="J162" s="151">
        <v>0</v>
      </c>
      <c r="K162" s="174"/>
      <c r="L162" s="175"/>
      <c r="M162" s="176" t="s">
        <v>1</v>
      </c>
      <c r="N162" s="177" t="s">
        <v>35</v>
      </c>
      <c r="O162" s="58"/>
      <c r="P162" s="163">
        <f t="shared" si="9"/>
        <v>0</v>
      </c>
      <c r="Q162" s="163">
        <v>3.8969999999999998E-2</v>
      </c>
      <c r="R162" s="163">
        <f t="shared" si="10"/>
        <v>7.7939999999999995E-2</v>
      </c>
      <c r="S162" s="163">
        <v>0</v>
      </c>
      <c r="T162" s="164">
        <f t="shared" si="11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5" t="s">
        <v>197</v>
      </c>
      <c r="AT162" s="165" t="s">
        <v>202</v>
      </c>
      <c r="AU162" s="165" t="s">
        <v>82</v>
      </c>
      <c r="AY162" s="14" t="s">
        <v>179</v>
      </c>
      <c r="BE162" s="166">
        <f t="shared" si="12"/>
        <v>0</v>
      </c>
      <c r="BF162" s="166">
        <f t="shared" si="13"/>
        <v>0</v>
      </c>
      <c r="BG162" s="166">
        <f t="shared" si="14"/>
        <v>0</v>
      </c>
      <c r="BH162" s="166">
        <f t="shared" si="15"/>
        <v>0</v>
      </c>
      <c r="BI162" s="166">
        <f t="shared" si="16"/>
        <v>0</v>
      </c>
      <c r="BJ162" s="14" t="s">
        <v>82</v>
      </c>
      <c r="BK162" s="166">
        <f t="shared" si="17"/>
        <v>0</v>
      </c>
      <c r="BL162" s="14" t="s">
        <v>185</v>
      </c>
      <c r="BM162" s="165" t="s">
        <v>279</v>
      </c>
    </row>
    <row r="163" spans="1:65" s="2" customFormat="1" ht="33" customHeight="1">
      <c r="A163" s="29"/>
      <c r="B163" s="152"/>
      <c r="C163" s="167" t="s">
        <v>280</v>
      </c>
      <c r="D163" s="167" t="s">
        <v>202</v>
      </c>
      <c r="E163" s="168" t="s">
        <v>2868</v>
      </c>
      <c r="F163" s="169" t="s">
        <v>2869</v>
      </c>
      <c r="G163" s="170" t="s">
        <v>217</v>
      </c>
      <c r="H163" s="171">
        <v>8</v>
      </c>
      <c r="I163" s="172"/>
      <c r="J163" s="151">
        <v>0</v>
      </c>
      <c r="K163" s="174"/>
      <c r="L163" s="175"/>
      <c r="M163" s="176" t="s">
        <v>1</v>
      </c>
      <c r="N163" s="177" t="s">
        <v>35</v>
      </c>
      <c r="O163" s="58"/>
      <c r="P163" s="163">
        <f t="shared" si="9"/>
        <v>0</v>
      </c>
      <c r="Q163" s="163">
        <v>3.8969999999999998E-2</v>
      </c>
      <c r="R163" s="163">
        <f t="shared" si="10"/>
        <v>0.31175999999999998</v>
      </c>
      <c r="S163" s="163">
        <v>0</v>
      </c>
      <c r="T163" s="164">
        <f t="shared" si="11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5" t="s">
        <v>197</v>
      </c>
      <c r="AT163" s="165" t="s">
        <v>202</v>
      </c>
      <c r="AU163" s="165" t="s">
        <v>82</v>
      </c>
      <c r="AY163" s="14" t="s">
        <v>179</v>
      </c>
      <c r="BE163" s="166">
        <f t="shared" si="12"/>
        <v>0</v>
      </c>
      <c r="BF163" s="166">
        <f t="shared" si="13"/>
        <v>0</v>
      </c>
      <c r="BG163" s="166">
        <f t="shared" si="14"/>
        <v>0</v>
      </c>
      <c r="BH163" s="166">
        <f t="shared" si="15"/>
        <v>0</v>
      </c>
      <c r="BI163" s="166">
        <f t="shared" si="16"/>
        <v>0</v>
      </c>
      <c r="BJ163" s="14" t="s">
        <v>82</v>
      </c>
      <c r="BK163" s="166">
        <f t="shared" si="17"/>
        <v>0</v>
      </c>
      <c r="BL163" s="14" t="s">
        <v>185</v>
      </c>
      <c r="BM163" s="165" t="s">
        <v>283</v>
      </c>
    </row>
    <row r="164" spans="1:65" s="2" customFormat="1" ht="24.2" customHeight="1">
      <c r="A164" s="29"/>
      <c r="B164" s="152"/>
      <c r="C164" s="167" t="s">
        <v>235</v>
      </c>
      <c r="D164" s="167" t="s">
        <v>202</v>
      </c>
      <c r="E164" s="168" t="s">
        <v>2870</v>
      </c>
      <c r="F164" s="169" t="s">
        <v>2871</v>
      </c>
      <c r="G164" s="170" t="s">
        <v>217</v>
      </c>
      <c r="H164" s="171">
        <v>4</v>
      </c>
      <c r="I164" s="172"/>
      <c r="J164" s="151">
        <v>0</v>
      </c>
      <c r="K164" s="174"/>
      <c r="L164" s="175"/>
      <c r="M164" s="176" t="s">
        <v>1</v>
      </c>
      <c r="N164" s="177" t="s">
        <v>35</v>
      </c>
      <c r="O164" s="58"/>
      <c r="P164" s="163">
        <f t="shared" si="9"/>
        <v>0</v>
      </c>
      <c r="Q164" s="163">
        <v>3.8969999999999998E-2</v>
      </c>
      <c r="R164" s="163">
        <f t="shared" si="10"/>
        <v>0.15587999999999999</v>
      </c>
      <c r="S164" s="163">
        <v>0</v>
      </c>
      <c r="T164" s="164">
        <f t="shared" si="11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5" t="s">
        <v>197</v>
      </c>
      <c r="AT164" s="165" t="s">
        <v>202</v>
      </c>
      <c r="AU164" s="165" t="s">
        <v>82</v>
      </c>
      <c r="AY164" s="14" t="s">
        <v>179</v>
      </c>
      <c r="BE164" s="166">
        <f t="shared" si="12"/>
        <v>0</v>
      </c>
      <c r="BF164" s="166">
        <f t="shared" si="13"/>
        <v>0</v>
      </c>
      <c r="BG164" s="166">
        <f t="shared" si="14"/>
        <v>0</v>
      </c>
      <c r="BH164" s="166">
        <f t="shared" si="15"/>
        <v>0</v>
      </c>
      <c r="BI164" s="166">
        <f t="shared" si="16"/>
        <v>0</v>
      </c>
      <c r="BJ164" s="14" t="s">
        <v>82</v>
      </c>
      <c r="BK164" s="166">
        <f t="shared" si="17"/>
        <v>0</v>
      </c>
      <c r="BL164" s="14" t="s">
        <v>185</v>
      </c>
      <c r="BM164" s="165" t="s">
        <v>286</v>
      </c>
    </row>
    <row r="165" spans="1:65" s="2" customFormat="1" ht="24.2" customHeight="1">
      <c r="A165" s="29"/>
      <c r="B165" s="152"/>
      <c r="C165" s="167" t="s">
        <v>287</v>
      </c>
      <c r="D165" s="167" t="s">
        <v>202</v>
      </c>
      <c r="E165" s="168" t="s">
        <v>2872</v>
      </c>
      <c r="F165" s="169" t="s">
        <v>2873</v>
      </c>
      <c r="G165" s="170" t="s">
        <v>217</v>
      </c>
      <c r="H165" s="171">
        <v>4</v>
      </c>
      <c r="I165" s="172"/>
      <c r="J165" s="151">
        <v>0</v>
      </c>
      <c r="K165" s="174"/>
      <c r="L165" s="175"/>
      <c r="M165" s="176" t="s">
        <v>1</v>
      </c>
      <c r="N165" s="177" t="s">
        <v>35</v>
      </c>
      <c r="O165" s="58"/>
      <c r="P165" s="163">
        <f t="shared" si="9"/>
        <v>0</v>
      </c>
      <c r="Q165" s="163">
        <v>3.8969999999999998E-2</v>
      </c>
      <c r="R165" s="163">
        <f t="shared" si="10"/>
        <v>0.15587999999999999</v>
      </c>
      <c r="S165" s="163">
        <v>0</v>
      </c>
      <c r="T165" s="164">
        <f t="shared" si="11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5" t="s">
        <v>197</v>
      </c>
      <c r="AT165" s="165" t="s">
        <v>202</v>
      </c>
      <c r="AU165" s="165" t="s">
        <v>82</v>
      </c>
      <c r="AY165" s="14" t="s">
        <v>179</v>
      </c>
      <c r="BE165" s="166">
        <f t="shared" si="12"/>
        <v>0</v>
      </c>
      <c r="BF165" s="166">
        <f t="shared" si="13"/>
        <v>0</v>
      </c>
      <c r="BG165" s="166">
        <f t="shared" si="14"/>
        <v>0</v>
      </c>
      <c r="BH165" s="166">
        <f t="shared" si="15"/>
        <v>0</v>
      </c>
      <c r="BI165" s="166">
        <f t="shared" si="16"/>
        <v>0</v>
      </c>
      <c r="BJ165" s="14" t="s">
        <v>82</v>
      </c>
      <c r="BK165" s="166">
        <f t="shared" si="17"/>
        <v>0</v>
      </c>
      <c r="BL165" s="14" t="s">
        <v>185</v>
      </c>
      <c r="BM165" s="165" t="s">
        <v>290</v>
      </c>
    </row>
    <row r="166" spans="1:65" s="2" customFormat="1" ht="24.2" customHeight="1">
      <c r="A166" s="29"/>
      <c r="B166" s="152"/>
      <c r="C166" s="167" t="s">
        <v>239</v>
      </c>
      <c r="D166" s="167" t="s">
        <v>202</v>
      </c>
      <c r="E166" s="168" t="s">
        <v>2874</v>
      </c>
      <c r="F166" s="169" t="s">
        <v>2875</v>
      </c>
      <c r="G166" s="170" t="s">
        <v>217</v>
      </c>
      <c r="H166" s="171">
        <v>32</v>
      </c>
      <c r="I166" s="172"/>
      <c r="J166" s="151">
        <v>0</v>
      </c>
      <c r="K166" s="174"/>
      <c r="L166" s="175"/>
      <c r="M166" s="176" t="s">
        <v>1</v>
      </c>
      <c r="N166" s="177" t="s">
        <v>35</v>
      </c>
      <c r="O166" s="58"/>
      <c r="P166" s="163">
        <f t="shared" si="9"/>
        <v>0</v>
      </c>
      <c r="Q166" s="163">
        <v>3.8969999999999998E-2</v>
      </c>
      <c r="R166" s="163">
        <f t="shared" si="10"/>
        <v>1.2470399999999999</v>
      </c>
      <c r="S166" s="163">
        <v>0</v>
      </c>
      <c r="T166" s="164">
        <f t="shared" si="11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5" t="s">
        <v>197</v>
      </c>
      <c r="AT166" s="165" t="s">
        <v>202</v>
      </c>
      <c r="AU166" s="165" t="s">
        <v>82</v>
      </c>
      <c r="AY166" s="14" t="s">
        <v>179</v>
      </c>
      <c r="BE166" s="166">
        <f t="shared" si="12"/>
        <v>0</v>
      </c>
      <c r="BF166" s="166">
        <f t="shared" si="13"/>
        <v>0</v>
      </c>
      <c r="BG166" s="166">
        <f t="shared" si="14"/>
        <v>0</v>
      </c>
      <c r="BH166" s="166">
        <f t="shared" si="15"/>
        <v>0</v>
      </c>
      <c r="BI166" s="166">
        <f t="shared" si="16"/>
        <v>0</v>
      </c>
      <c r="BJ166" s="14" t="s">
        <v>82</v>
      </c>
      <c r="BK166" s="166">
        <f t="shared" si="17"/>
        <v>0</v>
      </c>
      <c r="BL166" s="14" t="s">
        <v>185</v>
      </c>
      <c r="BM166" s="165" t="s">
        <v>294</v>
      </c>
    </row>
    <row r="167" spans="1:65" s="2" customFormat="1" ht="24.2" customHeight="1">
      <c r="A167" s="29"/>
      <c r="B167" s="152"/>
      <c r="C167" s="167" t="s">
        <v>295</v>
      </c>
      <c r="D167" s="167" t="s">
        <v>202</v>
      </c>
      <c r="E167" s="168" t="s">
        <v>2876</v>
      </c>
      <c r="F167" s="169" t="s">
        <v>2877</v>
      </c>
      <c r="G167" s="170" t="s">
        <v>217</v>
      </c>
      <c r="H167" s="171">
        <v>1</v>
      </c>
      <c r="I167" s="172"/>
      <c r="J167" s="151">
        <v>0</v>
      </c>
      <c r="K167" s="174"/>
      <c r="L167" s="175"/>
      <c r="M167" s="176" t="s">
        <v>1</v>
      </c>
      <c r="N167" s="177" t="s">
        <v>35</v>
      </c>
      <c r="O167" s="58"/>
      <c r="P167" s="163">
        <f t="shared" si="9"/>
        <v>0</v>
      </c>
      <c r="Q167" s="163">
        <v>3.8969999999999998E-2</v>
      </c>
      <c r="R167" s="163">
        <f t="shared" si="10"/>
        <v>3.8969999999999998E-2</v>
      </c>
      <c r="S167" s="163">
        <v>0</v>
      </c>
      <c r="T167" s="164">
        <f t="shared" si="11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5" t="s">
        <v>197</v>
      </c>
      <c r="AT167" s="165" t="s">
        <v>202</v>
      </c>
      <c r="AU167" s="165" t="s">
        <v>82</v>
      </c>
      <c r="AY167" s="14" t="s">
        <v>179</v>
      </c>
      <c r="BE167" s="166">
        <f t="shared" si="12"/>
        <v>0</v>
      </c>
      <c r="BF167" s="166">
        <f t="shared" si="13"/>
        <v>0</v>
      </c>
      <c r="BG167" s="166">
        <f t="shared" si="14"/>
        <v>0</v>
      </c>
      <c r="BH167" s="166">
        <f t="shared" si="15"/>
        <v>0</v>
      </c>
      <c r="BI167" s="166">
        <f t="shared" si="16"/>
        <v>0</v>
      </c>
      <c r="BJ167" s="14" t="s">
        <v>82</v>
      </c>
      <c r="BK167" s="166">
        <f t="shared" si="17"/>
        <v>0</v>
      </c>
      <c r="BL167" s="14" t="s">
        <v>185</v>
      </c>
      <c r="BM167" s="165" t="s">
        <v>298</v>
      </c>
    </row>
    <row r="168" spans="1:65" s="2" customFormat="1" ht="24.2" customHeight="1">
      <c r="A168" s="29"/>
      <c r="B168" s="152"/>
      <c r="C168" s="167" t="s">
        <v>242</v>
      </c>
      <c r="D168" s="167" t="s">
        <v>202</v>
      </c>
      <c r="E168" s="168" t="s">
        <v>2878</v>
      </c>
      <c r="F168" s="169" t="s">
        <v>2879</v>
      </c>
      <c r="G168" s="170" t="s">
        <v>293</v>
      </c>
      <c r="H168" s="171">
        <v>43</v>
      </c>
      <c r="I168" s="172"/>
      <c r="J168" s="151">
        <v>0</v>
      </c>
      <c r="K168" s="174"/>
      <c r="L168" s="175"/>
      <c r="M168" s="176" t="s">
        <v>1</v>
      </c>
      <c r="N168" s="177" t="s">
        <v>35</v>
      </c>
      <c r="O168" s="58"/>
      <c r="P168" s="163">
        <f t="shared" si="9"/>
        <v>0</v>
      </c>
      <c r="Q168" s="163">
        <v>3.8969999999999998E-2</v>
      </c>
      <c r="R168" s="163">
        <f t="shared" si="10"/>
        <v>1.6757099999999998</v>
      </c>
      <c r="S168" s="163">
        <v>0</v>
      </c>
      <c r="T168" s="164">
        <f t="shared" si="11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5" t="s">
        <v>197</v>
      </c>
      <c r="AT168" s="165" t="s">
        <v>202</v>
      </c>
      <c r="AU168" s="165" t="s">
        <v>82</v>
      </c>
      <c r="AY168" s="14" t="s">
        <v>179</v>
      </c>
      <c r="BE168" s="166">
        <f t="shared" si="12"/>
        <v>0</v>
      </c>
      <c r="BF168" s="166">
        <f t="shared" si="13"/>
        <v>0</v>
      </c>
      <c r="BG168" s="166">
        <f t="shared" si="14"/>
        <v>0</v>
      </c>
      <c r="BH168" s="166">
        <f t="shared" si="15"/>
        <v>0</v>
      </c>
      <c r="BI168" s="166">
        <f t="shared" si="16"/>
        <v>0</v>
      </c>
      <c r="BJ168" s="14" t="s">
        <v>82</v>
      </c>
      <c r="BK168" s="166">
        <f t="shared" si="17"/>
        <v>0</v>
      </c>
      <c r="BL168" s="14" t="s">
        <v>185</v>
      </c>
      <c r="BM168" s="165" t="s">
        <v>301</v>
      </c>
    </row>
    <row r="169" spans="1:65" s="12" customFormat="1" ht="22.9" customHeight="1">
      <c r="B169" s="139"/>
      <c r="D169" s="140" t="s">
        <v>68</v>
      </c>
      <c r="E169" s="150" t="s">
        <v>214</v>
      </c>
      <c r="F169" s="150" t="s">
        <v>1010</v>
      </c>
      <c r="I169" s="142"/>
      <c r="J169" s="151">
        <v>0</v>
      </c>
      <c r="L169" s="139"/>
      <c r="M169" s="144"/>
      <c r="N169" s="145"/>
      <c r="O169" s="145"/>
      <c r="P169" s="146">
        <f>SUM(P170:P176)</f>
        <v>0</v>
      </c>
      <c r="Q169" s="145"/>
      <c r="R169" s="146">
        <f>SUM(R170:R176)</f>
        <v>9.9999999999999839E-6</v>
      </c>
      <c r="S169" s="145"/>
      <c r="T169" s="147">
        <f>SUM(T170:T176)</f>
        <v>0</v>
      </c>
      <c r="AR169" s="140" t="s">
        <v>76</v>
      </c>
      <c r="AT169" s="148" t="s">
        <v>68</v>
      </c>
      <c r="AU169" s="148" t="s">
        <v>76</v>
      </c>
      <c r="AY169" s="140" t="s">
        <v>179</v>
      </c>
      <c r="BK169" s="149">
        <f>SUM(BK170:BK176)</f>
        <v>0</v>
      </c>
    </row>
    <row r="170" spans="1:65" s="2" customFormat="1" ht="24.2" customHeight="1">
      <c r="A170" s="29"/>
      <c r="B170" s="152"/>
      <c r="C170" s="153" t="s">
        <v>302</v>
      </c>
      <c r="D170" s="153" t="s">
        <v>181</v>
      </c>
      <c r="E170" s="154" t="s">
        <v>2880</v>
      </c>
      <c r="F170" s="155" t="s">
        <v>2881</v>
      </c>
      <c r="G170" s="156" t="s">
        <v>293</v>
      </c>
      <c r="H170" s="157">
        <v>62.4</v>
      </c>
      <c r="I170" s="158"/>
      <c r="J170" s="151">
        <v>0</v>
      </c>
      <c r="K170" s="160"/>
      <c r="L170" s="30"/>
      <c r="M170" s="161" t="s">
        <v>1</v>
      </c>
      <c r="N170" s="162" t="s">
        <v>35</v>
      </c>
      <c r="O170" s="58"/>
      <c r="P170" s="163">
        <f t="shared" ref="P170:P176" si="18">O170*H170</f>
        <v>0</v>
      </c>
      <c r="Q170" s="163">
        <v>1.6025641025641001E-7</v>
      </c>
      <c r="R170" s="163">
        <f t="shared" ref="R170:R176" si="19">Q170*H170</f>
        <v>9.9999999999999839E-6</v>
      </c>
      <c r="S170" s="163">
        <v>0</v>
      </c>
      <c r="T170" s="164">
        <f t="shared" ref="T170:T176" si="20"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5" t="s">
        <v>185</v>
      </c>
      <c r="AT170" s="165" t="s">
        <v>181</v>
      </c>
      <c r="AU170" s="165" t="s">
        <v>82</v>
      </c>
      <c r="AY170" s="14" t="s">
        <v>179</v>
      </c>
      <c r="BE170" s="166">
        <f t="shared" ref="BE170:BE176" si="21">IF(N170="základná",J170,0)</f>
        <v>0</v>
      </c>
      <c r="BF170" s="166">
        <f t="shared" ref="BF170:BF176" si="22">IF(N170="znížená",J170,0)</f>
        <v>0</v>
      </c>
      <c r="BG170" s="166">
        <f t="shared" ref="BG170:BG176" si="23">IF(N170="zákl. prenesená",J170,0)</f>
        <v>0</v>
      </c>
      <c r="BH170" s="166">
        <f t="shared" ref="BH170:BH176" si="24">IF(N170="zníž. prenesená",J170,0)</f>
        <v>0</v>
      </c>
      <c r="BI170" s="166">
        <f t="shared" ref="BI170:BI176" si="25">IF(N170="nulová",J170,0)</f>
        <v>0</v>
      </c>
      <c r="BJ170" s="14" t="s">
        <v>82</v>
      </c>
      <c r="BK170" s="166">
        <f t="shared" ref="BK170:BK176" si="26">ROUND(I170*H170,2)</f>
        <v>0</v>
      </c>
      <c r="BL170" s="14" t="s">
        <v>185</v>
      </c>
      <c r="BM170" s="165" t="s">
        <v>305</v>
      </c>
    </row>
    <row r="171" spans="1:65" s="2" customFormat="1" ht="33" customHeight="1">
      <c r="A171" s="29"/>
      <c r="B171" s="152"/>
      <c r="C171" s="153" t="s">
        <v>246</v>
      </c>
      <c r="D171" s="153" t="s">
        <v>181</v>
      </c>
      <c r="E171" s="154" t="s">
        <v>2136</v>
      </c>
      <c r="F171" s="155" t="s">
        <v>2882</v>
      </c>
      <c r="G171" s="156" t="s">
        <v>217</v>
      </c>
      <c r="H171" s="157">
        <v>2</v>
      </c>
      <c r="I171" s="158"/>
      <c r="J171" s="151">
        <v>0</v>
      </c>
      <c r="K171" s="160"/>
      <c r="L171" s="30"/>
      <c r="M171" s="161" t="s">
        <v>1</v>
      </c>
      <c r="N171" s="162" t="s">
        <v>35</v>
      </c>
      <c r="O171" s="58"/>
      <c r="P171" s="163">
        <f t="shared" si="18"/>
        <v>0</v>
      </c>
      <c r="Q171" s="163">
        <v>0</v>
      </c>
      <c r="R171" s="163">
        <f t="shared" si="19"/>
        <v>0</v>
      </c>
      <c r="S171" s="163">
        <v>0</v>
      </c>
      <c r="T171" s="164">
        <f t="shared" si="20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5" t="s">
        <v>185</v>
      </c>
      <c r="AT171" s="165" t="s">
        <v>181</v>
      </c>
      <c r="AU171" s="165" t="s">
        <v>82</v>
      </c>
      <c r="AY171" s="14" t="s">
        <v>179</v>
      </c>
      <c r="BE171" s="166">
        <f t="shared" si="21"/>
        <v>0</v>
      </c>
      <c r="BF171" s="166">
        <f t="shared" si="22"/>
        <v>0</v>
      </c>
      <c r="BG171" s="166">
        <f t="shared" si="23"/>
        <v>0</v>
      </c>
      <c r="BH171" s="166">
        <f t="shared" si="24"/>
        <v>0</v>
      </c>
      <c r="BI171" s="166">
        <f t="shared" si="25"/>
        <v>0</v>
      </c>
      <c r="BJ171" s="14" t="s">
        <v>82</v>
      </c>
      <c r="BK171" s="166">
        <f t="shared" si="26"/>
        <v>0</v>
      </c>
      <c r="BL171" s="14" t="s">
        <v>185</v>
      </c>
      <c r="BM171" s="165" t="s">
        <v>308</v>
      </c>
    </row>
    <row r="172" spans="1:65" s="2" customFormat="1" ht="21.75" customHeight="1">
      <c r="A172" s="29"/>
      <c r="B172" s="152"/>
      <c r="C172" s="153" t="s">
        <v>309</v>
      </c>
      <c r="D172" s="153" t="s">
        <v>181</v>
      </c>
      <c r="E172" s="154" t="s">
        <v>2138</v>
      </c>
      <c r="F172" s="155" t="s">
        <v>1019</v>
      </c>
      <c r="G172" s="156" t="s">
        <v>191</v>
      </c>
      <c r="H172" s="157">
        <v>8.1340000000000003</v>
      </c>
      <c r="I172" s="158"/>
      <c r="J172" s="151">
        <v>0</v>
      </c>
      <c r="K172" s="160"/>
      <c r="L172" s="30"/>
      <c r="M172" s="161" t="s">
        <v>1</v>
      </c>
      <c r="N172" s="162" t="s">
        <v>35</v>
      </c>
      <c r="O172" s="58"/>
      <c r="P172" s="163">
        <f t="shared" si="18"/>
        <v>0</v>
      </c>
      <c r="Q172" s="163">
        <v>0</v>
      </c>
      <c r="R172" s="163">
        <f t="shared" si="19"/>
        <v>0</v>
      </c>
      <c r="S172" s="163">
        <v>0</v>
      </c>
      <c r="T172" s="164">
        <f t="shared" si="20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5" t="s">
        <v>185</v>
      </c>
      <c r="AT172" s="165" t="s">
        <v>181</v>
      </c>
      <c r="AU172" s="165" t="s">
        <v>82</v>
      </c>
      <c r="AY172" s="14" t="s">
        <v>179</v>
      </c>
      <c r="BE172" s="166">
        <f t="shared" si="21"/>
        <v>0</v>
      </c>
      <c r="BF172" s="166">
        <f t="shared" si="22"/>
        <v>0</v>
      </c>
      <c r="BG172" s="166">
        <f t="shared" si="23"/>
        <v>0</v>
      </c>
      <c r="BH172" s="166">
        <f t="shared" si="24"/>
        <v>0</v>
      </c>
      <c r="BI172" s="166">
        <f t="shared" si="25"/>
        <v>0</v>
      </c>
      <c r="BJ172" s="14" t="s">
        <v>82</v>
      </c>
      <c r="BK172" s="166">
        <f t="shared" si="26"/>
        <v>0</v>
      </c>
      <c r="BL172" s="14" t="s">
        <v>185</v>
      </c>
      <c r="BM172" s="165" t="s">
        <v>312</v>
      </c>
    </row>
    <row r="173" spans="1:65" s="2" customFormat="1" ht="24.2" customHeight="1">
      <c r="A173" s="29"/>
      <c r="B173" s="152"/>
      <c r="C173" s="153" t="s">
        <v>250</v>
      </c>
      <c r="D173" s="153" t="s">
        <v>181</v>
      </c>
      <c r="E173" s="154" t="s">
        <v>2139</v>
      </c>
      <c r="F173" s="155" t="s">
        <v>2140</v>
      </c>
      <c r="G173" s="156" t="s">
        <v>191</v>
      </c>
      <c r="H173" s="157">
        <v>8.1340000000000003</v>
      </c>
      <c r="I173" s="158"/>
      <c r="J173" s="151">
        <v>0</v>
      </c>
      <c r="K173" s="160"/>
      <c r="L173" s="30"/>
      <c r="M173" s="161" t="s">
        <v>1</v>
      </c>
      <c r="N173" s="162" t="s">
        <v>35</v>
      </c>
      <c r="O173" s="58"/>
      <c r="P173" s="163">
        <f t="shared" si="18"/>
        <v>0</v>
      </c>
      <c r="Q173" s="163">
        <v>0</v>
      </c>
      <c r="R173" s="163">
        <f t="shared" si="19"/>
        <v>0</v>
      </c>
      <c r="S173" s="163">
        <v>0</v>
      </c>
      <c r="T173" s="164">
        <f t="shared" si="20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5" t="s">
        <v>185</v>
      </c>
      <c r="AT173" s="165" t="s">
        <v>181</v>
      </c>
      <c r="AU173" s="165" t="s">
        <v>82</v>
      </c>
      <c r="AY173" s="14" t="s">
        <v>179</v>
      </c>
      <c r="BE173" s="166">
        <f t="shared" si="21"/>
        <v>0</v>
      </c>
      <c r="BF173" s="166">
        <f t="shared" si="22"/>
        <v>0</v>
      </c>
      <c r="BG173" s="166">
        <f t="shared" si="23"/>
        <v>0</v>
      </c>
      <c r="BH173" s="166">
        <f t="shared" si="24"/>
        <v>0</v>
      </c>
      <c r="BI173" s="166">
        <f t="shared" si="25"/>
        <v>0</v>
      </c>
      <c r="BJ173" s="14" t="s">
        <v>82</v>
      </c>
      <c r="BK173" s="166">
        <f t="shared" si="26"/>
        <v>0</v>
      </c>
      <c r="BL173" s="14" t="s">
        <v>185</v>
      </c>
      <c r="BM173" s="165" t="s">
        <v>315</v>
      </c>
    </row>
    <row r="174" spans="1:65" s="2" customFormat="1" ht="24.2" customHeight="1">
      <c r="A174" s="29"/>
      <c r="B174" s="152"/>
      <c r="C174" s="153" t="s">
        <v>316</v>
      </c>
      <c r="D174" s="153" t="s">
        <v>181</v>
      </c>
      <c r="E174" s="154" t="s">
        <v>525</v>
      </c>
      <c r="F174" s="155" t="s">
        <v>526</v>
      </c>
      <c r="G174" s="156" t="s">
        <v>191</v>
      </c>
      <c r="H174" s="157">
        <v>8.1340000000000003</v>
      </c>
      <c r="I174" s="158"/>
      <c r="J174" s="151">
        <v>0</v>
      </c>
      <c r="K174" s="160"/>
      <c r="L174" s="30"/>
      <c r="M174" s="161" t="s">
        <v>1</v>
      </c>
      <c r="N174" s="162" t="s">
        <v>35</v>
      </c>
      <c r="O174" s="58"/>
      <c r="P174" s="163">
        <f t="shared" si="18"/>
        <v>0</v>
      </c>
      <c r="Q174" s="163">
        <v>0</v>
      </c>
      <c r="R174" s="163">
        <f t="shared" si="19"/>
        <v>0</v>
      </c>
      <c r="S174" s="163">
        <v>0</v>
      </c>
      <c r="T174" s="164">
        <f t="shared" si="20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5" t="s">
        <v>185</v>
      </c>
      <c r="AT174" s="165" t="s">
        <v>181</v>
      </c>
      <c r="AU174" s="165" t="s">
        <v>82</v>
      </c>
      <c r="AY174" s="14" t="s">
        <v>179</v>
      </c>
      <c r="BE174" s="166">
        <f t="shared" si="21"/>
        <v>0</v>
      </c>
      <c r="BF174" s="166">
        <f t="shared" si="22"/>
        <v>0</v>
      </c>
      <c r="BG174" s="166">
        <f t="shared" si="23"/>
        <v>0</v>
      </c>
      <c r="BH174" s="166">
        <f t="shared" si="24"/>
        <v>0</v>
      </c>
      <c r="BI174" s="166">
        <f t="shared" si="25"/>
        <v>0</v>
      </c>
      <c r="BJ174" s="14" t="s">
        <v>82</v>
      </c>
      <c r="BK174" s="166">
        <f t="shared" si="26"/>
        <v>0</v>
      </c>
      <c r="BL174" s="14" t="s">
        <v>185</v>
      </c>
      <c r="BM174" s="165" t="s">
        <v>319</v>
      </c>
    </row>
    <row r="175" spans="1:65" s="2" customFormat="1" ht="24.2" customHeight="1">
      <c r="A175" s="29"/>
      <c r="B175" s="152"/>
      <c r="C175" s="153" t="s">
        <v>254</v>
      </c>
      <c r="D175" s="153" t="s">
        <v>181</v>
      </c>
      <c r="E175" s="154" t="s">
        <v>1024</v>
      </c>
      <c r="F175" s="155" t="s">
        <v>1025</v>
      </c>
      <c r="G175" s="156" t="s">
        <v>191</v>
      </c>
      <c r="H175" s="157">
        <v>7.8719999999999999</v>
      </c>
      <c r="I175" s="158"/>
      <c r="J175" s="151">
        <v>0</v>
      </c>
      <c r="K175" s="160"/>
      <c r="L175" s="30"/>
      <c r="M175" s="161" t="s">
        <v>1</v>
      </c>
      <c r="N175" s="162" t="s">
        <v>35</v>
      </c>
      <c r="O175" s="58"/>
      <c r="P175" s="163">
        <f t="shared" si="18"/>
        <v>0</v>
      </c>
      <c r="Q175" s="163">
        <v>0</v>
      </c>
      <c r="R175" s="163">
        <f t="shared" si="19"/>
        <v>0</v>
      </c>
      <c r="S175" s="163">
        <v>0</v>
      </c>
      <c r="T175" s="164">
        <f t="shared" si="20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5" t="s">
        <v>185</v>
      </c>
      <c r="AT175" s="165" t="s">
        <v>181</v>
      </c>
      <c r="AU175" s="165" t="s">
        <v>82</v>
      </c>
      <c r="AY175" s="14" t="s">
        <v>179</v>
      </c>
      <c r="BE175" s="166">
        <f t="shared" si="21"/>
        <v>0</v>
      </c>
      <c r="BF175" s="166">
        <f t="shared" si="22"/>
        <v>0</v>
      </c>
      <c r="BG175" s="166">
        <f t="shared" si="23"/>
        <v>0</v>
      </c>
      <c r="BH175" s="166">
        <f t="shared" si="24"/>
        <v>0</v>
      </c>
      <c r="BI175" s="166">
        <f t="shared" si="25"/>
        <v>0</v>
      </c>
      <c r="BJ175" s="14" t="s">
        <v>82</v>
      </c>
      <c r="BK175" s="166">
        <f t="shared" si="26"/>
        <v>0</v>
      </c>
      <c r="BL175" s="14" t="s">
        <v>185</v>
      </c>
      <c r="BM175" s="165" t="s">
        <v>322</v>
      </c>
    </row>
    <row r="176" spans="1:65" s="2" customFormat="1" ht="37.9" customHeight="1">
      <c r="A176" s="29"/>
      <c r="B176" s="152"/>
      <c r="C176" s="153" t="s">
        <v>323</v>
      </c>
      <c r="D176" s="153" t="s">
        <v>181</v>
      </c>
      <c r="E176" s="154" t="s">
        <v>2141</v>
      </c>
      <c r="F176" s="155" t="s">
        <v>2142</v>
      </c>
      <c r="G176" s="156" t="s">
        <v>191</v>
      </c>
      <c r="H176" s="157">
        <v>0.26400000000000001</v>
      </c>
      <c r="I176" s="158"/>
      <c r="J176" s="151">
        <v>0</v>
      </c>
      <c r="K176" s="160"/>
      <c r="L176" s="30"/>
      <c r="M176" s="161" t="s">
        <v>1</v>
      </c>
      <c r="N176" s="162" t="s">
        <v>35</v>
      </c>
      <c r="O176" s="58"/>
      <c r="P176" s="163">
        <f t="shared" si="18"/>
        <v>0</v>
      </c>
      <c r="Q176" s="163">
        <v>0</v>
      </c>
      <c r="R176" s="163">
        <f t="shared" si="19"/>
        <v>0</v>
      </c>
      <c r="S176" s="163">
        <v>0</v>
      </c>
      <c r="T176" s="164">
        <f t="shared" si="20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5" t="s">
        <v>185</v>
      </c>
      <c r="AT176" s="165" t="s">
        <v>181</v>
      </c>
      <c r="AU176" s="165" t="s">
        <v>82</v>
      </c>
      <c r="AY176" s="14" t="s">
        <v>179</v>
      </c>
      <c r="BE176" s="166">
        <f t="shared" si="21"/>
        <v>0</v>
      </c>
      <c r="BF176" s="166">
        <f t="shared" si="22"/>
        <v>0</v>
      </c>
      <c r="BG176" s="166">
        <f t="shared" si="23"/>
        <v>0</v>
      </c>
      <c r="BH176" s="166">
        <f t="shared" si="24"/>
        <v>0</v>
      </c>
      <c r="BI176" s="166">
        <f t="shared" si="25"/>
        <v>0</v>
      </c>
      <c r="BJ176" s="14" t="s">
        <v>82</v>
      </c>
      <c r="BK176" s="166">
        <f t="shared" si="26"/>
        <v>0</v>
      </c>
      <c r="BL176" s="14" t="s">
        <v>185</v>
      </c>
      <c r="BM176" s="165" t="s">
        <v>326</v>
      </c>
    </row>
    <row r="177" spans="1:65" s="12" customFormat="1" ht="22.9" customHeight="1">
      <c r="B177" s="139"/>
      <c r="D177" s="140" t="s">
        <v>68</v>
      </c>
      <c r="E177" s="150" t="s">
        <v>535</v>
      </c>
      <c r="F177" s="150" t="s">
        <v>2883</v>
      </c>
      <c r="I177" s="142"/>
      <c r="J177" s="151">
        <v>0</v>
      </c>
      <c r="L177" s="139"/>
      <c r="M177" s="144"/>
      <c r="N177" s="145"/>
      <c r="O177" s="145"/>
      <c r="P177" s="146">
        <f>SUM(P178:P179)</f>
        <v>0</v>
      </c>
      <c r="Q177" s="145"/>
      <c r="R177" s="146">
        <f>SUM(R178:R179)</f>
        <v>0</v>
      </c>
      <c r="S177" s="145"/>
      <c r="T177" s="147">
        <f>SUM(T178:T179)</f>
        <v>0</v>
      </c>
      <c r="AR177" s="140" t="s">
        <v>76</v>
      </c>
      <c r="AT177" s="148" t="s">
        <v>68</v>
      </c>
      <c r="AU177" s="148" t="s">
        <v>76</v>
      </c>
      <c r="AY177" s="140" t="s">
        <v>179</v>
      </c>
      <c r="BK177" s="149">
        <f>SUM(BK178:BK179)</f>
        <v>0</v>
      </c>
    </row>
    <row r="178" spans="1:65" s="2" customFormat="1" ht="24.2" customHeight="1">
      <c r="A178" s="29"/>
      <c r="B178" s="152"/>
      <c r="C178" s="153" t="s">
        <v>257</v>
      </c>
      <c r="D178" s="153" t="s">
        <v>181</v>
      </c>
      <c r="E178" s="154" t="s">
        <v>2884</v>
      </c>
      <c r="F178" s="155" t="s">
        <v>2885</v>
      </c>
      <c r="G178" s="156" t="s">
        <v>191</v>
      </c>
      <c r="H178" s="157">
        <v>13.789</v>
      </c>
      <c r="I178" s="158"/>
      <c r="J178" s="151">
        <v>0</v>
      </c>
      <c r="K178" s="160"/>
      <c r="L178" s="30"/>
      <c r="M178" s="161" t="s">
        <v>1</v>
      </c>
      <c r="N178" s="162" t="s">
        <v>35</v>
      </c>
      <c r="O178" s="58"/>
      <c r="P178" s="163">
        <f>O178*H178</f>
        <v>0</v>
      </c>
      <c r="Q178" s="163">
        <v>0</v>
      </c>
      <c r="R178" s="163">
        <f>Q178*H178</f>
        <v>0</v>
      </c>
      <c r="S178" s="163">
        <v>0</v>
      </c>
      <c r="T178" s="164">
        <f>S178*H178</f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5" t="s">
        <v>185</v>
      </c>
      <c r="AT178" s="165" t="s">
        <v>181</v>
      </c>
      <c r="AU178" s="165" t="s">
        <v>82</v>
      </c>
      <c r="AY178" s="14" t="s">
        <v>179</v>
      </c>
      <c r="BE178" s="166">
        <f>IF(N178="základná",J178,0)</f>
        <v>0</v>
      </c>
      <c r="BF178" s="166">
        <f>IF(N178="znížená",J178,0)</f>
        <v>0</v>
      </c>
      <c r="BG178" s="166">
        <f>IF(N178="zákl. prenesená",J178,0)</f>
        <v>0</v>
      </c>
      <c r="BH178" s="166">
        <f>IF(N178="zníž. prenesená",J178,0)</f>
        <v>0</v>
      </c>
      <c r="BI178" s="166">
        <f>IF(N178="nulová",J178,0)</f>
        <v>0</v>
      </c>
      <c r="BJ178" s="14" t="s">
        <v>82</v>
      </c>
      <c r="BK178" s="166">
        <f>ROUND(I178*H178,2)</f>
        <v>0</v>
      </c>
      <c r="BL178" s="14" t="s">
        <v>185</v>
      </c>
      <c r="BM178" s="165" t="s">
        <v>329</v>
      </c>
    </row>
    <row r="179" spans="1:65" s="2" customFormat="1" ht="44.25" customHeight="1">
      <c r="A179" s="29"/>
      <c r="B179" s="152"/>
      <c r="C179" s="153" t="s">
        <v>330</v>
      </c>
      <c r="D179" s="153" t="s">
        <v>181</v>
      </c>
      <c r="E179" s="154" t="s">
        <v>2886</v>
      </c>
      <c r="F179" s="155" t="s">
        <v>2887</v>
      </c>
      <c r="G179" s="156" t="s">
        <v>191</v>
      </c>
      <c r="H179" s="157">
        <v>13.789</v>
      </c>
      <c r="I179" s="158"/>
      <c r="J179" s="151">
        <v>0</v>
      </c>
      <c r="K179" s="160"/>
      <c r="L179" s="30"/>
      <c r="M179" s="161" t="s">
        <v>1</v>
      </c>
      <c r="N179" s="162" t="s">
        <v>35</v>
      </c>
      <c r="O179" s="58"/>
      <c r="P179" s="163">
        <f>O179*H179</f>
        <v>0</v>
      </c>
      <c r="Q179" s="163">
        <v>0</v>
      </c>
      <c r="R179" s="163">
        <f>Q179*H179</f>
        <v>0</v>
      </c>
      <c r="S179" s="163">
        <v>0</v>
      </c>
      <c r="T179" s="164">
        <f>S179*H179</f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5" t="s">
        <v>185</v>
      </c>
      <c r="AT179" s="165" t="s">
        <v>181</v>
      </c>
      <c r="AU179" s="165" t="s">
        <v>82</v>
      </c>
      <c r="AY179" s="14" t="s">
        <v>179</v>
      </c>
      <c r="BE179" s="166">
        <f>IF(N179="základná",J179,0)</f>
        <v>0</v>
      </c>
      <c r="BF179" s="166">
        <f>IF(N179="znížená",J179,0)</f>
        <v>0</v>
      </c>
      <c r="BG179" s="166">
        <f>IF(N179="zákl. prenesená",J179,0)</f>
        <v>0</v>
      </c>
      <c r="BH179" s="166">
        <f>IF(N179="zníž. prenesená",J179,0)</f>
        <v>0</v>
      </c>
      <c r="BI179" s="166">
        <f>IF(N179="nulová",J179,0)</f>
        <v>0</v>
      </c>
      <c r="BJ179" s="14" t="s">
        <v>82</v>
      </c>
      <c r="BK179" s="166">
        <f>ROUND(I179*H179,2)</f>
        <v>0</v>
      </c>
      <c r="BL179" s="14" t="s">
        <v>185</v>
      </c>
      <c r="BM179" s="165" t="s">
        <v>333</v>
      </c>
    </row>
    <row r="180" spans="1:65" s="12" customFormat="1" ht="25.9" customHeight="1">
      <c r="B180" s="139"/>
      <c r="D180" s="140" t="s">
        <v>68</v>
      </c>
      <c r="E180" s="141" t="s">
        <v>554</v>
      </c>
      <c r="F180" s="141" t="s">
        <v>1026</v>
      </c>
      <c r="I180" s="142"/>
      <c r="J180" s="151">
        <v>0</v>
      </c>
      <c r="L180" s="139"/>
      <c r="M180" s="144"/>
      <c r="N180" s="145"/>
      <c r="O180" s="145"/>
      <c r="P180" s="146">
        <f>P181+P186</f>
        <v>0</v>
      </c>
      <c r="Q180" s="145"/>
      <c r="R180" s="146">
        <f>R181+R186</f>
        <v>9.0720000000000148E-2</v>
      </c>
      <c r="S180" s="145"/>
      <c r="T180" s="147">
        <f>T181+T186</f>
        <v>0</v>
      </c>
      <c r="AR180" s="140" t="s">
        <v>82</v>
      </c>
      <c r="AT180" s="148" t="s">
        <v>68</v>
      </c>
      <c r="AU180" s="148" t="s">
        <v>69</v>
      </c>
      <c r="AY180" s="140" t="s">
        <v>179</v>
      </c>
      <c r="BK180" s="149">
        <f>BK181+BK186</f>
        <v>0</v>
      </c>
    </row>
    <row r="181" spans="1:65" s="12" customFormat="1" ht="22.9" customHeight="1">
      <c r="B181" s="139"/>
      <c r="D181" s="140" t="s">
        <v>68</v>
      </c>
      <c r="E181" s="150" t="s">
        <v>600</v>
      </c>
      <c r="F181" s="150" t="s">
        <v>1027</v>
      </c>
      <c r="I181" s="142"/>
      <c r="J181" s="151">
        <v>0</v>
      </c>
      <c r="L181" s="139"/>
      <c r="M181" s="144"/>
      <c r="N181" s="145"/>
      <c r="O181" s="145"/>
      <c r="P181" s="146">
        <f>SUM(P182:P185)</f>
        <v>0</v>
      </c>
      <c r="Q181" s="145"/>
      <c r="R181" s="146">
        <f>SUM(R182:R185)</f>
        <v>3.8830000000000003E-2</v>
      </c>
      <c r="S181" s="145"/>
      <c r="T181" s="147">
        <f>SUM(T182:T185)</f>
        <v>0</v>
      </c>
      <c r="AR181" s="140" t="s">
        <v>82</v>
      </c>
      <c r="AT181" s="148" t="s">
        <v>68</v>
      </c>
      <c r="AU181" s="148" t="s">
        <v>76</v>
      </c>
      <c r="AY181" s="140" t="s">
        <v>179</v>
      </c>
      <c r="BK181" s="149">
        <f>SUM(BK182:BK185)</f>
        <v>0</v>
      </c>
    </row>
    <row r="182" spans="1:65" s="2" customFormat="1" ht="33" customHeight="1">
      <c r="A182" s="29"/>
      <c r="B182" s="152"/>
      <c r="C182" s="153" t="s">
        <v>261</v>
      </c>
      <c r="D182" s="153" t="s">
        <v>181</v>
      </c>
      <c r="E182" s="154" t="s">
        <v>2143</v>
      </c>
      <c r="F182" s="155" t="s">
        <v>2144</v>
      </c>
      <c r="G182" s="156" t="s">
        <v>184</v>
      </c>
      <c r="H182" s="157">
        <v>115.6</v>
      </c>
      <c r="I182" s="158"/>
      <c r="J182" s="151">
        <v>0</v>
      </c>
      <c r="K182" s="160"/>
      <c r="L182" s="30"/>
      <c r="M182" s="161" t="s">
        <v>1</v>
      </c>
      <c r="N182" s="162" t="s">
        <v>35</v>
      </c>
      <c r="O182" s="58"/>
      <c r="P182" s="163">
        <f>O182*H182</f>
        <v>0</v>
      </c>
      <c r="Q182" s="163">
        <v>0</v>
      </c>
      <c r="R182" s="163">
        <f>Q182*H182</f>
        <v>0</v>
      </c>
      <c r="S182" s="163">
        <v>0</v>
      </c>
      <c r="T182" s="164">
        <f>S182*H182</f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65" t="s">
        <v>213</v>
      </c>
      <c r="AT182" s="165" t="s">
        <v>181</v>
      </c>
      <c r="AU182" s="165" t="s">
        <v>82</v>
      </c>
      <c r="AY182" s="14" t="s">
        <v>179</v>
      </c>
      <c r="BE182" s="166">
        <f>IF(N182="základná",J182,0)</f>
        <v>0</v>
      </c>
      <c r="BF182" s="166">
        <f>IF(N182="znížená",J182,0)</f>
        <v>0</v>
      </c>
      <c r="BG182" s="166">
        <f>IF(N182="zákl. prenesená",J182,0)</f>
        <v>0</v>
      </c>
      <c r="BH182" s="166">
        <f>IF(N182="zníž. prenesená",J182,0)</f>
        <v>0</v>
      </c>
      <c r="BI182" s="166">
        <f>IF(N182="nulová",J182,0)</f>
        <v>0</v>
      </c>
      <c r="BJ182" s="14" t="s">
        <v>82</v>
      </c>
      <c r="BK182" s="166">
        <f>ROUND(I182*H182,2)</f>
        <v>0</v>
      </c>
      <c r="BL182" s="14" t="s">
        <v>213</v>
      </c>
      <c r="BM182" s="165" t="s">
        <v>336</v>
      </c>
    </row>
    <row r="183" spans="1:65" s="2" customFormat="1" ht="33" customHeight="1">
      <c r="A183" s="29"/>
      <c r="B183" s="152"/>
      <c r="C183" s="153" t="s">
        <v>337</v>
      </c>
      <c r="D183" s="153" t="s">
        <v>181</v>
      </c>
      <c r="E183" s="154" t="s">
        <v>2888</v>
      </c>
      <c r="F183" s="155" t="s">
        <v>2889</v>
      </c>
      <c r="G183" s="156" t="s">
        <v>184</v>
      </c>
      <c r="H183" s="157">
        <v>5.5</v>
      </c>
      <c r="I183" s="158"/>
      <c r="J183" s="151">
        <v>0</v>
      </c>
      <c r="K183" s="160"/>
      <c r="L183" s="30"/>
      <c r="M183" s="161" t="s">
        <v>1</v>
      </c>
      <c r="N183" s="162" t="s">
        <v>35</v>
      </c>
      <c r="O183" s="58"/>
      <c r="P183" s="163">
        <f>O183*H183</f>
        <v>0</v>
      </c>
      <c r="Q183" s="163">
        <v>7.6000000000000004E-4</v>
      </c>
      <c r="R183" s="163">
        <f>Q183*H183</f>
        <v>4.1800000000000006E-3</v>
      </c>
      <c r="S183" s="163">
        <v>0</v>
      </c>
      <c r="T183" s="164">
        <f>S183*H183</f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5" t="s">
        <v>213</v>
      </c>
      <c r="AT183" s="165" t="s">
        <v>181</v>
      </c>
      <c r="AU183" s="165" t="s">
        <v>82</v>
      </c>
      <c r="AY183" s="14" t="s">
        <v>179</v>
      </c>
      <c r="BE183" s="166">
        <f>IF(N183="základná",J183,0)</f>
        <v>0</v>
      </c>
      <c r="BF183" s="166">
        <f>IF(N183="znížená",J183,0)</f>
        <v>0</v>
      </c>
      <c r="BG183" s="166">
        <f>IF(N183="zákl. prenesená",J183,0)</f>
        <v>0</v>
      </c>
      <c r="BH183" s="166">
        <f>IF(N183="zníž. prenesená",J183,0)</f>
        <v>0</v>
      </c>
      <c r="BI183" s="166">
        <f>IF(N183="nulová",J183,0)</f>
        <v>0</v>
      </c>
      <c r="BJ183" s="14" t="s">
        <v>82</v>
      </c>
      <c r="BK183" s="166">
        <f>ROUND(I183*H183,2)</f>
        <v>0</v>
      </c>
      <c r="BL183" s="14" t="s">
        <v>213</v>
      </c>
      <c r="BM183" s="165" t="s">
        <v>340</v>
      </c>
    </row>
    <row r="184" spans="1:65" s="2" customFormat="1" ht="16.5" customHeight="1">
      <c r="A184" s="29"/>
      <c r="B184" s="152"/>
      <c r="C184" s="167" t="s">
        <v>265</v>
      </c>
      <c r="D184" s="167" t="s">
        <v>202</v>
      </c>
      <c r="E184" s="168" t="s">
        <v>2890</v>
      </c>
      <c r="F184" s="169" t="s">
        <v>2891</v>
      </c>
      <c r="G184" s="170" t="s">
        <v>184</v>
      </c>
      <c r="H184" s="171">
        <v>5.5</v>
      </c>
      <c r="I184" s="172"/>
      <c r="J184" s="151">
        <v>0</v>
      </c>
      <c r="K184" s="174"/>
      <c r="L184" s="175"/>
      <c r="M184" s="176" t="s">
        <v>1</v>
      </c>
      <c r="N184" s="177" t="s">
        <v>35</v>
      </c>
      <c r="O184" s="58"/>
      <c r="P184" s="163">
        <f>O184*H184</f>
        <v>0</v>
      </c>
      <c r="Q184" s="163">
        <v>6.3E-3</v>
      </c>
      <c r="R184" s="163">
        <f>Q184*H184</f>
        <v>3.465E-2</v>
      </c>
      <c r="S184" s="163">
        <v>0</v>
      </c>
      <c r="T184" s="164">
        <f>S184*H184</f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5" t="s">
        <v>242</v>
      </c>
      <c r="AT184" s="165" t="s">
        <v>202</v>
      </c>
      <c r="AU184" s="165" t="s">
        <v>82</v>
      </c>
      <c r="AY184" s="14" t="s">
        <v>179</v>
      </c>
      <c r="BE184" s="166">
        <f>IF(N184="základná",J184,0)</f>
        <v>0</v>
      </c>
      <c r="BF184" s="166">
        <f>IF(N184="znížená",J184,0)</f>
        <v>0</v>
      </c>
      <c r="BG184" s="166">
        <f>IF(N184="zákl. prenesená",J184,0)</f>
        <v>0</v>
      </c>
      <c r="BH184" s="166">
        <f>IF(N184="zníž. prenesená",J184,0)</f>
        <v>0</v>
      </c>
      <c r="BI184" s="166">
        <f>IF(N184="nulová",J184,0)</f>
        <v>0</v>
      </c>
      <c r="BJ184" s="14" t="s">
        <v>82</v>
      </c>
      <c r="BK184" s="166">
        <f>ROUND(I184*H184,2)</f>
        <v>0</v>
      </c>
      <c r="BL184" s="14" t="s">
        <v>213</v>
      </c>
      <c r="BM184" s="165" t="s">
        <v>343</v>
      </c>
    </row>
    <row r="185" spans="1:65" s="2" customFormat="1" ht="24.2" customHeight="1">
      <c r="A185" s="29"/>
      <c r="B185" s="152"/>
      <c r="C185" s="153" t="s">
        <v>344</v>
      </c>
      <c r="D185" s="153" t="s">
        <v>181</v>
      </c>
      <c r="E185" s="154" t="s">
        <v>609</v>
      </c>
      <c r="F185" s="155" t="s">
        <v>610</v>
      </c>
      <c r="G185" s="156" t="s">
        <v>585</v>
      </c>
      <c r="H185" s="178"/>
      <c r="I185" s="158"/>
      <c r="J185" s="151">
        <v>0</v>
      </c>
      <c r="K185" s="160"/>
      <c r="L185" s="30"/>
      <c r="M185" s="161" t="s">
        <v>1</v>
      </c>
      <c r="N185" s="162" t="s">
        <v>35</v>
      </c>
      <c r="O185" s="58"/>
      <c r="P185" s="163">
        <f>O185*H185</f>
        <v>0</v>
      </c>
      <c r="Q185" s="163">
        <v>0</v>
      </c>
      <c r="R185" s="163">
        <f>Q185*H185</f>
        <v>0</v>
      </c>
      <c r="S185" s="163">
        <v>0</v>
      </c>
      <c r="T185" s="164">
        <f>S185*H185</f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5" t="s">
        <v>213</v>
      </c>
      <c r="AT185" s="165" t="s">
        <v>181</v>
      </c>
      <c r="AU185" s="165" t="s">
        <v>82</v>
      </c>
      <c r="AY185" s="14" t="s">
        <v>179</v>
      </c>
      <c r="BE185" s="166">
        <f>IF(N185="základná",J185,0)</f>
        <v>0</v>
      </c>
      <c r="BF185" s="166">
        <f>IF(N185="znížená",J185,0)</f>
        <v>0</v>
      </c>
      <c r="BG185" s="166">
        <f>IF(N185="zákl. prenesená",J185,0)</f>
        <v>0</v>
      </c>
      <c r="BH185" s="166">
        <f>IF(N185="zníž. prenesená",J185,0)</f>
        <v>0</v>
      </c>
      <c r="BI185" s="166">
        <f>IF(N185="nulová",J185,0)</f>
        <v>0</v>
      </c>
      <c r="BJ185" s="14" t="s">
        <v>82</v>
      </c>
      <c r="BK185" s="166">
        <f>ROUND(I185*H185,2)</f>
        <v>0</v>
      </c>
      <c r="BL185" s="14" t="s">
        <v>213</v>
      </c>
      <c r="BM185" s="165" t="s">
        <v>354</v>
      </c>
    </row>
    <row r="186" spans="1:65" s="12" customFormat="1" ht="22.9" customHeight="1">
      <c r="B186" s="139"/>
      <c r="D186" s="140" t="s">
        <v>68</v>
      </c>
      <c r="E186" s="150" t="s">
        <v>2408</v>
      </c>
      <c r="F186" s="150" t="s">
        <v>2409</v>
      </c>
      <c r="I186" s="142"/>
      <c r="J186" s="151">
        <v>0</v>
      </c>
      <c r="L186" s="139"/>
      <c r="M186" s="144"/>
      <c r="N186" s="145"/>
      <c r="O186" s="145"/>
      <c r="P186" s="146">
        <f>SUM(P187:P192)</f>
        <v>0</v>
      </c>
      <c r="Q186" s="145"/>
      <c r="R186" s="146">
        <f>SUM(R187:R192)</f>
        <v>5.1890000000000144E-2</v>
      </c>
      <c r="S186" s="145"/>
      <c r="T186" s="147">
        <f>SUM(T187:T192)</f>
        <v>0</v>
      </c>
      <c r="AR186" s="140" t="s">
        <v>82</v>
      </c>
      <c r="AT186" s="148" t="s">
        <v>68</v>
      </c>
      <c r="AU186" s="148" t="s">
        <v>76</v>
      </c>
      <c r="AY186" s="140" t="s">
        <v>179</v>
      </c>
      <c r="BK186" s="149">
        <f>SUM(BK187:BK192)</f>
        <v>0</v>
      </c>
    </row>
    <row r="187" spans="1:65" s="2" customFormat="1" ht="24.2" customHeight="1">
      <c r="A187" s="29"/>
      <c r="B187" s="152"/>
      <c r="C187" s="153" t="s">
        <v>268</v>
      </c>
      <c r="D187" s="153" t="s">
        <v>181</v>
      </c>
      <c r="E187" s="154" t="s">
        <v>2416</v>
      </c>
      <c r="F187" s="155" t="s">
        <v>2892</v>
      </c>
      <c r="G187" s="156" t="s">
        <v>293</v>
      </c>
      <c r="H187" s="157">
        <v>483.2</v>
      </c>
      <c r="I187" s="158"/>
      <c r="J187" s="151">
        <v>0</v>
      </c>
      <c r="K187" s="160"/>
      <c r="L187" s="30"/>
      <c r="M187" s="161" t="s">
        <v>1</v>
      </c>
      <c r="N187" s="162" t="s">
        <v>35</v>
      </c>
      <c r="O187" s="58"/>
      <c r="P187" s="163">
        <f t="shared" ref="P187:P192" si="27">O187*H187</f>
        <v>0</v>
      </c>
      <c r="Q187" s="163">
        <v>1.00993377483444E-4</v>
      </c>
      <c r="R187" s="163">
        <f t="shared" ref="R187:R192" si="28">Q187*H187</f>
        <v>4.8800000000000142E-2</v>
      </c>
      <c r="S187" s="163">
        <v>0</v>
      </c>
      <c r="T187" s="164">
        <f t="shared" ref="T187:T192" si="29">S187*H187</f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5" t="s">
        <v>213</v>
      </c>
      <c r="AT187" s="165" t="s">
        <v>181</v>
      </c>
      <c r="AU187" s="165" t="s">
        <v>82</v>
      </c>
      <c r="AY187" s="14" t="s">
        <v>179</v>
      </c>
      <c r="BE187" s="166">
        <f t="shared" ref="BE187:BE192" si="30">IF(N187="základná",J187,0)</f>
        <v>0</v>
      </c>
      <c r="BF187" s="166">
        <f t="shared" ref="BF187:BF192" si="31">IF(N187="znížená",J187,0)</f>
        <v>0</v>
      </c>
      <c r="BG187" s="166">
        <f t="shared" ref="BG187:BG192" si="32">IF(N187="zákl. prenesená",J187,0)</f>
        <v>0</v>
      </c>
      <c r="BH187" s="166">
        <f t="shared" ref="BH187:BH192" si="33">IF(N187="zníž. prenesená",J187,0)</f>
        <v>0</v>
      </c>
      <c r="BI187" s="166">
        <f t="shared" ref="BI187:BI192" si="34">IF(N187="nulová",J187,0)</f>
        <v>0</v>
      </c>
      <c r="BJ187" s="14" t="s">
        <v>82</v>
      </c>
      <c r="BK187" s="166">
        <f t="shared" ref="BK187:BK192" si="35">ROUND(I187*H187,2)</f>
        <v>0</v>
      </c>
      <c r="BL187" s="14" t="s">
        <v>213</v>
      </c>
      <c r="BM187" s="165" t="s">
        <v>357</v>
      </c>
    </row>
    <row r="188" spans="1:65" s="2" customFormat="1" ht="24.2" customHeight="1">
      <c r="A188" s="29"/>
      <c r="B188" s="152"/>
      <c r="C188" s="153" t="s">
        <v>351</v>
      </c>
      <c r="D188" s="153" t="s">
        <v>181</v>
      </c>
      <c r="E188" s="154" t="s">
        <v>2893</v>
      </c>
      <c r="F188" s="155" t="s">
        <v>2894</v>
      </c>
      <c r="G188" s="156" t="s">
        <v>217</v>
      </c>
      <c r="H188" s="157">
        <v>48</v>
      </c>
      <c r="I188" s="158"/>
      <c r="J188" s="151">
        <v>0</v>
      </c>
      <c r="K188" s="160"/>
      <c r="L188" s="30"/>
      <c r="M188" s="161" t="s">
        <v>1</v>
      </c>
      <c r="N188" s="162" t="s">
        <v>35</v>
      </c>
      <c r="O188" s="58"/>
      <c r="P188" s="163">
        <f t="shared" si="27"/>
        <v>0</v>
      </c>
      <c r="Q188" s="163">
        <v>1.4583333333333301E-6</v>
      </c>
      <c r="R188" s="163">
        <f t="shared" si="28"/>
        <v>6.9999999999999845E-5</v>
      </c>
      <c r="S188" s="163">
        <v>0</v>
      </c>
      <c r="T188" s="164">
        <f t="shared" si="29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5" t="s">
        <v>213</v>
      </c>
      <c r="AT188" s="165" t="s">
        <v>181</v>
      </c>
      <c r="AU188" s="165" t="s">
        <v>82</v>
      </c>
      <c r="AY188" s="14" t="s">
        <v>179</v>
      </c>
      <c r="BE188" s="166">
        <f t="shared" si="30"/>
        <v>0</v>
      </c>
      <c r="BF188" s="166">
        <f t="shared" si="31"/>
        <v>0</v>
      </c>
      <c r="BG188" s="166">
        <f t="shared" si="32"/>
        <v>0</v>
      </c>
      <c r="BH188" s="166">
        <f t="shared" si="33"/>
        <v>0</v>
      </c>
      <c r="BI188" s="166">
        <f t="shared" si="34"/>
        <v>0</v>
      </c>
      <c r="BJ188" s="14" t="s">
        <v>82</v>
      </c>
      <c r="BK188" s="166">
        <f t="shared" si="35"/>
        <v>0</v>
      </c>
      <c r="BL188" s="14" t="s">
        <v>213</v>
      </c>
      <c r="BM188" s="165" t="s">
        <v>361</v>
      </c>
    </row>
    <row r="189" spans="1:65" s="2" customFormat="1" ht="24.2" customHeight="1">
      <c r="A189" s="29"/>
      <c r="B189" s="152"/>
      <c r="C189" s="153" t="s">
        <v>271</v>
      </c>
      <c r="D189" s="153" t="s">
        <v>181</v>
      </c>
      <c r="E189" s="154" t="s">
        <v>2895</v>
      </c>
      <c r="F189" s="155" t="s">
        <v>2896</v>
      </c>
      <c r="G189" s="156" t="s">
        <v>217</v>
      </c>
      <c r="H189" s="157">
        <v>48</v>
      </c>
      <c r="I189" s="158"/>
      <c r="J189" s="151">
        <v>0</v>
      </c>
      <c r="K189" s="160"/>
      <c r="L189" s="30"/>
      <c r="M189" s="161" t="s">
        <v>1</v>
      </c>
      <c r="N189" s="162" t="s">
        <v>35</v>
      </c>
      <c r="O189" s="58"/>
      <c r="P189" s="163">
        <f t="shared" si="27"/>
        <v>0</v>
      </c>
      <c r="Q189" s="163">
        <v>2.9166666666666699E-6</v>
      </c>
      <c r="R189" s="163">
        <f t="shared" si="28"/>
        <v>1.4000000000000015E-4</v>
      </c>
      <c r="S189" s="163">
        <v>0</v>
      </c>
      <c r="T189" s="164">
        <f t="shared" si="29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65" t="s">
        <v>213</v>
      </c>
      <c r="AT189" s="165" t="s">
        <v>181</v>
      </c>
      <c r="AU189" s="165" t="s">
        <v>82</v>
      </c>
      <c r="AY189" s="14" t="s">
        <v>179</v>
      </c>
      <c r="BE189" s="166">
        <f t="shared" si="30"/>
        <v>0</v>
      </c>
      <c r="BF189" s="166">
        <f t="shared" si="31"/>
        <v>0</v>
      </c>
      <c r="BG189" s="166">
        <f t="shared" si="32"/>
        <v>0</v>
      </c>
      <c r="BH189" s="166">
        <f t="shared" si="33"/>
        <v>0</v>
      </c>
      <c r="BI189" s="166">
        <f t="shared" si="34"/>
        <v>0</v>
      </c>
      <c r="BJ189" s="14" t="s">
        <v>82</v>
      </c>
      <c r="BK189" s="166">
        <f t="shared" si="35"/>
        <v>0</v>
      </c>
      <c r="BL189" s="14" t="s">
        <v>213</v>
      </c>
      <c r="BM189" s="165" t="s">
        <v>364</v>
      </c>
    </row>
    <row r="190" spans="1:65" s="2" customFormat="1" ht="33" customHeight="1">
      <c r="A190" s="29"/>
      <c r="B190" s="152"/>
      <c r="C190" s="153" t="s">
        <v>358</v>
      </c>
      <c r="D190" s="153" t="s">
        <v>181</v>
      </c>
      <c r="E190" s="154" t="s">
        <v>2897</v>
      </c>
      <c r="F190" s="155" t="s">
        <v>2898</v>
      </c>
      <c r="G190" s="156" t="s">
        <v>217</v>
      </c>
      <c r="H190" s="157">
        <v>96</v>
      </c>
      <c r="I190" s="158"/>
      <c r="J190" s="151">
        <v>0</v>
      </c>
      <c r="K190" s="160"/>
      <c r="L190" s="30"/>
      <c r="M190" s="161" t="s">
        <v>1</v>
      </c>
      <c r="N190" s="162" t="s">
        <v>35</v>
      </c>
      <c r="O190" s="58"/>
      <c r="P190" s="163">
        <f t="shared" si="27"/>
        <v>0</v>
      </c>
      <c r="Q190" s="163">
        <v>3.0000000000000001E-5</v>
      </c>
      <c r="R190" s="163">
        <f t="shared" si="28"/>
        <v>2.8800000000000002E-3</v>
      </c>
      <c r="S190" s="163">
        <v>0</v>
      </c>
      <c r="T190" s="164">
        <f t="shared" si="29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65" t="s">
        <v>213</v>
      </c>
      <c r="AT190" s="165" t="s">
        <v>181</v>
      </c>
      <c r="AU190" s="165" t="s">
        <v>82</v>
      </c>
      <c r="AY190" s="14" t="s">
        <v>179</v>
      </c>
      <c r="BE190" s="166">
        <f t="shared" si="30"/>
        <v>0</v>
      </c>
      <c r="BF190" s="166">
        <f t="shared" si="31"/>
        <v>0</v>
      </c>
      <c r="BG190" s="166">
        <f t="shared" si="32"/>
        <v>0</v>
      </c>
      <c r="BH190" s="166">
        <f t="shared" si="33"/>
        <v>0</v>
      </c>
      <c r="BI190" s="166">
        <f t="shared" si="34"/>
        <v>0</v>
      </c>
      <c r="BJ190" s="14" t="s">
        <v>82</v>
      </c>
      <c r="BK190" s="166">
        <f t="shared" si="35"/>
        <v>0</v>
      </c>
      <c r="BL190" s="14" t="s">
        <v>213</v>
      </c>
      <c r="BM190" s="165" t="s">
        <v>368</v>
      </c>
    </row>
    <row r="191" spans="1:65" s="2" customFormat="1" ht="33" customHeight="1">
      <c r="A191" s="29"/>
      <c r="B191" s="152"/>
      <c r="C191" s="153" t="s">
        <v>275</v>
      </c>
      <c r="D191" s="153" t="s">
        <v>181</v>
      </c>
      <c r="E191" s="154" t="s">
        <v>2456</v>
      </c>
      <c r="F191" s="155" t="s">
        <v>2457</v>
      </c>
      <c r="G191" s="156" t="s">
        <v>191</v>
      </c>
      <c r="H191" s="157">
        <v>9.0389999999999997</v>
      </c>
      <c r="I191" s="158"/>
      <c r="J191" s="151">
        <v>0</v>
      </c>
      <c r="K191" s="160"/>
      <c r="L191" s="30"/>
      <c r="M191" s="161" t="s">
        <v>1</v>
      </c>
      <c r="N191" s="162" t="s">
        <v>35</v>
      </c>
      <c r="O191" s="58"/>
      <c r="P191" s="163">
        <f t="shared" si="27"/>
        <v>0</v>
      </c>
      <c r="Q191" s="163">
        <v>0</v>
      </c>
      <c r="R191" s="163">
        <f t="shared" si="28"/>
        <v>0</v>
      </c>
      <c r="S191" s="163">
        <v>0</v>
      </c>
      <c r="T191" s="164">
        <f t="shared" si="29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65" t="s">
        <v>213</v>
      </c>
      <c r="AT191" s="165" t="s">
        <v>181</v>
      </c>
      <c r="AU191" s="165" t="s">
        <v>82</v>
      </c>
      <c r="AY191" s="14" t="s">
        <v>179</v>
      </c>
      <c r="BE191" s="166">
        <f t="shared" si="30"/>
        <v>0</v>
      </c>
      <c r="BF191" s="166">
        <f t="shared" si="31"/>
        <v>0</v>
      </c>
      <c r="BG191" s="166">
        <f t="shared" si="32"/>
        <v>0</v>
      </c>
      <c r="BH191" s="166">
        <f t="shared" si="33"/>
        <v>0</v>
      </c>
      <c r="BI191" s="166">
        <f t="shared" si="34"/>
        <v>0</v>
      </c>
      <c r="BJ191" s="14" t="s">
        <v>82</v>
      </c>
      <c r="BK191" s="166">
        <f t="shared" si="35"/>
        <v>0</v>
      </c>
      <c r="BL191" s="14" t="s">
        <v>213</v>
      </c>
      <c r="BM191" s="165" t="s">
        <v>371</v>
      </c>
    </row>
    <row r="192" spans="1:65" s="2" customFormat="1" ht="24.2" customHeight="1">
      <c r="A192" s="29"/>
      <c r="B192" s="152"/>
      <c r="C192" s="153" t="s">
        <v>365</v>
      </c>
      <c r="D192" s="153" t="s">
        <v>181</v>
      </c>
      <c r="E192" s="154" t="s">
        <v>2458</v>
      </c>
      <c r="F192" s="155" t="s">
        <v>2459</v>
      </c>
      <c r="G192" s="156" t="s">
        <v>585</v>
      </c>
      <c r="H192" s="178"/>
      <c r="I192" s="158"/>
      <c r="J192" s="151">
        <v>0</v>
      </c>
      <c r="K192" s="160"/>
      <c r="L192" s="30"/>
      <c r="M192" s="161" t="s">
        <v>1</v>
      </c>
      <c r="N192" s="162" t="s">
        <v>35</v>
      </c>
      <c r="O192" s="58"/>
      <c r="P192" s="163">
        <f t="shared" si="27"/>
        <v>0</v>
      </c>
      <c r="Q192" s="163">
        <v>0</v>
      </c>
      <c r="R192" s="163">
        <f t="shared" si="28"/>
        <v>0</v>
      </c>
      <c r="S192" s="163">
        <v>0</v>
      </c>
      <c r="T192" s="164">
        <f t="shared" si="29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65" t="s">
        <v>213</v>
      </c>
      <c r="AT192" s="165" t="s">
        <v>181</v>
      </c>
      <c r="AU192" s="165" t="s">
        <v>82</v>
      </c>
      <c r="AY192" s="14" t="s">
        <v>179</v>
      </c>
      <c r="BE192" s="166">
        <f t="shared" si="30"/>
        <v>0</v>
      </c>
      <c r="BF192" s="166">
        <f t="shared" si="31"/>
        <v>0</v>
      </c>
      <c r="BG192" s="166">
        <f t="shared" si="32"/>
        <v>0</v>
      </c>
      <c r="BH192" s="166">
        <f t="shared" si="33"/>
        <v>0</v>
      </c>
      <c r="BI192" s="166">
        <f t="shared" si="34"/>
        <v>0</v>
      </c>
      <c r="BJ192" s="14" t="s">
        <v>82</v>
      </c>
      <c r="BK192" s="166">
        <f t="shared" si="35"/>
        <v>0</v>
      </c>
      <c r="BL192" s="14" t="s">
        <v>213</v>
      </c>
      <c r="BM192" s="165" t="s">
        <v>375</v>
      </c>
    </row>
    <row r="193" spans="1:65" s="12" customFormat="1" ht="25.9" customHeight="1">
      <c r="B193" s="139"/>
      <c r="D193" s="140" t="s">
        <v>68</v>
      </c>
      <c r="E193" s="141" t="s">
        <v>1346</v>
      </c>
      <c r="F193" s="141" t="s">
        <v>1347</v>
      </c>
      <c r="I193" s="142"/>
      <c r="J193" s="151">
        <v>0</v>
      </c>
      <c r="L193" s="139"/>
      <c r="M193" s="144"/>
      <c r="N193" s="145"/>
      <c r="O193" s="145"/>
      <c r="P193" s="146">
        <f>P194</f>
        <v>0</v>
      </c>
      <c r="Q193" s="145"/>
      <c r="R193" s="146">
        <f>R194</f>
        <v>0</v>
      </c>
      <c r="S193" s="145"/>
      <c r="T193" s="147">
        <f>T194</f>
        <v>0</v>
      </c>
      <c r="AR193" s="140" t="s">
        <v>185</v>
      </c>
      <c r="AT193" s="148" t="s">
        <v>68</v>
      </c>
      <c r="AU193" s="148" t="s">
        <v>69</v>
      </c>
      <c r="AY193" s="140" t="s">
        <v>179</v>
      </c>
      <c r="BK193" s="149">
        <f>BK194</f>
        <v>0</v>
      </c>
    </row>
    <row r="194" spans="1:65" s="2" customFormat="1" ht="24.2" customHeight="1">
      <c r="A194" s="29"/>
      <c r="B194" s="152"/>
      <c r="C194" s="153" t="s">
        <v>279</v>
      </c>
      <c r="D194" s="153" t="s">
        <v>181</v>
      </c>
      <c r="E194" s="154" t="s">
        <v>1348</v>
      </c>
      <c r="F194" s="155" t="s">
        <v>2799</v>
      </c>
      <c r="G194" s="156" t="s">
        <v>1350</v>
      </c>
      <c r="H194" s="157">
        <v>10</v>
      </c>
      <c r="I194" s="158"/>
      <c r="J194" s="151">
        <v>0</v>
      </c>
      <c r="K194" s="160"/>
      <c r="L194" s="30"/>
      <c r="M194" s="179" t="s">
        <v>1</v>
      </c>
      <c r="N194" s="180" t="s">
        <v>35</v>
      </c>
      <c r="O194" s="181"/>
      <c r="P194" s="182">
        <f>O194*H194</f>
        <v>0</v>
      </c>
      <c r="Q194" s="182">
        <v>0</v>
      </c>
      <c r="R194" s="182">
        <f>Q194*H194</f>
        <v>0</v>
      </c>
      <c r="S194" s="182">
        <v>0</v>
      </c>
      <c r="T194" s="183">
        <f>S194*H194</f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65" t="s">
        <v>1351</v>
      </c>
      <c r="AT194" s="165" t="s">
        <v>181</v>
      </c>
      <c r="AU194" s="165" t="s">
        <v>76</v>
      </c>
      <c r="AY194" s="14" t="s">
        <v>179</v>
      </c>
      <c r="BE194" s="166">
        <f>IF(N194="základná",J194,0)</f>
        <v>0</v>
      </c>
      <c r="BF194" s="166">
        <f>IF(N194="znížená",J194,0)</f>
        <v>0</v>
      </c>
      <c r="BG194" s="166">
        <f>IF(N194="zákl. prenesená",J194,0)</f>
        <v>0</v>
      </c>
      <c r="BH194" s="166">
        <f>IF(N194="zníž. prenesená",J194,0)</f>
        <v>0</v>
      </c>
      <c r="BI194" s="166">
        <f>IF(N194="nulová",J194,0)</f>
        <v>0</v>
      </c>
      <c r="BJ194" s="14" t="s">
        <v>82</v>
      </c>
      <c r="BK194" s="166">
        <f>ROUND(I194*H194,2)</f>
        <v>0</v>
      </c>
      <c r="BL194" s="14" t="s">
        <v>1351</v>
      </c>
      <c r="BM194" s="165" t="s">
        <v>378</v>
      </c>
    </row>
    <row r="195" spans="1:65" s="2" customFormat="1" ht="6.95" customHeight="1">
      <c r="A195" s="29"/>
      <c r="B195" s="47"/>
      <c r="C195" s="48"/>
      <c r="D195" s="48"/>
      <c r="E195" s="48"/>
      <c r="F195" s="48"/>
      <c r="G195" s="48"/>
      <c r="H195" s="48"/>
      <c r="I195" s="48"/>
      <c r="J195" s="48"/>
      <c r="K195" s="48"/>
      <c r="L195" s="30"/>
      <c r="M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</row>
  </sheetData>
  <autoFilter ref="C130:K194"/>
  <mergeCells count="12">
    <mergeCell ref="E123:H123"/>
    <mergeCell ref="L2:V2"/>
    <mergeCell ref="E85:H85"/>
    <mergeCell ref="E87:H87"/>
    <mergeCell ref="E89:H89"/>
    <mergeCell ref="E119:H119"/>
    <mergeCell ref="E121:H12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BM213"/>
  <sheetViews>
    <sheetView showGridLines="0" topLeftCell="A15" workbookViewId="0">
      <selection activeCell="W48" sqref="W4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0" t="s">
        <v>5</v>
      </c>
      <c r="M2" s="351"/>
      <c r="N2" s="351"/>
      <c r="O2" s="351"/>
      <c r="P2" s="351"/>
      <c r="Q2" s="351"/>
      <c r="R2" s="351"/>
      <c r="S2" s="351"/>
      <c r="T2" s="351"/>
      <c r="U2" s="351"/>
      <c r="V2" s="351"/>
      <c r="AT2" s="14" t="s">
        <v>119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5" customHeight="1">
      <c r="B4" s="17"/>
      <c r="D4" s="18" t="s">
        <v>129</v>
      </c>
      <c r="L4" s="17"/>
      <c r="M4" s="98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387" t="str">
        <f>'Rekapitulácia stavby'!K6</f>
        <v>Topoľčianky, Centrálny logistický sklad - rekonštrukcia tepelného hospodárstva</v>
      </c>
      <c r="F7" s="388"/>
      <c r="G7" s="388"/>
      <c r="H7" s="388"/>
      <c r="L7" s="17"/>
    </row>
    <row r="8" spans="1:46" s="1" customFormat="1" ht="12" customHeight="1">
      <c r="B8" s="17"/>
      <c r="D8" s="24" t="s">
        <v>130</v>
      </c>
      <c r="L8" s="17"/>
    </row>
    <row r="9" spans="1:46" s="2" customFormat="1" ht="16.5" customHeight="1">
      <c r="A9" s="29"/>
      <c r="B9" s="30"/>
      <c r="C9" s="29"/>
      <c r="D9" s="29"/>
      <c r="E9" s="387" t="s">
        <v>2801</v>
      </c>
      <c r="F9" s="386"/>
      <c r="G9" s="386"/>
      <c r="H9" s="386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>
      <c r="A10" s="29"/>
      <c r="B10" s="30"/>
      <c r="C10" s="29"/>
      <c r="D10" s="24" t="s">
        <v>132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>
      <c r="A11" s="29"/>
      <c r="B11" s="30"/>
      <c r="C11" s="29"/>
      <c r="D11" s="29"/>
      <c r="E11" s="382" t="s">
        <v>2899</v>
      </c>
      <c r="F11" s="386"/>
      <c r="G11" s="386"/>
      <c r="H11" s="386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>
      <c r="A13" s="29"/>
      <c r="B13" s="30"/>
      <c r="C13" s="29"/>
      <c r="D13" s="24" t="s">
        <v>15</v>
      </c>
      <c r="E13" s="29"/>
      <c r="F13" s="22" t="s">
        <v>1</v>
      </c>
      <c r="G13" s="29"/>
      <c r="H13" s="29"/>
      <c r="I13" s="24" t="s">
        <v>16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17</v>
      </c>
      <c r="E14" s="29"/>
      <c r="F14" s="22" t="s">
        <v>18</v>
      </c>
      <c r="G14" s="29"/>
      <c r="H14" s="29"/>
      <c r="I14" s="24" t="s">
        <v>19</v>
      </c>
      <c r="J14" s="55">
        <f>'Rekapitulácia stavby'!AN8</f>
        <v>45945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>
      <c r="A16" s="29"/>
      <c r="B16" s="30"/>
      <c r="C16" s="29"/>
      <c r="D16" s="24" t="s">
        <v>20</v>
      </c>
      <c r="E16" s="29"/>
      <c r="F16" s="29"/>
      <c r="G16" s="29"/>
      <c r="H16" s="29"/>
      <c r="I16" s="24" t="s">
        <v>21</v>
      </c>
      <c r="J16" s="22" t="str">
        <f>IF('Rekapitulácia stavby'!AN10="","",'Rekapitulácia stavby'!AN10)</f>
        <v/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>
      <c r="A17" s="29"/>
      <c r="B17" s="30"/>
      <c r="C17" s="29"/>
      <c r="D17" s="29"/>
      <c r="E17" s="22" t="str">
        <f>IF('Rekapitulácia stavby'!E11="","",'Rekapitulácia stavby'!E11)</f>
        <v xml:space="preserve"> </v>
      </c>
      <c r="F17" s="29"/>
      <c r="G17" s="29"/>
      <c r="H17" s="29"/>
      <c r="I17" s="24" t="s">
        <v>22</v>
      </c>
      <c r="J17" s="22" t="str">
        <f>IF('Rekapitulácia stavby'!AN11="","",'Rekapitulácia stavby'!AN11)</f>
        <v/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customHeight="1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>
      <c r="A19" s="29"/>
      <c r="B19" s="30"/>
      <c r="C19" s="29"/>
      <c r="D19" s="24" t="s">
        <v>23</v>
      </c>
      <c r="E19" s="29"/>
      <c r="F19" s="29"/>
      <c r="G19" s="29"/>
      <c r="H19" s="29"/>
      <c r="I19" s="24" t="s">
        <v>21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>
      <c r="A20" s="29"/>
      <c r="B20" s="30"/>
      <c r="C20" s="29"/>
      <c r="D20" s="29"/>
      <c r="E20" s="389" t="str">
        <f>'Rekapitulácia stavby'!E14</f>
        <v>Vyplň údaj</v>
      </c>
      <c r="F20" s="390"/>
      <c r="G20" s="390"/>
      <c r="H20" s="390"/>
      <c r="I20" s="24" t="s">
        <v>22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customHeight="1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>
      <c r="A22" s="29"/>
      <c r="B22" s="30"/>
      <c r="C22" s="29"/>
      <c r="D22" s="24" t="s">
        <v>25</v>
      </c>
      <c r="E22" s="29"/>
      <c r="F22" s="29"/>
      <c r="G22" s="29"/>
      <c r="H22" s="29"/>
      <c r="I22" s="24" t="s">
        <v>21</v>
      </c>
      <c r="J22" s="22" t="str">
        <f>IF('Rekapitulácia stavby'!AN16="","",'Rekapitulácia stavby'!AN16)</f>
        <v/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>
      <c r="A23" s="29"/>
      <c r="B23" s="30"/>
      <c r="C23" s="29"/>
      <c r="D23" s="29"/>
      <c r="E23" s="22" t="str">
        <f>IF('Rekapitulácia stavby'!E17="","",'Rekapitulácia stavby'!E17)</f>
        <v xml:space="preserve"> </v>
      </c>
      <c r="F23" s="29"/>
      <c r="G23" s="29"/>
      <c r="H23" s="29"/>
      <c r="I23" s="24" t="s">
        <v>22</v>
      </c>
      <c r="J23" s="22" t="str">
        <f>IF('Rekapitulácia stavby'!AN17="","",'Rekapitulácia stavby'!AN17)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customHeight="1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>
      <c r="A25" s="29"/>
      <c r="B25" s="30"/>
      <c r="C25" s="29"/>
      <c r="D25" s="24" t="s">
        <v>26</v>
      </c>
      <c r="E25" s="29"/>
      <c r="F25" s="29"/>
      <c r="G25" s="29"/>
      <c r="H25" s="29"/>
      <c r="I25" s="24" t="s">
        <v>21</v>
      </c>
      <c r="J25" s="22" t="str">
        <f>IF('Rekapitulácia stavby'!AN19="","",'Rekapitulácia stavby'!AN19)</f>
        <v/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24" t="s">
        <v>22</v>
      </c>
      <c r="J26" s="22" t="str">
        <f>IF('Rekapitulácia stavby'!AN20="","",'Rekapitulácia stavby'!AN20)</f>
        <v/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>
      <c r="A28" s="29"/>
      <c r="B28" s="30"/>
      <c r="C28" s="29"/>
      <c r="D28" s="24" t="s">
        <v>28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>
      <c r="A29" s="99"/>
      <c r="B29" s="100"/>
      <c r="C29" s="99"/>
      <c r="D29" s="99"/>
      <c r="E29" s="378" t="s">
        <v>1</v>
      </c>
      <c r="F29" s="378"/>
      <c r="G29" s="378"/>
      <c r="H29" s="378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102" t="s">
        <v>29</v>
      </c>
      <c r="E32" s="29"/>
      <c r="F32" s="29"/>
      <c r="G32" s="29"/>
      <c r="H32" s="29"/>
      <c r="I32" s="29"/>
      <c r="J32" s="71"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31</v>
      </c>
      <c r="G34" s="29"/>
      <c r="H34" s="29"/>
      <c r="I34" s="33" t="s">
        <v>30</v>
      </c>
      <c r="J34" s="33" t="s">
        <v>32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3" t="s">
        <v>33</v>
      </c>
      <c r="E35" s="35" t="s">
        <v>34</v>
      </c>
      <c r="F35" s="104">
        <f>ROUND((SUM(BE132:BE212)),  2)</f>
        <v>0</v>
      </c>
      <c r="G35" s="105"/>
      <c r="H35" s="105"/>
      <c r="I35" s="106">
        <v>0.23</v>
      </c>
      <c r="J35" s="104">
        <f>ROUND(((SUM(BE132:BE212))*I35),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35</v>
      </c>
      <c r="F36" s="104">
        <f>ROUND((SUM(BF132:BF212)),  2)</f>
        <v>0</v>
      </c>
      <c r="G36" s="105"/>
      <c r="H36" s="105"/>
      <c r="I36" s="106">
        <v>0.23</v>
      </c>
      <c r="J36" s="104">
        <f>ROUND(((SUM(BF132:BF212))*I36),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36</v>
      </c>
      <c r="F37" s="107">
        <f>ROUND((SUM(BG132:BG212)),  2)</f>
        <v>0</v>
      </c>
      <c r="G37" s="29"/>
      <c r="H37" s="29"/>
      <c r="I37" s="108">
        <v>0.23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37</v>
      </c>
      <c r="F38" s="107">
        <f>ROUND((SUM(BH132:BH212)),  2)</f>
        <v>0</v>
      </c>
      <c r="G38" s="29"/>
      <c r="H38" s="29"/>
      <c r="I38" s="108">
        <v>0.23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38</v>
      </c>
      <c r="F39" s="104">
        <f>ROUND((SUM(BI132:BI212)), 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9"/>
      <c r="D41" s="110" t="s">
        <v>39</v>
      </c>
      <c r="E41" s="60"/>
      <c r="F41" s="60"/>
      <c r="G41" s="111" t="s">
        <v>40</v>
      </c>
      <c r="H41" s="112" t="s">
        <v>41</v>
      </c>
      <c r="I41" s="60"/>
      <c r="J41" s="113"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42</v>
      </c>
      <c r="E50" s="44"/>
      <c r="F50" s="44"/>
      <c r="G50" s="43" t="s">
        <v>43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44</v>
      </c>
      <c r="E61" s="32"/>
      <c r="F61" s="115" t="s">
        <v>45</v>
      </c>
      <c r="G61" s="45" t="s">
        <v>44</v>
      </c>
      <c r="H61" s="32"/>
      <c r="I61" s="32"/>
      <c r="J61" s="116" t="s">
        <v>45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46</v>
      </c>
      <c r="E65" s="46"/>
      <c r="F65" s="46"/>
      <c r="G65" s="43" t="s">
        <v>47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44</v>
      </c>
      <c r="E76" s="32"/>
      <c r="F76" s="115" t="s">
        <v>45</v>
      </c>
      <c r="G76" s="45" t="s">
        <v>44</v>
      </c>
      <c r="H76" s="32"/>
      <c r="I76" s="32"/>
      <c r="J76" s="116" t="s">
        <v>45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hidden="1" customHeight="1">
      <c r="A82" s="29"/>
      <c r="B82" s="30"/>
      <c r="C82" s="18" t="s">
        <v>134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hidden="1" customHeight="1">
      <c r="A85" s="29"/>
      <c r="B85" s="30"/>
      <c r="C85" s="29"/>
      <c r="D85" s="29"/>
      <c r="E85" s="387" t="str">
        <f>E7</f>
        <v>Topoľčianky, Centrálny logistický sklad - rekonštrukcia tepelného hospodárstva</v>
      </c>
      <c r="F85" s="388"/>
      <c r="G85" s="388"/>
      <c r="H85" s="388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hidden="1" customHeight="1">
      <c r="B86" s="17"/>
      <c r="C86" s="24" t="s">
        <v>130</v>
      </c>
      <c r="L86" s="17"/>
    </row>
    <row r="87" spans="1:31" s="2" customFormat="1" ht="16.5" hidden="1" customHeight="1">
      <c r="A87" s="29"/>
      <c r="B87" s="30"/>
      <c r="C87" s="29"/>
      <c r="D87" s="29"/>
      <c r="E87" s="387" t="s">
        <v>2801</v>
      </c>
      <c r="F87" s="386"/>
      <c r="G87" s="386"/>
      <c r="H87" s="386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hidden="1" customHeight="1">
      <c r="A88" s="29"/>
      <c r="B88" s="30"/>
      <c r="C88" s="24" t="s">
        <v>132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hidden="1" customHeight="1">
      <c r="A89" s="29"/>
      <c r="B89" s="30"/>
      <c r="C89" s="29"/>
      <c r="D89" s="29"/>
      <c r="E89" s="382" t="str">
        <f>E11</f>
        <v>E2.1-B - Teplovod pre obj. 01 Sklad</v>
      </c>
      <c r="F89" s="386"/>
      <c r="G89" s="386"/>
      <c r="H89" s="386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hidden="1" customHeight="1">
      <c r="A91" s="29"/>
      <c r="B91" s="30"/>
      <c r="C91" s="24" t="s">
        <v>17</v>
      </c>
      <c r="D91" s="29"/>
      <c r="E91" s="29"/>
      <c r="F91" s="22" t="str">
        <f>F14</f>
        <v xml:space="preserve"> </v>
      </c>
      <c r="G91" s="29"/>
      <c r="H91" s="29"/>
      <c r="I91" s="24" t="s">
        <v>19</v>
      </c>
      <c r="J91" s="55">
        <f>IF(J14="","",J14)</f>
        <v>45945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hidden="1" customHeight="1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hidden="1" customHeight="1">
      <c r="A93" s="29"/>
      <c r="B93" s="30"/>
      <c r="C93" s="24" t="s">
        <v>20</v>
      </c>
      <c r="D93" s="29"/>
      <c r="E93" s="29"/>
      <c r="F93" s="22" t="str">
        <f>E17</f>
        <v xml:space="preserve"> </v>
      </c>
      <c r="G93" s="29"/>
      <c r="H93" s="29"/>
      <c r="I93" s="24" t="s">
        <v>25</v>
      </c>
      <c r="J93" s="27" t="str">
        <f>E23</f>
        <v xml:space="preserve">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hidden="1" customHeight="1">
      <c r="A94" s="29"/>
      <c r="B94" s="30"/>
      <c r="C94" s="24" t="s">
        <v>23</v>
      </c>
      <c r="D94" s="29"/>
      <c r="E94" s="29"/>
      <c r="F94" s="22" t="str">
        <f>IF(E20="","",E20)</f>
        <v>Vyplň údaj</v>
      </c>
      <c r="G94" s="29"/>
      <c r="H94" s="29"/>
      <c r="I94" s="24" t="s">
        <v>26</v>
      </c>
      <c r="J94" s="27" t="str">
        <f>E26</f>
        <v xml:space="preserve">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hidden="1" customHeight="1">
      <c r="A96" s="29"/>
      <c r="B96" s="30"/>
      <c r="C96" s="117" t="s">
        <v>135</v>
      </c>
      <c r="D96" s="109"/>
      <c r="E96" s="109"/>
      <c r="F96" s="109"/>
      <c r="G96" s="109"/>
      <c r="H96" s="109"/>
      <c r="I96" s="109"/>
      <c r="J96" s="118" t="s">
        <v>136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hidden="1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hidden="1" customHeight="1">
      <c r="A98" s="29"/>
      <c r="B98" s="30"/>
      <c r="C98" s="119" t="s">
        <v>137</v>
      </c>
      <c r="D98" s="29"/>
      <c r="E98" s="29"/>
      <c r="F98" s="29"/>
      <c r="G98" s="29"/>
      <c r="H98" s="29"/>
      <c r="I98" s="29"/>
      <c r="J98" s="71">
        <f>J132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138</v>
      </c>
    </row>
    <row r="99" spans="1:47" s="9" customFormat="1" ht="24.95" hidden="1" customHeight="1">
      <c r="B99" s="120"/>
      <c r="D99" s="121" t="s">
        <v>975</v>
      </c>
      <c r="E99" s="122"/>
      <c r="F99" s="122"/>
      <c r="G99" s="122"/>
      <c r="H99" s="122"/>
      <c r="I99" s="122"/>
      <c r="J99" s="123">
        <f>J133</f>
        <v>0</v>
      </c>
      <c r="L99" s="120"/>
    </row>
    <row r="100" spans="1:47" s="10" customFormat="1" ht="19.899999999999999" hidden="1" customHeight="1">
      <c r="B100" s="124"/>
      <c r="D100" s="125" t="s">
        <v>976</v>
      </c>
      <c r="E100" s="126"/>
      <c r="F100" s="126"/>
      <c r="G100" s="126"/>
      <c r="H100" s="126"/>
      <c r="I100" s="126"/>
      <c r="J100" s="127">
        <f>J134</f>
        <v>0</v>
      </c>
      <c r="L100" s="124"/>
    </row>
    <row r="101" spans="1:47" s="10" customFormat="1" ht="19.899999999999999" hidden="1" customHeight="1">
      <c r="B101" s="124"/>
      <c r="D101" s="125" t="s">
        <v>977</v>
      </c>
      <c r="E101" s="126"/>
      <c r="F101" s="126"/>
      <c r="G101" s="126"/>
      <c r="H101" s="126"/>
      <c r="I101" s="126"/>
      <c r="J101" s="127">
        <f>J149</f>
        <v>0</v>
      </c>
      <c r="L101" s="124"/>
    </row>
    <row r="102" spans="1:47" s="10" customFormat="1" ht="19.899999999999999" hidden="1" customHeight="1">
      <c r="B102" s="124"/>
      <c r="D102" s="125" t="s">
        <v>2824</v>
      </c>
      <c r="E102" s="126"/>
      <c r="F102" s="126"/>
      <c r="G102" s="126"/>
      <c r="H102" s="126"/>
      <c r="I102" s="126"/>
      <c r="J102" s="127">
        <f>J152</f>
        <v>0</v>
      </c>
      <c r="L102" s="124"/>
    </row>
    <row r="103" spans="1:47" s="10" customFormat="1" ht="19.899999999999999" hidden="1" customHeight="1">
      <c r="B103" s="124"/>
      <c r="D103" s="125" t="s">
        <v>2825</v>
      </c>
      <c r="E103" s="126"/>
      <c r="F103" s="126"/>
      <c r="G103" s="126"/>
      <c r="H103" s="126"/>
      <c r="I103" s="126"/>
      <c r="J103" s="127">
        <f>J157</f>
        <v>0</v>
      </c>
      <c r="L103" s="124"/>
    </row>
    <row r="104" spans="1:47" s="10" customFormat="1" ht="19.899999999999999" hidden="1" customHeight="1">
      <c r="B104" s="124"/>
      <c r="D104" s="125" t="s">
        <v>978</v>
      </c>
      <c r="E104" s="126"/>
      <c r="F104" s="126"/>
      <c r="G104" s="126"/>
      <c r="H104" s="126"/>
      <c r="I104" s="126"/>
      <c r="J104" s="127">
        <f>J173</f>
        <v>0</v>
      </c>
      <c r="L104" s="124"/>
    </row>
    <row r="105" spans="1:47" s="10" customFormat="1" ht="19.899999999999999" hidden="1" customHeight="1">
      <c r="B105" s="124"/>
      <c r="D105" s="125" t="s">
        <v>2826</v>
      </c>
      <c r="E105" s="126"/>
      <c r="F105" s="126"/>
      <c r="G105" s="126"/>
      <c r="H105" s="126"/>
      <c r="I105" s="126"/>
      <c r="J105" s="127">
        <f>J182</f>
        <v>0</v>
      </c>
      <c r="L105" s="124"/>
    </row>
    <row r="106" spans="1:47" s="9" customFormat="1" ht="24.95" hidden="1" customHeight="1">
      <c r="B106" s="120"/>
      <c r="D106" s="121" t="s">
        <v>979</v>
      </c>
      <c r="E106" s="122"/>
      <c r="F106" s="122"/>
      <c r="G106" s="122"/>
      <c r="H106" s="122"/>
      <c r="I106" s="122"/>
      <c r="J106" s="123">
        <f>J185</f>
        <v>0</v>
      </c>
      <c r="L106" s="120"/>
    </row>
    <row r="107" spans="1:47" s="10" customFormat="1" ht="19.899999999999999" hidden="1" customHeight="1">
      <c r="B107" s="124"/>
      <c r="D107" s="125" t="s">
        <v>980</v>
      </c>
      <c r="E107" s="126"/>
      <c r="F107" s="126"/>
      <c r="G107" s="126"/>
      <c r="H107" s="126"/>
      <c r="I107" s="126"/>
      <c r="J107" s="127">
        <f>J186</f>
        <v>0</v>
      </c>
      <c r="L107" s="124"/>
    </row>
    <row r="108" spans="1:47" s="10" customFormat="1" ht="19.899999999999999" hidden="1" customHeight="1">
      <c r="B108" s="124"/>
      <c r="D108" s="125" t="s">
        <v>2130</v>
      </c>
      <c r="E108" s="126"/>
      <c r="F108" s="126"/>
      <c r="G108" s="126"/>
      <c r="H108" s="126"/>
      <c r="I108" s="126"/>
      <c r="J108" s="127">
        <f>J196</f>
        <v>0</v>
      </c>
      <c r="L108" s="124"/>
    </row>
    <row r="109" spans="1:47" s="10" customFormat="1" ht="19.899999999999999" hidden="1" customHeight="1">
      <c r="B109" s="124"/>
      <c r="D109" s="125" t="s">
        <v>2131</v>
      </c>
      <c r="E109" s="126"/>
      <c r="F109" s="126"/>
      <c r="G109" s="126"/>
      <c r="H109" s="126"/>
      <c r="I109" s="126"/>
      <c r="J109" s="127">
        <f>J205</f>
        <v>0</v>
      </c>
      <c r="L109" s="124"/>
    </row>
    <row r="110" spans="1:47" s="9" customFormat="1" ht="24.95" hidden="1" customHeight="1">
      <c r="B110" s="120"/>
      <c r="D110" s="121" t="s">
        <v>1297</v>
      </c>
      <c r="E110" s="122"/>
      <c r="F110" s="122"/>
      <c r="G110" s="122"/>
      <c r="H110" s="122"/>
      <c r="I110" s="122"/>
      <c r="J110" s="123">
        <f>J211</f>
        <v>0</v>
      </c>
      <c r="L110" s="120"/>
    </row>
    <row r="111" spans="1:47" s="2" customFormat="1" ht="21.75" hidden="1" customHeight="1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47" s="2" customFormat="1" ht="6.95" hidden="1" customHeight="1">
      <c r="A112" s="29"/>
      <c r="B112" s="47"/>
      <c r="C112" s="48"/>
      <c r="D112" s="48"/>
      <c r="E112" s="48"/>
      <c r="F112" s="48"/>
      <c r="G112" s="48"/>
      <c r="H112" s="48"/>
      <c r="I112" s="48"/>
      <c r="J112" s="48"/>
      <c r="K112" s="48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31" hidden="1"/>
    <row r="114" spans="1:31" hidden="1"/>
    <row r="115" spans="1:31" hidden="1"/>
    <row r="116" spans="1:31" s="2" customFormat="1" ht="6.95" customHeight="1">
      <c r="A116" s="29"/>
      <c r="B116" s="49"/>
      <c r="C116" s="50"/>
      <c r="D116" s="50"/>
      <c r="E116" s="50"/>
      <c r="F116" s="50"/>
      <c r="G116" s="50"/>
      <c r="H116" s="50"/>
      <c r="I116" s="50"/>
      <c r="J116" s="50"/>
      <c r="K116" s="50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31" s="2" customFormat="1" ht="24.95" customHeight="1">
      <c r="A117" s="29"/>
      <c r="B117" s="30"/>
      <c r="C117" s="18" t="s">
        <v>165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6.9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12" customHeight="1">
      <c r="A119" s="29"/>
      <c r="B119" s="30"/>
      <c r="C119" s="24" t="s">
        <v>14</v>
      </c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6.5" customHeight="1">
      <c r="A120" s="29"/>
      <c r="B120" s="30"/>
      <c r="C120" s="29"/>
      <c r="D120" s="29"/>
      <c r="E120" s="387" t="str">
        <f>E7</f>
        <v>Topoľčianky, Centrálny logistický sklad - rekonštrukcia tepelného hospodárstva</v>
      </c>
      <c r="F120" s="388"/>
      <c r="G120" s="388"/>
      <c r="H120" s="388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1" customFormat="1" ht="12" customHeight="1">
      <c r="B121" s="17"/>
      <c r="C121" s="24" t="s">
        <v>130</v>
      </c>
      <c r="L121" s="17"/>
    </row>
    <row r="122" spans="1:31" s="2" customFormat="1" ht="16.5" customHeight="1">
      <c r="A122" s="29"/>
      <c r="B122" s="30"/>
      <c r="C122" s="29"/>
      <c r="D122" s="29"/>
      <c r="E122" s="387" t="s">
        <v>2801</v>
      </c>
      <c r="F122" s="386"/>
      <c r="G122" s="386"/>
      <c r="H122" s="386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2" customHeight="1">
      <c r="A123" s="29"/>
      <c r="B123" s="30"/>
      <c r="C123" s="24" t="s">
        <v>132</v>
      </c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6.5" customHeight="1">
      <c r="A124" s="29"/>
      <c r="B124" s="30"/>
      <c r="C124" s="29"/>
      <c r="D124" s="29"/>
      <c r="E124" s="382" t="str">
        <f>E11</f>
        <v>E2.1-B - Teplovod pre obj. 01 Sklad</v>
      </c>
      <c r="F124" s="386"/>
      <c r="G124" s="386"/>
      <c r="H124" s="386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6.95" customHeight="1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2" customHeight="1">
      <c r="A126" s="29"/>
      <c r="B126" s="30"/>
      <c r="C126" s="24" t="s">
        <v>17</v>
      </c>
      <c r="D126" s="29"/>
      <c r="E126" s="29"/>
      <c r="F126" s="22" t="str">
        <f>F14</f>
        <v xml:space="preserve"> </v>
      </c>
      <c r="G126" s="29"/>
      <c r="H126" s="29"/>
      <c r="I126" s="24" t="s">
        <v>19</v>
      </c>
      <c r="J126" s="55">
        <f>IF(J14="","",J14)</f>
        <v>45945</v>
      </c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6.95" customHeight="1">
      <c r="A127" s="29"/>
      <c r="B127" s="30"/>
      <c r="C127" s="29"/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5.2" customHeight="1">
      <c r="A128" s="29"/>
      <c r="B128" s="30"/>
      <c r="C128" s="24" t="s">
        <v>20</v>
      </c>
      <c r="D128" s="29"/>
      <c r="E128" s="29"/>
      <c r="F128" s="22" t="str">
        <f>E17</f>
        <v xml:space="preserve"> </v>
      </c>
      <c r="G128" s="29"/>
      <c r="H128" s="29"/>
      <c r="I128" s="24" t="s">
        <v>25</v>
      </c>
      <c r="J128" s="27" t="str">
        <f>E23</f>
        <v xml:space="preserve"> </v>
      </c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5.2" customHeight="1">
      <c r="A129" s="29"/>
      <c r="B129" s="30"/>
      <c r="C129" s="24" t="s">
        <v>23</v>
      </c>
      <c r="D129" s="29"/>
      <c r="E129" s="29"/>
      <c r="F129" s="22" t="str">
        <f>IF(E20="","",E20)</f>
        <v>Vyplň údaj</v>
      </c>
      <c r="G129" s="29"/>
      <c r="H129" s="29"/>
      <c r="I129" s="24" t="s">
        <v>26</v>
      </c>
      <c r="J129" s="27" t="str">
        <f>E26</f>
        <v xml:space="preserve"> </v>
      </c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0.35" customHeight="1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11" customFormat="1" ht="29.25" customHeight="1">
      <c r="A131" s="128"/>
      <c r="B131" s="129"/>
      <c r="C131" s="130" t="s">
        <v>166</v>
      </c>
      <c r="D131" s="131" t="s">
        <v>54</v>
      </c>
      <c r="E131" s="131" t="s">
        <v>50</v>
      </c>
      <c r="F131" s="131" t="s">
        <v>51</v>
      </c>
      <c r="G131" s="131" t="s">
        <v>167</v>
      </c>
      <c r="H131" s="131" t="s">
        <v>168</v>
      </c>
      <c r="I131" s="131" t="s">
        <v>169</v>
      </c>
      <c r="J131" s="132" t="s">
        <v>136</v>
      </c>
      <c r="K131" s="133" t="s">
        <v>170</v>
      </c>
      <c r="L131" s="134"/>
      <c r="M131" s="62" t="s">
        <v>1</v>
      </c>
      <c r="N131" s="63" t="s">
        <v>33</v>
      </c>
      <c r="O131" s="63" t="s">
        <v>171</v>
      </c>
      <c r="P131" s="63" t="s">
        <v>172</v>
      </c>
      <c r="Q131" s="63" t="s">
        <v>173</v>
      </c>
      <c r="R131" s="63" t="s">
        <v>174</v>
      </c>
      <c r="S131" s="63" t="s">
        <v>175</v>
      </c>
      <c r="T131" s="64" t="s">
        <v>176</v>
      </c>
      <c r="U131" s="128"/>
      <c r="V131" s="128"/>
      <c r="W131" s="128"/>
      <c r="X131" s="128"/>
      <c r="Y131" s="128"/>
      <c r="Z131" s="128"/>
      <c r="AA131" s="128"/>
      <c r="AB131" s="128"/>
      <c r="AC131" s="128"/>
      <c r="AD131" s="128"/>
      <c r="AE131" s="128"/>
    </row>
    <row r="132" spans="1:65" s="2" customFormat="1" ht="22.9" customHeight="1">
      <c r="A132" s="29"/>
      <c r="B132" s="30"/>
      <c r="C132" s="69" t="s">
        <v>137</v>
      </c>
      <c r="D132" s="29"/>
      <c r="E132" s="29"/>
      <c r="F132" s="29"/>
      <c r="G132" s="29"/>
      <c r="H132" s="29"/>
      <c r="I132" s="29"/>
      <c r="J132" s="135">
        <v>0</v>
      </c>
      <c r="K132" s="29"/>
      <c r="L132" s="30"/>
      <c r="M132" s="65"/>
      <c r="N132" s="56"/>
      <c r="O132" s="66"/>
      <c r="P132" s="136">
        <f>P133+P185+P211</f>
        <v>0</v>
      </c>
      <c r="Q132" s="66"/>
      <c r="R132" s="136">
        <f>R133+R185+R211</f>
        <v>15.936759999999998</v>
      </c>
      <c r="S132" s="66"/>
      <c r="T132" s="137">
        <f>T133+T185+T211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T132" s="14" t="s">
        <v>68</v>
      </c>
      <c r="AU132" s="14" t="s">
        <v>138</v>
      </c>
      <c r="BK132" s="138">
        <f>BK133+BK185+BK211</f>
        <v>0</v>
      </c>
    </row>
    <row r="133" spans="1:65" s="12" customFormat="1" ht="25.9" customHeight="1">
      <c r="B133" s="139"/>
      <c r="D133" s="140" t="s">
        <v>68</v>
      </c>
      <c r="E133" s="141" t="s">
        <v>177</v>
      </c>
      <c r="F133" s="141" t="s">
        <v>985</v>
      </c>
      <c r="I133" s="142"/>
      <c r="J133" s="143">
        <v>0</v>
      </c>
      <c r="L133" s="139"/>
      <c r="M133" s="144"/>
      <c r="N133" s="145"/>
      <c r="O133" s="145"/>
      <c r="P133" s="146">
        <f>P134+P149+P152+P157+P173+P182</f>
        <v>0</v>
      </c>
      <c r="Q133" s="145"/>
      <c r="R133" s="146">
        <f>R134+R149+R152+R157+R173+R182</f>
        <v>15.839759999999998</v>
      </c>
      <c r="S133" s="145"/>
      <c r="T133" s="147">
        <f>T134+T149+T152+T157+T173+T182</f>
        <v>0</v>
      </c>
      <c r="AR133" s="140" t="s">
        <v>76</v>
      </c>
      <c r="AT133" s="148" t="s">
        <v>68</v>
      </c>
      <c r="AU133" s="148" t="s">
        <v>69</v>
      </c>
      <c r="AY133" s="140" t="s">
        <v>179</v>
      </c>
      <c r="BK133" s="149">
        <f>BK134+BK149+BK152+BK157+BK173+BK182</f>
        <v>0</v>
      </c>
    </row>
    <row r="134" spans="1:65" s="12" customFormat="1" ht="22.9" customHeight="1">
      <c r="B134" s="139"/>
      <c r="D134" s="140" t="s">
        <v>68</v>
      </c>
      <c r="E134" s="150" t="s">
        <v>76</v>
      </c>
      <c r="F134" s="150" t="s">
        <v>986</v>
      </c>
      <c r="I134" s="142"/>
      <c r="J134" s="151">
        <v>0</v>
      </c>
      <c r="L134" s="139"/>
      <c r="M134" s="144"/>
      <c r="N134" s="145"/>
      <c r="O134" s="145"/>
      <c r="P134" s="146">
        <f>SUM(P135:P148)</f>
        <v>0</v>
      </c>
      <c r="Q134" s="145"/>
      <c r="R134" s="146">
        <f>SUM(R135:R148)</f>
        <v>0</v>
      </c>
      <c r="S134" s="145"/>
      <c r="T134" s="147">
        <f>SUM(T135:T148)</f>
        <v>0</v>
      </c>
      <c r="AR134" s="140" t="s">
        <v>76</v>
      </c>
      <c r="AT134" s="148" t="s">
        <v>68</v>
      </c>
      <c r="AU134" s="148" t="s">
        <v>76</v>
      </c>
      <c r="AY134" s="140" t="s">
        <v>179</v>
      </c>
      <c r="BK134" s="149">
        <f>SUM(BK135:BK148)</f>
        <v>0</v>
      </c>
    </row>
    <row r="135" spans="1:65" s="2" customFormat="1" ht="33" customHeight="1">
      <c r="A135" s="29"/>
      <c r="B135" s="152"/>
      <c r="C135" s="153" t="s">
        <v>76</v>
      </c>
      <c r="D135" s="153" t="s">
        <v>181</v>
      </c>
      <c r="E135" s="154" t="s">
        <v>2827</v>
      </c>
      <c r="F135" s="155" t="s">
        <v>2828</v>
      </c>
      <c r="G135" s="156" t="s">
        <v>184</v>
      </c>
      <c r="H135" s="157">
        <v>12.3</v>
      </c>
      <c r="I135" s="158"/>
      <c r="J135" s="151">
        <v>0</v>
      </c>
      <c r="K135" s="160"/>
      <c r="L135" s="30"/>
      <c r="M135" s="161" t="s">
        <v>1</v>
      </c>
      <c r="N135" s="162" t="s">
        <v>35</v>
      </c>
      <c r="O135" s="58"/>
      <c r="P135" s="163">
        <f t="shared" ref="P135:P148" si="0">O135*H135</f>
        <v>0</v>
      </c>
      <c r="Q135" s="163">
        <v>0</v>
      </c>
      <c r="R135" s="163">
        <f t="shared" ref="R135:R148" si="1">Q135*H135</f>
        <v>0</v>
      </c>
      <c r="S135" s="163">
        <v>0</v>
      </c>
      <c r="T135" s="164">
        <f t="shared" ref="T135:T148" si="2"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5" t="s">
        <v>185</v>
      </c>
      <c r="AT135" s="165" t="s">
        <v>181</v>
      </c>
      <c r="AU135" s="165" t="s">
        <v>82</v>
      </c>
      <c r="AY135" s="14" t="s">
        <v>179</v>
      </c>
      <c r="BE135" s="166">
        <f t="shared" ref="BE135:BE148" si="3">IF(N135="základná",J135,0)</f>
        <v>0</v>
      </c>
      <c r="BF135" s="166">
        <f t="shared" ref="BF135:BF148" si="4">IF(N135="znížená",J135,0)</f>
        <v>0</v>
      </c>
      <c r="BG135" s="166">
        <f t="shared" ref="BG135:BG148" si="5">IF(N135="zákl. prenesená",J135,0)</f>
        <v>0</v>
      </c>
      <c r="BH135" s="166">
        <f t="shared" ref="BH135:BH148" si="6">IF(N135="zníž. prenesená",J135,0)</f>
        <v>0</v>
      </c>
      <c r="BI135" s="166">
        <f t="shared" ref="BI135:BI148" si="7">IF(N135="nulová",J135,0)</f>
        <v>0</v>
      </c>
      <c r="BJ135" s="14" t="s">
        <v>82</v>
      </c>
      <c r="BK135" s="166">
        <f t="shared" ref="BK135:BK148" si="8">ROUND(I135*H135,2)</f>
        <v>0</v>
      </c>
      <c r="BL135" s="14" t="s">
        <v>185</v>
      </c>
      <c r="BM135" s="165" t="s">
        <v>82</v>
      </c>
    </row>
    <row r="136" spans="1:65" s="2" customFormat="1" ht="33" customHeight="1">
      <c r="A136" s="29"/>
      <c r="B136" s="152"/>
      <c r="C136" s="153" t="s">
        <v>82</v>
      </c>
      <c r="D136" s="153" t="s">
        <v>181</v>
      </c>
      <c r="E136" s="154" t="s">
        <v>2829</v>
      </c>
      <c r="F136" s="155" t="s">
        <v>2830</v>
      </c>
      <c r="G136" s="156" t="s">
        <v>184</v>
      </c>
      <c r="H136" s="157">
        <v>12.3</v>
      </c>
      <c r="I136" s="158"/>
      <c r="J136" s="151">
        <v>0</v>
      </c>
      <c r="K136" s="160"/>
      <c r="L136" s="30"/>
      <c r="M136" s="161" t="s">
        <v>1</v>
      </c>
      <c r="N136" s="162" t="s">
        <v>35</v>
      </c>
      <c r="O136" s="58"/>
      <c r="P136" s="163">
        <f t="shared" si="0"/>
        <v>0</v>
      </c>
      <c r="Q136" s="163">
        <v>0</v>
      </c>
      <c r="R136" s="163">
        <f t="shared" si="1"/>
        <v>0</v>
      </c>
      <c r="S136" s="163">
        <v>0</v>
      </c>
      <c r="T136" s="164">
        <f t="shared" si="2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5" t="s">
        <v>185</v>
      </c>
      <c r="AT136" s="165" t="s">
        <v>181</v>
      </c>
      <c r="AU136" s="165" t="s">
        <v>82</v>
      </c>
      <c r="AY136" s="14" t="s">
        <v>179</v>
      </c>
      <c r="BE136" s="166">
        <f t="shared" si="3"/>
        <v>0</v>
      </c>
      <c r="BF136" s="166">
        <f t="shared" si="4"/>
        <v>0</v>
      </c>
      <c r="BG136" s="166">
        <f t="shared" si="5"/>
        <v>0</v>
      </c>
      <c r="BH136" s="166">
        <f t="shared" si="6"/>
        <v>0</v>
      </c>
      <c r="BI136" s="166">
        <f t="shared" si="7"/>
        <v>0</v>
      </c>
      <c r="BJ136" s="14" t="s">
        <v>82</v>
      </c>
      <c r="BK136" s="166">
        <f t="shared" si="8"/>
        <v>0</v>
      </c>
      <c r="BL136" s="14" t="s">
        <v>185</v>
      </c>
      <c r="BM136" s="165" t="s">
        <v>185</v>
      </c>
    </row>
    <row r="137" spans="1:65" s="2" customFormat="1" ht="33" customHeight="1">
      <c r="A137" s="29"/>
      <c r="B137" s="152"/>
      <c r="C137" s="153" t="s">
        <v>188</v>
      </c>
      <c r="D137" s="153" t="s">
        <v>181</v>
      </c>
      <c r="E137" s="154" t="s">
        <v>2831</v>
      </c>
      <c r="F137" s="155" t="s">
        <v>2832</v>
      </c>
      <c r="G137" s="156" t="s">
        <v>184</v>
      </c>
      <c r="H137" s="157">
        <v>12.3</v>
      </c>
      <c r="I137" s="158"/>
      <c r="J137" s="151">
        <v>0</v>
      </c>
      <c r="K137" s="160"/>
      <c r="L137" s="30"/>
      <c r="M137" s="161" t="s">
        <v>1</v>
      </c>
      <c r="N137" s="162" t="s">
        <v>35</v>
      </c>
      <c r="O137" s="58"/>
      <c r="P137" s="163">
        <f t="shared" si="0"/>
        <v>0</v>
      </c>
      <c r="Q137" s="163">
        <v>0</v>
      </c>
      <c r="R137" s="163">
        <f t="shared" si="1"/>
        <v>0</v>
      </c>
      <c r="S137" s="163">
        <v>0</v>
      </c>
      <c r="T137" s="164">
        <f t="shared" si="2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185</v>
      </c>
      <c r="AT137" s="165" t="s">
        <v>181</v>
      </c>
      <c r="AU137" s="165" t="s">
        <v>82</v>
      </c>
      <c r="AY137" s="14" t="s">
        <v>179</v>
      </c>
      <c r="BE137" s="166">
        <f t="shared" si="3"/>
        <v>0</v>
      </c>
      <c r="BF137" s="166">
        <f t="shared" si="4"/>
        <v>0</v>
      </c>
      <c r="BG137" s="166">
        <f t="shared" si="5"/>
        <v>0</v>
      </c>
      <c r="BH137" s="166">
        <f t="shared" si="6"/>
        <v>0</v>
      </c>
      <c r="BI137" s="166">
        <f t="shared" si="7"/>
        <v>0</v>
      </c>
      <c r="BJ137" s="14" t="s">
        <v>82</v>
      </c>
      <c r="BK137" s="166">
        <f t="shared" si="8"/>
        <v>0</v>
      </c>
      <c r="BL137" s="14" t="s">
        <v>185</v>
      </c>
      <c r="BM137" s="165" t="s">
        <v>192</v>
      </c>
    </row>
    <row r="138" spans="1:65" s="2" customFormat="1" ht="21.75" customHeight="1">
      <c r="A138" s="29"/>
      <c r="B138" s="152"/>
      <c r="C138" s="153" t="s">
        <v>185</v>
      </c>
      <c r="D138" s="153" t="s">
        <v>181</v>
      </c>
      <c r="E138" s="154" t="s">
        <v>2833</v>
      </c>
      <c r="F138" s="155" t="s">
        <v>2900</v>
      </c>
      <c r="G138" s="156" t="s">
        <v>196</v>
      </c>
      <c r="H138" s="157">
        <v>205.65700000000001</v>
      </c>
      <c r="I138" s="158"/>
      <c r="J138" s="151">
        <v>0</v>
      </c>
      <c r="K138" s="160"/>
      <c r="L138" s="30"/>
      <c r="M138" s="161" t="s">
        <v>1</v>
      </c>
      <c r="N138" s="162" t="s">
        <v>35</v>
      </c>
      <c r="O138" s="58"/>
      <c r="P138" s="163">
        <f t="shared" si="0"/>
        <v>0</v>
      </c>
      <c r="Q138" s="163">
        <v>0</v>
      </c>
      <c r="R138" s="163">
        <f t="shared" si="1"/>
        <v>0</v>
      </c>
      <c r="S138" s="163">
        <v>0</v>
      </c>
      <c r="T138" s="164">
        <f t="shared" si="2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185</v>
      </c>
      <c r="AT138" s="165" t="s">
        <v>181</v>
      </c>
      <c r="AU138" s="165" t="s">
        <v>82</v>
      </c>
      <c r="AY138" s="14" t="s">
        <v>179</v>
      </c>
      <c r="BE138" s="166">
        <f t="shared" si="3"/>
        <v>0</v>
      </c>
      <c r="BF138" s="166">
        <f t="shared" si="4"/>
        <v>0</v>
      </c>
      <c r="BG138" s="166">
        <f t="shared" si="5"/>
        <v>0</v>
      </c>
      <c r="BH138" s="166">
        <f t="shared" si="6"/>
        <v>0</v>
      </c>
      <c r="BI138" s="166">
        <f t="shared" si="7"/>
        <v>0</v>
      </c>
      <c r="BJ138" s="14" t="s">
        <v>82</v>
      </c>
      <c r="BK138" s="166">
        <f t="shared" si="8"/>
        <v>0</v>
      </c>
      <c r="BL138" s="14" t="s">
        <v>185</v>
      </c>
      <c r="BM138" s="165" t="s">
        <v>197</v>
      </c>
    </row>
    <row r="139" spans="1:65" s="2" customFormat="1" ht="37.9" customHeight="1">
      <c r="A139" s="29"/>
      <c r="B139" s="152"/>
      <c r="C139" s="153" t="s">
        <v>198</v>
      </c>
      <c r="D139" s="153" t="s">
        <v>181</v>
      </c>
      <c r="E139" s="154" t="s">
        <v>2835</v>
      </c>
      <c r="F139" s="155" t="s">
        <v>2836</v>
      </c>
      <c r="G139" s="156" t="s">
        <v>196</v>
      </c>
      <c r="H139" s="157">
        <v>205.65700000000001</v>
      </c>
      <c r="I139" s="158"/>
      <c r="J139" s="151">
        <v>0</v>
      </c>
      <c r="K139" s="160"/>
      <c r="L139" s="30"/>
      <c r="M139" s="161" t="s">
        <v>1</v>
      </c>
      <c r="N139" s="162" t="s">
        <v>35</v>
      </c>
      <c r="O139" s="58"/>
      <c r="P139" s="163">
        <f t="shared" si="0"/>
        <v>0</v>
      </c>
      <c r="Q139" s="163">
        <v>0</v>
      </c>
      <c r="R139" s="163">
        <f t="shared" si="1"/>
        <v>0</v>
      </c>
      <c r="S139" s="163">
        <v>0</v>
      </c>
      <c r="T139" s="164">
        <f t="shared" si="2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185</v>
      </c>
      <c r="AT139" s="165" t="s">
        <v>181</v>
      </c>
      <c r="AU139" s="165" t="s">
        <v>82</v>
      </c>
      <c r="AY139" s="14" t="s">
        <v>179</v>
      </c>
      <c r="BE139" s="166">
        <f t="shared" si="3"/>
        <v>0</v>
      </c>
      <c r="BF139" s="166">
        <f t="shared" si="4"/>
        <v>0</v>
      </c>
      <c r="BG139" s="166">
        <f t="shared" si="5"/>
        <v>0</v>
      </c>
      <c r="BH139" s="166">
        <f t="shared" si="6"/>
        <v>0</v>
      </c>
      <c r="BI139" s="166">
        <f t="shared" si="7"/>
        <v>0</v>
      </c>
      <c r="BJ139" s="14" t="s">
        <v>82</v>
      </c>
      <c r="BK139" s="166">
        <f t="shared" si="8"/>
        <v>0</v>
      </c>
      <c r="BL139" s="14" t="s">
        <v>185</v>
      </c>
      <c r="BM139" s="165" t="s">
        <v>201</v>
      </c>
    </row>
    <row r="140" spans="1:65" s="2" customFormat="1" ht="33" customHeight="1">
      <c r="A140" s="29"/>
      <c r="B140" s="152"/>
      <c r="C140" s="153" t="s">
        <v>192</v>
      </c>
      <c r="D140" s="153" t="s">
        <v>181</v>
      </c>
      <c r="E140" s="154" t="s">
        <v>991</v>
      </c>
      <c r="F140" s="155" t="s">
        <v>992</v>
      </c>
      <c r="G140" s="156" t="s">
        <v>196</v>
      </c>
      <c r="H140" s="157">
        <v>76.638000000000005</v>
      </c>
      <c r="I140" s="158"/>
      <c r="J140" s="151">
        <v>0</v>
      </c>
      <c r="K140" s="160"/>
      <c r="L140" s="30"/>
      <c r="M140" s="161" t="s">
        <v>1</v>
      </c>
      <c r="N140" s="162" t="s">
        <v>35</v>
      </c>
      <c r="O140" s="58"/>
      <c r="P140" s="163">
        <f t="shared" si="0"/>
        <v>0</v>
      </c>
      <c r="Q140" s="163">
        <v>0</v>
      </c>
      <c r="R140" s="163">
        <f t="shared" si="1"/>
        <v>0</v>
      </c>
      <c r="S140" s="163">
        <v>0</v>
      </c>
      <c r="T140" s="164">
        <f t="shared" si="2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185</v>
      </c>
      <c r="AT140" s="165" t="s">
        <v>181</v>
      </c>
      <c r="AU140" s="165" t="s">
        <v>82</v>
      </c>
      <c r="AY140" s="14" t="s">
        <v>179</v>
      </c>
      <c r="BE140" s="166">
        <f t="shared" si="3"/>
        <v>0</v>
      </c>
      <c r="BF140" s="166">
        <f t="shared" si="4"/>
        <v>0</v>
      </c>
      <c r="BG140" s="166">
        <f t="shared" si="5"/>
        <v>0</v>
      </c>
      <c r="BH140" s="166">
        <f t="shared" si="6"/>
        <v>0</v>
      </c>
      <c r="BI140" s="166">
        <f t="shared" si="7"/>
        <v>0</v>
      </c>
      <c r="BJ140" s="14" t="s">
        <v>82</v>
      </c>
      <c r="BK140" s="166">
        <f t="shared" si="8"/>
        <v>0</v>
      </c>
      <c r="BL140" s="14" t="s">
        <v>185</v>
      </c>
      <c r="BM140" s="165" t="s">
        <v>205</v>
      </c>
    </row>
    <row r="141" spans="1:65" s="2" customFormat="1" ht="33" customHeight="1">
      <c r="A141" s="29"/>
      <c r="B141" s="152"/>
      <c r="C141" s="153" t="s">
        <v>207</v>
      </c>
      <c r="D141" s="153" t="s">
        <v>181</v>
      </c>
      <c r="E141" s="154" t="s">
        <v>995</v>
      </c>
      <c r="F141" s="155" t="s">
        <v>996</v>
      </c>
      <c r="G141" s="156" t="s">
        <v>196</v>
      </c>
      <c r="H141" s="157">
        <v>76.638000000000005</v>
      </c>
      <c r="I141" s="158"/>
      <c r="J141" s="151">
        <v>0</v>
      </c>
      <c r="K141" s="160"/>
      <c r="L141" s="30"/>
      <c r="M141" s="161" t="s">
        <v>1</v>
      </c>
      <c r="N141" s="162" t="s">
        <v>35</v>
      </c>
      <c r="O141" s="58"/>
      <c r="P141" s="163">
        <f t="shared" si="0"/>
        <v>0</v>
      </c>
      <c r="Q141" s="163">
        <v>0</v>
      </c>
      <c r="R141" s="163">
        <f t="shared" si="1"/>
        <v>0</v>
      </c>
      <c r="S141" s="163">
        <v>0</v>
      </c>
      <c r="T141" s="164">
        <f t="shared" si="2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5" t="s">
        <v>185</v>
      </c>
      <c r="AT141" s="165" t="s">
        <v>181</v>
      </c>
      <c r="AU141" s="165" t="s">
        <v>82</v>
      </c>
      <c r="AY141" s="14" t="s">
        <v>179</v>
      </c>
      <c r="BE141" s="166">
        <f t="shared" si="3"/>
        <v>0</v>
      </c>
      <c r="BF141" s="166">
        <f t="shared" si="4"/>
        <v>0</v>
      </c>
      <c r="BG141" s="166">
        <f t="shared" si="5"/>
        <v>0</v>
      </c>
      <c r="BH141" s="166">
        <f t="shared" si="6"/>
        <v>0</v>
      </c>
      <c r="BI141" s="166">
        <f t="shared" si="7"/>
        <v>0</v>
      </c>
      <c r="BJ141" s="14" t="s">
        <v>82</v>
      </c>
      <c r="BK141" s="166">
        <f t="shared" si="8"/>
        <v>0</v>
      </c>
      <c r="BL141" s="14" t="s">
        <v>185</v>
      </c>
      <c r="BM141" s="165" t="s">
        <v>210</v>
      </c>
    </row>
    <row r="142" spans="1:65" s="2" customFormat="1" ht="24.2" customHeight="1">
      <c r="A142" s="29"/>
      <c r="B142" s="152"/>
      <c r="C142" s="153" t="s">
        <v>197</v>
      </c>
      <c r="D142" s="153" t="s">
        <v>181</v>
      </c>
      <c r="E142" s="154" t="s">
        <v>2837</v>
      </c>
      <c r="F142" s="155" t="s">
        <v>2838</v>
      </c>
      <c r="G142" s="156" t="s">
        <v>196</v>
      </c>
      <c r="H142" s="157">
        <v>76.638000000000005</v>
      </c>
      <c r="I142" s="158"/>
      <c r="J142" s="151">
        <v>0</v>
      </c>
      <c r="K142" s="160"/>
      <c r="L142" s="30"/>
      <c r="M142" s="161" t="s">
        <v>1</v>
      </c>
      <c r="N142" s="162" t="s">
        <v>35</v>
      </c>
      <c r="O142" s="58"/>
      <c r="P142" s="163">
        <f t="shared" si="0"/>
        <v>0</v>
      </c>
      <c r="Q142" s="163">
        <v>0</v>
      </c>
      <c r="R142" s="163">
        <f t="shared" si="1"/>
        <v>0</v>
      </c>
      <c r="S142" s="163">
        <v>0</v>
      </c>
      <c r="T142" s="164">
        <f t="shared" si="2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5" t="s">
        <v>185</v>
      </c>
      <c r="AT142" s="165" t="s">
        <v>181</v>
      </c>
      <c r="AU142" s="165" t="s">
        <v>82</v>
      </c>
      <c r="AY142" s="14" t="s">
        <v>179</v>
      </c>
      <c r="BE142" s="166">
        <f t="shared" si="3"/>
        <v>0</v>
      </c>
      <c r="BF142" s="166">
        <f t="shared" si="4"/>
        <v>0</v>
      </c>
      <c r="BG142" s="166">
        <f t="shared" si="5"/>
        <v>0</v>
      </c>
      <c r="BH142" s="166">
        <f t="shared" si="6"/>
        <v>0</v>
      </c>
      <c r="BI142" s="166">
        <f t="shared" si="7"/>
        <v>0</v>
      </c>
      <c r="BJ142" s="14" t="s">
        <v>82</v>
      </c>
      <c r="BK142" s="166">
        <f t="shared" si="8"/>
        <v>0</v>
      </c>
      <c r="BL142" s="14" t="s">
        <v>185</v>
      </c>
      <c r="BM142" s="165" t="s">
        <v>213</v>
      </c>
    </row>
    <row r="143" spans="1:65" s="2" customFormat="1" ht="24.2" customHeight="1">
      <c r="A143" s="29"/>
      <c r="B143" s="152"/>
      <c r="C143" s="153" t="s">
        <v>214</v>
      </c>
      <c r="D143" s="153" t="s">
        <v>181</v>
      </c>
      <c r="E143" s="154" t="s">
        <v>999</v>
      </c>
      <c r="F143" s="155" t="s">
        <v>1000</v>
      </c>
      <c r="G143" s="156" t="s">
        <v>196</v>
      </c>
      <c r="H143" s="157">
        <v>76.638000000000005</v>
      </c>
      <c r="I143" s="158"/>
      <c r="J143" s="151">
        <v>0</v>
      </c>
      <c r="K143" s="160"/>
      <c r="L143" s="30"/>
      <c r="M143" s="161" t="s">
        <v>1</v>
      </c>
      <c r="N143" s="162" t="s">
        <v>35</v>
      </c>
      <c r="O143" s="58"/>
      <c r="P143" s="163">
        <f t="shared" si="0"/>
        <v>0</v>
      </c>
      <c r="Q143" s="163">
        <v>0</v>
      </c>
      <c r="R143" s="163">
        <f t="shared" si="1"/>
        <v>0</v>
      </c>
      <c r="S143" s="163">
        <v>0</v>
      </c>
      <c r="T143" s="164">
        <f t="shared" si="2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185</v>
      </c>
      <c r="AT143" s="165" t="s">
        <v>181</v>
      </c>
      <c r="AU143" s="165" t="s">
        <v>82</v>
      </c>
      <c r="AY143" s="14" t="s">
        <v>179</v>
      </c>
      <c r="BE143" s="166">
        <f t="shared" si="3"/>
        <v>0</v>
      </c>
      <c r="BF143" s="166">
        <f t="shared" si="4"/>
        <v>0</v>
      </c>
      <c r="BG143" s="166">
        <f t="shared" si="5"/>
        <v>0</v>
      </c>
      <c r="BH143" s="166">
        <f t="shared" si="6"/>
        <v>0</v>
      </c>
      <c r="BI143" s="166">
        <f t="shared" si="7"/>
        <v>0</v>
      </c>
      <c r="BJ143" s="14" t="s">
        <v>82</v>
      </c>
      <c r="BK143" s="166">
        <f t="shared" si="8"/>
        <v>0</v>
      </c>
      <c r="BL143" s="14" t="s">
        <v>185</v>
      </c>
      <c r="BM143" s="165" t="s">
        <v>218</v>
      </c>
    </row>
    <row r="144" spans="1:65" s="2" customFormat="1" ht="16.5" customHeight="1">
      <c r="A144" s="29"/>
      <c r="B144" s="152"/>
      <c r="C144" s="153" t="s">
        <v>201</v>
      </c>
      <c r="D144" s="153" t="s">
        <v>181</v>
      </c>
      <c r="E144" s="154" t="s">
        <v>993</v>
      </c>
      <c r="F144" s="155" t="s">
        <v>994</v>
      </c>
      <c r="G144" s="156" t="s">
        <v>196</v>
      </c>
      <c r="H144" s="157">
        <v>76.638000000000005</v>
      </c>
      <c r="I144" s="158"/>
      <c r="J144" s="151">
        <v>0</v>
      </c>
      <c r="K144" s="160"/>
      <c r="L144" s="30"/>
      <c r="M144" s="161" t="s">
        <v>1</v>
      </c>
      <c r="N144" s="162" t="s">
        <v>35</v>
      </c>
      <c r="O144" s="58"/>
      <c r="P144" s="163">
        <f t="shared" si="0"/>
        <v>0</v>
      </c>
      <c r="Q144" s="163">
        <v>0</v>
      </c>
      <c r="R144" s="163">
        <f t="shared" si="1"/>
        <v>0</v>
      </c>
      <c r="S144" s="163">
        <v>0</v>
      </c>
      <c r="T144" s="164">
        <f t="shared" si="2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5" t="s">
        <v>185</v>
      </c>
      <c r="AT144" s="165" t="s">
        <v>181</v>
      </c>
      <c r="AU144" s="165" t="s">
        <v>82</v>
      </c>
      <c r="AY144" s="14" t="s">
        <v>179</v>
      </c>
      <c r="BE144" s="166">
        <f t="shared" si="3"/>
        <v>0</v>
      </c>
      <c r="BF144" s="166">
        <f t="shared" si="4"/>
        <v>0</v>
      </c>
      <c r="BG144" s="166">
        <f t="shared" si="5"/>
        <v>0</v>
      </c>
      <c r="BH144" s="166">
        <f t="shared" si="6"/>
        <v>0</v>
      </c>
      <c r="BI144" s="166">
        <f t="shared" si="7"/>
        <v>0</v>
      </c>
      <c r="BJ144" s="14" t="s">
        <v>82</v>
      </c>
      <c r="BK144" s="166">
        <f t="shared" si="8"/>
        <v>0</v>
      </c>
      <c r="BL144" s="14" t="s">
        <v>185</v>
      </c>
      <c r="BM144" s="165" t="s">
        <v>221</v>
      </c>
    </row>
    <row r="145" spans="1:65" s="2" customFormat="1" ht="24.2" customHeight="1">
      <c r="A145" s="29"/>
      <c r="B145" s="152"/>
      <c r="C145" s="153" t="s">
        <v>222</v>
      </c>
      <c r="D145" s="153" t="s">
        <v>181</v>
      </c>
      <c r="E145" s="154" t="s">
        <v>189</v>
      </c>
      <c r="F145" s="155" t="s">
        <v>2839</v>
      </c>
      <c r="G145" s="156" t="s">
        <v>191</v>
      </c>
      <c r="H145" s="157">
        <v>127.985</v>
      </c>
      <c r="I145" s="158"/>
      <c r="J145" s="151">
        <v>0</v>
      </c>
      <c r="K145" s="160"/>
      <c r="L145" s="30"/>
      <c r="M145" s="161" t="s">
        <v>1</v>
      </c>
      <c r="N145" s="162" t="s">
        <v>35</v>
      </c>
      <c r="O145" s="58"/>
      <c r="P145" s="163">
        <f t="shared" si="0"/>
        <v>0</v>
      </c>
      <c r="Q145" s="163">
        <v>0</v>
      </c>
      <c r="R145" s="163">
        <f t="shared" si="1"/>
        <v>0</v>
      </c>
      <c r="S145" s="163">
        <v>0</v>
      </c>
      <c r="T145" s="164">
        <f t="shared" si="2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5" t="s">
        <v>185</v>
      </c>
      <c r="AT145" s="165" t="s">
        <v>181</v>
      </c>
      <c r="AU145" s="165" t="s">
        <v>82</v>
      </c>
      <c r="AY145" s="14" t="s">
        <v>179</v>
      </c>
      <c r="BE145" s="166">
        <f t="shared" si="3"/>
        <v>0</v>
      </c>
      <c r="BF145" s="166">
        <f t="shared" si="4"/>
        <v>0</v>
      </c>
      <c r="BG145" s="166">
        <f t="shared" si="5"/>
        <v>0</v>
      </c>
      <c r="BH145" s="166">
        <f t="shared" si="6"/>
        <v>0</v>
      </c>
      <c r="BI145" s="166">
        <f t="shared" si="7"/>
        <v>0</v>
      </c>
      <c r="BJ145" s="14" t="s">
        <v>82</v>
      </c>
      <c r="BK145" s="166">
        <f t="shared" si="8"/>
        <v>0</v>
      </c>
      <c r="BL145" s="14" t="s">
        <v>185</v>
      </c>
      <c r="BM145" s="165" t="s">
        <v>225</v>
      </c>
    </row>
    <row r="146" spans="1:65" s="2" customFormat="1" ht="24.2" customHeight="1">
      <c r="A146" s="29"/>
      <c r="B146" s="152"/>
      <c r="C146" s="153" t="s">
        <v>205</v>
      </c>
      <c r="D146" s="153" t="s">
        <v>181</v>
      </c>
      <c r="E146" s="154" t="s">
        <v>2840</v>
      </c>
      <c r="F146" s="155" t="s">
        <v>2841</v>
      </c>
      <c r="G146" s="156" t="s">
        <v>196</v>
      </c>
      <c r="H146" s="157">
        <v>137.01900000000001</v>
      </c>
      <c r="I146" s="158"/>
      <c r="J146" s="151">
        <v>0</v>
      </c>
      <c r="K146" s="160"/>
      <c r="L146" s="30"/>
      <c r="M146" s="161" t="s">
        <v>1</v>
      </c>
      <c r="N146" s="162" t="s">
        <v>35</v>
      </c>
      <c r="O146" s="58"/>
      <c r="P146" s="163">
        <f t="shared" si="0"/>
        <v>0</v>
      </c>
      <c r="Q146" s="163">
        <v>0</v>
      </c>
      <c r="R146" s="163">
        <f t="shared" si="1"/>
        <v>0</v>
      </c>
      <c r="S146" s="163">
        <v>0</v>
      </c>
      <c r="T146" s="164">
        <f t="shared" si="2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5" t="s">
        <v>185</v>
      </c>
      <c r="AT146" s="165" t="s">
        <v>181</v>
      </c>
      <c r="AU146" s="165" t="s">
        <v>82</v>
      </c>
      <c r="AY146" s="14" t="s">
        <v>179</v>
      </c>
      <c r="BE146" s="166">
        <f t="shared" si="3"/>
        <v>0</v>
      </c>
      <c r="BF146" s="166">
        <f t="shared" si="4"/>
        <v>0</v>
      </c>
      <c r="BG146" s="166">
        <f t="shared" si="5"/>
        <v>0</v>
      </c>
      <c r="BH146" s="166">
        <f t="shared" si="6"/>
        <v>0</v>
      </c>
      <c r="BI146" s="166">
        <f t="shared" si="7"/>
        <v>0</v>
      </c>
      <c r="BJ146" s="14" t="s">
        <v>82</v>
      </c>
      <c r="BK146" s="166">
        <f t="shared" si="8"/>
        <v>0</v>
      </c>
      <c r="BL146" s="14" t="s">
        <v>185</v>
      </c>
      <c r="BM146" s="165" t="s">
        <v>228</v>
      </c>
    </row>
    <row r="147" spans="1:65" s="2" customFormat="1" ht="24.2" customHeight="1">
      <c r="A147" s="29"/>
      <c r="B147" s="152"/>
      <c r="C147" s="153" t="s">
        <v>229</v>
      </c>
      <c r="D147" s="153" t="s">
        <v>181</v>
      </c>
      <c r="E147" s="154" t="s">
        <v>2842</v>
      </c>
      <c r="F147" s="155" t="s">
        <v>1004</v>
      </c>
      <c r="G147" s="156" t="s">
        <v>196</v>
      </c>
      <c r="H147" s="157">
        <v>48.887999999999998</v>
      </c>
      <c r="I147" s="158"/>
      <c r="J147" s="151">
        <v>0</v>
      </c>
      <c r="K147" s="160"/>
      <c r="L147" s="30"/>
      <c r="M147" s="161" t="s">
        <v>1</v>
      </c>
      <c r="N147" s="162" t="s">
        <v>35</v>
      </c>
      <c r="O147" s="58"/>
      <c r="P147" s="163">
        <f t="shared" si="0"/>
        <v>0</v>
      </c>
      <c r="Q147" s="163">
        <v>0</v>
      </c>
      <c r="R147" s="163">
        <f t="shared" si="1"/>
        <v>0</v>
      </c>
      <c r="S147" s="163">
        <v>0</v>
      </c>
      <c r="T147" s="164">
        <f t="shared" si="2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5" t="s">
        <v>185</v>
      </c>
      <c r="AT147" s="165" t="s">
        <v>181</v>
      </c>
      <c r="AU147" s="165" t="s">
        <v>82</v>
      </c>
      <c r="AY147" s="14" t="s">
        <v>179</v>
      </c>
      <c r="BE147" s="166">
        <f t="shared" si="3"/>
        <v>0</v>
      </c>
      <c r="BF147" s="166">
        <f t="shared" si="4"/>
        <v>0</v>
      </c>
      <c r="BG147" s="166">
        <f t="shared" si="5"/>
        <v>0</v>
      </c>
      <c r="BH147" s="166">
        <f t="shared" si="6"/>
        <v>0</v>
      </c>
      <c r="BI147" s="166">
        <f t="shared" si="7"/>
        <v>0</v>
      </c>
      <c r="BJ147" s="14" t="s">
        <v>82</v>
      </c>
      <c r="BK147" s="166">
        <f t="shared" si="8"/>
        <v>0</v>
      </c>
      <c r="BL147" s="14" t="s">
        <v>185</v>
      </c>
      <c r="BM147" s="165" t="s">
        <v>232</v>
      </c>
    </row>
    <row r="148" spans="1:65" s="2" customFormat="1" ht="16.5" customHeight="1">
      <c r="A148" s="29"/>
      <c r="B148" s="152"/>
      <c r="C148" s="167" t="s">
        <v>210</v>
      </c>
      <c r="D148" s="167" t="s">
        <v>202</v>
      </c>
      <c r="E148" s="168" t="s">
        <v>2843</v>
      </c>
      <c r="F148" s="169" t="s">
        <v>2844</v>
      </c>
      <c r="G148" s="170" t="s">
        <v>191</v>
      </c>
      <c r="H148" s="171">
        <v>183.566</v>
      </c>
      <c r="I148" s="172"/>
      <c r="J148" s="151">
        <v>0</v>
      </c>
      <c r="K148" s="174"/>
      <c r="L148" s="175"/>
      <c r="M148" s="176" t="s">
        <v>1</v>
      </c>
      <c r="N148" s="177" t="s">
        <v>35</v>
      </c>
      <c r="O148" s="58"/>
      <c r="P148" s="163">
        <f t="shared" si="0"/>
        <v>0</v>
      </c>
      <c r="Q148" s="163">
        <v>0</v>
      </c>
      <c r="R148" s="163">
        <f t="shared" si="1"/>
        <v>0</v>
      </c>
      <c r="S148" s="163">
        <v>0</v>
      </c>
      <c r="T148" s="164">
        <f t="shared" si="2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5" t="s">
        <v>197</v>
      </c>
      <c r="AT148" s="165" t="s">
        <v>202</v>
      </c>
      <c r="AU148" s="165" t="s">
        <v>82</v>
      </c>
      <c r="AY148" s="14" t="s">
        <v>179</v>
      </c>
      <c r="BE148" s="166">
        <f t="shared" si="3"/>
        <v>0</v>
      </c>
      <c r="BF148" s="166">
        <f t="shared" si="4"/>
        <v>0</v>
      </c>
      <c r="BG148" s="166">
        <f t="shared" si="5"/>
        <v>0</v>
      </c>
      <c r="BH148" s="166">
        <f t="shared" si="6"/>
        <v>0</v>
      </c>
      <c r="BI148" s="166">
        <f t="shared" si="7"/>
        <v>0</v>
      </c>
      <c r="BJ148" s="14" t="s">
        <v>82</v>
      </c>
      <c r="BK148" s="166">
        <f t="shared" si="8"/>
        <v>0</v>
      </c>
      <c r="BL148" s="14" t="s">
        <v>185</v>
      </c>
      <c r="BM148" s="165" t="s">
        <v>235</v>
      </c>
    </row>
    <row r="149" spans="1:65" s="12" customFormat="1" ht="22.9" customHeight="1">
      <c r="B149" s="139"/>
      <c r="D149" s="140" t="s">
        <v>68</v>
      </c>
      <c r="E149" s="150" t="s">
        <v>185</v>
      </c>
      <c r="F149" s="150" t="s">
        <v>1007</v>
      </c>
      <c r="I149" s="142"/>
      <c r="J149" s="151">
        <v>0</v>
      </c>
      <c r="L149" s="139"/>
      <c r="M149" s="144"/>
      <c r="N149" s="145"/>
      <c r="O149" s="145"/>
      <c r="P149" s="146">
        <f>SUM(P150:P151)</f>
        <v>0</v>
      </c>
      <c r="Q149" s="145"/>
      <c r="R149" s="146">
        <f>SUM(R150:R151)</f>
        <v>1.773069999999999</v>
      </c>
      <c r="S149" s="145"/>
      <c r="T149" s="147">
        <f>SUM(T150:T151)</f>
        <v>0</v>
      </c>
      <c r="AR149" s="140" t="s">
        <v>76</v>
      </c>
      <c r="AT149" s="148" t="s">
        <v>68</v>
      </c>
      <c r="AU149" s="148" t="s">
        <v>76</v>
      </c>
      <c r="AY149" s="140" t="s">
        <v>179</v>
      </c>
      <c r="BK149" s="149">
        <f>SUM(BK150:BK151)</f>
        <v>0</v>
      </c>
    </row>
    <row r="150" spans="1:65" s="2" customFormat="1" ht="37.9" customHeight="1">
      <c r="A150" s="29"/>
      <c r="B150" s="152"/>
      <c r="C150" s="153" t="s">
        <v>236</v>
      </c>
      <c r="D150" s="153" t="s">
        <v>181</v>
      </c>
      <c r="E150" s="154" t="s">
        <v>2134</v>
      </c>
      <c r="F150" s="155" t="s">
        <v>2135</v>
      </c>
      <c r="G150" s="156" t="s">
        <v>184</v>
      </c>
      <c r="H150" s="157">
        <v>3</v>
      </c>
      <c r="I150" s="158"/>
      <c r="J150" s="151">
        <v>0</v>
      </c>
      <c r="K150" s="160"/>
      <c r="L150" s="30"/>
      <c r="M150" s="161" t="s">
        <v>1</v>
      </c>
      <c r="N150" s="162" t="s">
        <v>35</v>
      </c>
      <c r="O150" s="58"/>
      <c r="P150" s="163">
        <f>O150*H150</f>
        <v>0</v>
      </c>
      <c r="Q150" s="163">
        <v>0.59102333333333301</v>
      </c>
      <c r="R150" s="163">
        <f>Q150*H150</f>
        <v>1.773069999999999</v>
      </c>
      <c r="S150" s="163">
        <v>0</v>
      </c>
      <c r="T150" s="164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5" t="s">
        <v>185</v>
      </c>
      <c r="AT150" s="165" t="s">
        <v>181</v>
      </c>
      <c r="AU150" s="165" t="s">
        <v>82</v>
      </c>
      <c r="AY150" s="14" t="s">
        <v>179</v>
      </c>
      <c r="BE150" s="166">
        <f>IF(N150="základná",J150,0)</f>
        <v>0</v>
      </c>
      <c r="BF150" s="166">
        <f>IF(N150="znížená",J150,0)</f>
        <v>0</v>
      </c>
      <c r="BG150" s="166">
        <f>IF(N150="zákl. prenesená",J150,0)</f>
        <v>0</v>
      </c>
      <c r="BH150" s="166">
        <f>IF(N150="zníž. prenesená",J150,0)</f>
        <v>0</v>
      </c>
      <c r="BI150" s="166">
        <f>IF(N150="nulová",J150,0)</f>
        <v>0</v>
      </c>
      <c r="BJ150" s="14" t="s">
        <v>82</v>
      </c>
      <c r="BK150" s="166">
        <f>ROUND(I150*H150,2)</f>
        <v>0</v>
      </c>
      <c r="BL150" s="14" t="s">
        <v>185</v>
      </c>
      <c r="BM150" s="165" t="s">
        <v>239</v>
      </c>
    </row>
    <row r="151" spans="1:65" s="2" customFormat="1" ht="33" customHeight="1">
      <c r="A151" s="29"/>
      <c r="B151" s="152"/>
      <c r="C151" s="153" t="s">
        <v>213</v>
      </c>
      <c r="D151" s="153" t="s">
        <v>181</v>
      </c>
      <c r="E151" s="154" t="s">
        <v>2845</v>
      </c>
      <c r="F151" s="155" t="s">
        <v>2846</v>
      </c>
      <c r="G151" s="156" t="s">
        <v>196</v>
      </c>
      <c r="H151" s="157">
        <v>20.37</v>
      </c>
      <c r="I151" s="158"/>
      <c r="J151" s="151">
        <v>0</v>
      </c>
      <c r="K151" s="160"/>
      <c r="L151" s="30"/>
      <c r="M151" s="161" t="s">
        <v>1</v>
      </c>
      <c r="N151" s="162" t="s">
        <v>35</v>
      </c>
      <c r="O151" s="58"/>
      <c r="P151" s="163">
        <f>O151*H151</f>
        <v>0</v>
      </c>
      <c r="Q151" s="163">
        <v>0</v>
      </c>
      <c r="R151" s="163">
        <f>Q151*H151</f>
        <v>0</v>
      </c>
      <c r="S151" s="163">
        <v>0</v>
      </c>
      <c r="T151" s="164">
        <f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5" t="s">
        <v>185</v>
      </c>
      <c r="AT151" s="165" t="s">
        <v>181</v>
      </c>
      <c r="AU151" s="165" t="s">
        <v>82</v>
      </c>
      <c r="AY151" s="14" t="s">
        <v>179</v>
      </c>
      <c r="BE151" s="166">
        <f>IF(N151="základná",J151,0)</f>
        <v>0</v>
      </c>
      <c r="BF151" s="166">
        <f>IF(N151="znížená",J151,0)</f>
        <v>0</v>
      </c>
      <c r="BG151" s="166">
        <f>IF(N151="zákl. prenesená",J151,0)</f>
        <v>0</v>
      </c>
      <c r="BH151" s="166">
        <f>IF(N151="zníž. prenesená",J151,0)</f>
        <v>0</v>
      </c>
      <c r="BI151" s="166">
        <f>IF(N151="nulová",J151,0)</f>
        <v>0</v>
      </c>
      <c r="BJ151" s="14" t="s">
        <v>82</v>
      </c>
      <c r="BK151" s="166">
        <f>ROUND(I151*H151,2)</f>
        <v>0</v>
      </c>
      <c r="BL151" s="14" t="s">
        <v>185</v>
      </c>
      <c r="BM151" s="165" t="s">
        <v>242</v>
      </c>
    </row>
    <row r="152" spans="1:65" s="12" customFormat="1" ht="22.9" customHeight="1">
      <c r="B152" s="139"/>
      <c r="D152" s="140" t="s">
        <v>68</v>
      </c>
      <c r="E152" s="150" t="s">
        <v>198</v>
      </c>
      <c r="F152" s="150" t="s">
        <v>2847</v>
      </c>
      <c r="I152" s="142"/>
      <c r="J152" s="151">
        <v>0</v>
      </c>
      <c r="L152" s="139"/>
      <c r="M152" s="144"/>
      <c r="N152" s="145"/>
      <c r="O152" s="145"/>
      <c r="P152" s="146">
        <f>SUM(P153:P156)</f>
        <v>0</v>
      </c>
      <c r="Q152" s="145"/>
      <c r="R152" s="146">
        <f>SUM(R153:R156)</f>
        <v>1.8066200000000003</v>
      </c>
      <c r="S152" s="145"/>
      <c r="T152" s="147">
        <f>SUM(T153:T156)</f>
        <v>0</v>
      </c>
      <c r="AR152" s="140" t="s">
        <v>76</v>
      </c>
      <c r="AT152" s="148" t="s">
        <v>68</v>
      </c>
      <c r="AU152" s="148" t="s">
        <v>76</v>
      </c>
      <c r="AY152" s="140" t="s">
        <v>179</v>
      </c>
      <c r="BK152" s="149">
        <f>SUM(BK153:BK156)</f>
        <v>0</v>
      </c>
    </row>
    <row r="153" spans="1:65" s="2" customFormat="1" ht="33" customHeight="1">
      <c r="A153" s="29"/>
      <c r="B153" s="152"/>
      <c r="C153" s="153" t="s">
        <v>243</v>
      </c>
      <c r="D153" s="153" t="s">
        <v>181</v>
      </c>
      <c r="E153" s="154" t="s">
        <v>2848</v>
      </c>
      <c r="F153" s="155" t="s">
        <v>2849</v>
      </c>
      <c r="G153" s="156" t="s">
        <v>184</v>
      </c>
      <c r="H153" s="157">
        <v>12.3</v>
      </c>
      <c r="I153" s="158"/>
      <c r="J153" s="151">
        <v>0</v>
      </c>
      <c r="K153" s="160"/>
      <c r="L153" s="30"/>
      <c r="M153" s="161" t="s">
        <v>1</v>
      </c>
      <c r="N153" s="162" t="s">
        <v>35</v>
      </c>
      <c r="O153" s="58"/>
      <c r="P153" s="163">
        <f>O153*H153</f>
        <v>0</v>
      </c>
      <c r="Q153" s="163">
        <v>0</v>
      </c>
      <c r="R153" s="163">
        <f>Q153*H153</f>
        <v>0</v>
      </c>
      <c r="S153" s="163">
        <v>0</v>
      </c>
      <c r="T153" s="164">
        <f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5" t="s">
        <v>185</v>
      </c>
      <c r="AT153" s="165" t="s">
        <v>181</v>
      </c>
      <c r="AU153" s="165" t="s">
        <v>82</v>
      </c>
      <c r="AY153" s="14" t="s">
        <v>179</v>
      </c>
      <c r="BE153" s="166">
        <f>IF(N153="základná",J153,0)</f>
        <v>0</v>
      </c>
      <c r="BF153" s="166">
        <f>IF(N153="znížená",J153,0)</f>
        <v>0</v>
      </c>
      <c r="BG153" s="166">
        <f>IF(N153="zákl. prenesená",J153,0)</f>
        <v>0</v>
      </c>
      <c r="BH153" s="166">
        <f>IF(N153="zníž. prenesená",J153,0)</f>
        <v>0</v>
      </c>
      <c r="BI153" s="166">
        <f>IF(N153="nulová",J153,0)</f>
        <v>0</v>
      </c>
      <c r="BJ153" s="14" t="s">
        <v>82</v>
      </c>
      <c r="BK153" s="166">
        <f>ROUND(I153*H153,2)</f>
        <v>0</v>
      </c>
      <c r="BL153" s="14" t="s">
        <v>185</v>
      </c>
      <c r="BM153" s="165" t="s">
        <v>246</v>
      </c>
    </row>
    <row r="154" spans="1:65" s="2" customFormat="1" ht="24.2" customHeight="1">
      <c r="A154" s="29"/>
      <c r="B154" s="152"/>
      <c r="C154" s="153" t="s">
        <v>218</v>
      </c>
      <c r="D154" s="153" t="s">
        <v>181</v>
      </c>
      <c r="E154" s="154" t="s">
        <v>2850</v>
      </c>
      <c r="F154" s="155" t="s">
        <v>2851</v>
      </c>
      <c r="G154" s="156" t="s">
        <v>184</v>
      </c>
      <c r="H154" s="157">
        <v>12.3</v>
      </c>
      <c r="I154" s="158"/>
      <c r="J154" s="151">
        <v>0</v>
      </c>
      <c r="K154" s="160"/>
      <c r="L154" s="30"/>
      <c r="M154" s="161" t="s">
        <v>1</v>
      </c>
      <c r="N154" s="162" t="s">
        <v>35</v>
      </c>
      <c r="O154" s="58"/>
      <c r="P154" s="163">
        <f>O154*H154</f>
        <v>0</v>
      </c>
      <c r="Q154" s="163">
        <v>0</v>
      </c>
      <c r="R154" s="163">
        <f>Q154*H154</f>
        <v>0</v>
      </c>
      <c r="S154" s="163">
        <v>0</v>
      </c>
      <c r="T154" s="164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5" t="s">
        <v>185</v>
      </c>
      <c r="AT154" s="165" t="s">
        <v>181</v>
      </c>
      <c r="AU154" s="165" t="s">
        <v>82</v>
      </c>
      <c r="AY154" s="14" t="s">
        <v>179</v>
      </c>
      <c r="BE154" s="166">
        <f>IF(N154="základná",J154,0)</f>
        <v>0</v>
      </c>
      <c r="BF154" s="166">
        <f>IF(N154="znížená",J154,0)</f>
        <v>0</v>
      </c>
      <c r="BG154" s="166">
        <f>IF(N154="zákl. prenesená",J154,0)</f>
        <v>0</v>
      </c>
      <c r="BH154" s="166">
        <f>IF(N154="zníž. prenesená",J154,0)</f>
        <v>0</v>
      </c>
      <c r="BI154" s="166">
        <f>IF(N154="nulová",J154,0)</f>
        <v>0</v>
      </c>
      <c r="BJ154" s="14" t="s">
        <v>82</v>
      </c>
      <c r="BK154" s="166">
        <f>ROUND(I154*H154,2)</f>
        <v>0</v>
      </c>
      <c r="BL154" s="14" t="s">
        <v>185</v>
      </c>
      <c r="BM154" s="165" t="s">
        <v>250</v>
      </c>
    </row>
    <row r="155" spans="1:65" s="2" customFormat="1" ht="33" customHeight="1">
      <c r="A155" s="29"/>
      <c r="B155" s="152"/>
      <c r="C155" s="153" t="s">
        <v>251</v>
      </c>
      <c r="D155" s="153" t="s">
        <v>181</v>
      </c>
      <c r="E155" s="154" t="s">
        <v>2852</v>
      </c>
      <c r="F155" s="155" t="s">
        <v>2853</v>
      </c>
      <c r="G155" s="156" t="s">
        <v>184</v>
      </c>
      <c r="H155" s="157">
        <v>12.3</v>
      </c>
      <c r="I155" s="158"/>
      <c r="J155" s="151">
        <v>0</v>
      </c>
      <c r="K155" s="160"/>
      <c r="L155" s="30"/>
      <c r="M155" s="161" t="s">
        <v>1</v>
      </c>
      <c r="N155" s="162" t="s">
        <v>35</v>
      </c>
      <c r="O155" s="58"/>
      <c r="P155" s="163">
        <f>O155*H155</f>
        <v>0</v>
      </c>
      <c r="Q155" s="163">
        <v>0.14687967479674799</v>
      </c>
      <c r="R155" s="163">
        <f>Q155*H155</f>
        <v>1.8066200000000003</v>
      </c>
      <c r="S155" s="163">
        <v>0</v>
      </c>
      <c r="T155" s="164">
        <f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5" t="s">
        <v>185</v>
      </c>
      <c r="AT155" s="165" t="s">
        <v>181</v>
      </c>
      <c r="AU155" s="165" t="s">
        <v>82</v>
      </c>
      <c r="AY155" s="14" t="s">
        <v>179</v>
      </c>
      <c r="BE155" s="166">
        <f>IF(N155="základná",J155,0)</f>
        <v>0</v>
      </c>
      <c r="BF155" s="166">
        <f>IF(N155="znížená",J155,0)</f>
        <v>0</v>
      </c>
      <c r="BG155" s="166">
        <f>IF(N155="zákl. prenesená",J155,0)</f>
        <v>0</v>
      </c>
      <c r="BH155" s="166">
        <f>IF(N155="zníž. prenesená",J155,0)</f>
        <v>0</v>
      </c>
      <c r="BI155" s="166">
        <f>IF(N155="nulová",J155,0)</f>
        <v>0</v>
      </c>
      <c r="BJ155" s="14" t="s">
        <v>82</v>
      </c>
      <c r="BK155" s="166">
        <f>ROUND(I155*H155,2)</f>
        <v>0</v>
      </c>
      <c r="BL155" s="14" t="s">
        <v>185</v>
      </c>
      <c r="BM155" s="165" t="s">
        <v>254</v>
      </c>
    </row>
    <row r="156" spans="1:65" s="2" customFormat="1" ht="33" customHeight="1">
      <c r="A156" s="29"/>
      <c r="B156" s="152"/>
      <c r="C156" s="153" t="s">
        <v>221</v>
      </c>
      <c r="D156" s="153" t="s">
        <v>181</v>
      </c>
      <c r="E156" s="154" t="s">
        <v>2854</v>
      </c>
      <c r="F156" s="155" t="s">
        <v>2855</v>
      </c>
      <c r="G156" s="156" t="s">
        <v>184</v>
      </c>
      <c r="H156" s="157">
        <v>12.3</v>
      </c>
      <c r="I156" s="158"/>
      <c r="J156" s="151">
        <v>0</v>
      </c>
      <c r="K156" s="160"/>
      <c r="L156" s="30"/>
      <c r="M156" s="161" t="s">
        <v>1</v>
      </c>
      <c r="N156" s="162" t="s">
        <v>35</v>
      </c>
      <c r="O156" s="58"/>
      <c r="P156" s="163">
        <f>O156*H156</f>
        <v>0</v>
      </c>
      <c r="Q156" s="163">
        <v>0</v>
      </c>
      <c r="R156" s="163">
        <f>Q156*H156</f>
        <v>0</v>
      </c>
      <c r="S156" s="163">
        <v>0</v>
      </c>
      <c r="T156" s="164">
        <f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5" t="s">
        <v>185</v>
      </c>
      <c r="AT156" s="165" t="s">
        <v>181</v>
      </c>
      <c r="AU156" s="165" t="s">
        <v>82</v>
      </c>
      <c r="AY156" s="14" t="s">
        <v>179</v>
      </c>
      <c r="BE156" s="166">
        <f>IF(N156="základná",J156,0)</f>
        <v>0</v>
      </c>
      <c r="BF156" s="166">
        <f>IF(N156="znížená",J156,0)</f>
        <v>0</v>
      </c>
      <c r="BG156" s="166">
        <f>IF(N156="zákl. prenesená",J156,0)</f>
        <v>0</v>
      </c>
      <c r="BH156" s="166">
        <f>IF(N156="zníž. prenesená",J156,0)</f>
        <v>0</v>
      </c>
      <c r="BI156" s="166">
        <f>IF(N156="nulová",J156,0)</f>
        <v>0</v>
      </c>
      <c r="BJ156" s="14" t="s">
        <v>82</v>
      </c>
      <c r="BK156" s="166">
        <f>ROUND(I156*H156,2)</f>
        <v>0</v>
      </c>
      <c r="BL156" s="14" t="s">
        <v>185</v>
      </c>
      <c r="BM156" s="165" t="s">
        <v>257</v>
      </c>
    </row>
    <row r="157" spans="1:65" s="12" customFormat="1" ht="22.9" customHeight="1">
      <c r="B157" s="139"/>
      <c r="D157" s="140" t="s">
        <v>68</v>
      </c>
      <c r="E157" s="150" t="s">
        <v>197</v>
      </c>
      <c r="F157" s="150" t="s">
        <v>2856</v>
      </c>
      <c r="I157" s="142"/>
      <c r="J157" s="151">
        <v>0</v>
      </c>
      <c r="L157" s="139"/>
      <c r="M157" s="144"/>
      <c r="N157" s="145"/>
      <c r="O157" s="145"/>
      <c r="P157" s="146">
        <f>SUM(P158:P172)</f>
        <v>0</v>
      </c>
      <c r="Q157" s="145"/>
      <c r="R157" s="146">
        <f>SUM(R158:R172)</f>
        <v>12.260069999999999</v>
      </c>
      <c r="S157" s="145"/>
      <c r="T157" s="147">
        <f>SUM(T158:T172)</f>
        <v>0</v>
      </c>
      <c r="AR157" s="140" t="s">
        <v>76</v>
      </c>
      <c r="AT157" s="148" t="s">
        <v>68</v>
      </c>
      <c r="AU157" s="148" t="s">
        <v>76</v>
      </c>
      <c r="AY157" s="140" t="s">
        <v>179</v>
      </c>
      <c r="BK157" s="149">
        <f>SUM(BK158:BK172)</f>
        <v>0</v>
      </c>
    </row>
    <row r="158" spans="1:65" s="2" customFormat="1" ht="37.9" customHeight="1">
      <c r="A158" s="29"/>
      <c r="B158" s="152"/>
      <c r="C158" s="153" t="s">
        <v>258</v>
      </c>
      <c r="D158" s="153" t="s">
        <v>181</v>
      </c>
      <c r="E158" s="154" t="s">
        <v>2901</v>
      </c>
      <c r="F158" s="155" t="s">
        <v>2902</v>
      </c>
      <c r="G158" s="156" t="s">
        <v>293</v>
      </c>
      <c r="H158" s="157">
        <v>286</v>
      </c>
      <c r="I158" s="158"/>
      <c r="J158" s="151">
        <v>0</v>
      </c>
      <c r="K158" s="160"/>
      <c r="L158" s="30"/>
      <c r="M158" s="161" t="s">
        <v>1</v>
      </c>
      <c r="N158" s="162" t="s">
        <v>35</v>
      </c>
      <c r="O158" s="58"/>
      <c r="P158" s="163">
        <f t="shared" ref="P158:P172" si="9">O158*H158</f>
        <v>0</v>
      </c>
      <c r="Q158" s="163">
        <v>2.6700000000000001E-3</v>
      </c>
      <c r="R158" s="163">
        <f t="shared" ref="R158:R172" si="10">Q158*H158</f>
        <v>0.76361999999999997</v>
      </c>
      <c r="S158" s="163">
        <v>0</v>
      </c>
      <c r="T158" s="164">
        <f t="shared" ref="T158:T172" si="11"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5" t="s">
        <v>185</v>
      </c>
      <c r="AT158" s="165" t="s">
        <v>181</v>
      </c>
      <c r="AU158" s="165" t="s">
        <v>82</v>
      </c>
      <c r="AY158" s="14" t="s">
        <v>179</v>
      </c>
      <c r="BE158" s="166">
        <f t="shared" ref="BE158:BE172" si="12">IF(N158="základná",J158,0)</f>
        <v>0</v>
      </c>
      <c r="BF158" s="166">
        <f t="shared" ref="BF158:BF172" si="13">IF(N158="znížená",J158,0)</f>
        <v>0</v>
      </c>
      <c r="BG158" s="166">
        <f t="shared" ref="BG158:BG172" si="14">IF(N158="zákl. prenesená",J158,0)</f>
        <v>0</v>
      </c>
      <c r="BH158" s="166">
        <f t="shared" ref="BH158:BH172" si="15">IF(N158="zníž. prenesená",J158,0)</f>
        <v>0</v>
      </c>
      <c r="BI158" s="166">
        <f t="shared" ref="BI158:BI172" si="16">IF(N158="nulová",J158,0)</f>
        <v>0</v>
      </c>
      <c r="BJ158" s="14" t="s">
        <v>82</v>
      </c>
      <c r="BK158" s="166">
        <f t="shared" ref="BK158:BK172" si="17">ROUND(I158*H158,2)</f>
        <v>0</v>
      </c>
      <c r="BL158" s="14" t="s">
        <v>185</v>
      </c>
      <c r="BM158" s="165" t="s">
        <v>261</v>
      </c>
    </row>
    <row r="159" spans="1:65" s="2" customFormat="1" ht="49.15" customHeight="1">
      <c r="A159" s="29"/>
      <c r="B159" s="152"/>
      <c r="C159" s="167" t="s">
        <v>225</v>
      </c>
      <c r="D159" s="167" t="s">
        <v>202</v>
      </c>
      <c r="E159" s="168" t="s">
        <v>2903</v>
      </c>
      <c r="F159" s="338" t="s">
        <v>3477</v>
      </c>
      <c r="G159" s="170" t="s">
        <v>293</v>
      </c>
      <c r="H159" s="171">
        <v>246</v>
      </c>
      <c r="I159" s="172"/>
      <c r="J159" s="151">
        <v>0</v>
      </c>
      <c r="K159" s="174"/>
      <c r="L159" s="175"/>
      <c r="M159" s="176" t="s">
        <v>1</v>
      </c>
      <c r="N159" s="177" t="s">
        <v>35</v>
      </c>
      <c r="O159" s="58"/>
      <c r="P159" s="163">
        <f t="shared" si="9"/>
        <v>0</v>
      </c>
      <c r="Q159" s="163">
        <v>6.3099999999999996E-3</v>
      </c>
      <c r="R159" s="163">
        <f t="shared" si="10"/>
        <v>1.55226</v>
      </c>
      <c r="S159" s="163">
        <v>0</v>
      </c>
      <c r="T159" s="164">
        <f t="shared" si="11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5" t="s">
        <v>197</v>
      </c>
      <c r="AT159" s="165" t="s">
        <v>202</v>
      </c>
      <c r="AU159" s="165" t="s">
        <v>82</v>
      </c>
      <c r="AY159" s="14" t="s">
        <v>179</v>
      </c>
      <c r="BE159" s="166">
        <f t="shared" si="12"/>
        <v>0</v>
      </c>
      <c r="BF159" s="166">
        <f t="shared" si="13"/>
        <v>0</v>
      </c>
      <c r="BG159" s="166">
        <f t="shared" si="14"/>
        <v>0</v>
      </c>
      <c r="BH159" s="166">
        <f t="shared" si="15"/>
        <v>0</v>
      </c>
      <c r="BI159" s="166">
        <f t="shared" si="16"/>
        <v>0</v>
      </c>
      <c r="BJ159" s="14" t="s">
        <v>82</v>
      </c>
      <c r="BK159" s="166">
        <f t="shared" si="17"/>
        <v>0</v>
      </c>
      <c r="BL159" s="14" t="s">
        <v>185</v>
      </c>
      <c r="BM159" s="165" t="s">
        <v>265</v>
      </c>
    </row>
    <row r="160" spans="1:65" s="2" customFormat="1" ht="44.25" customHeight="1">
      <c r="A160" s="29"/>
      <c r="B160" s="152"/>
      <c r="C160" s="153" t="s">
        <v>7</v>
      </c>
      <c r="D160" s="153" t="s">
        <v>181</v>
      </c>
      <c r="E160" s="154" t="s">
        <v>2860</v>
      </c>
      <c r="F160" s="155" t="s">
        <v>2861</v>
      </c>
      <c r="G160" s="156" t="s">
        <v>217</v>
      </c>
      <c r="H160" s="157">
        <v>44</v>
      </c>
      <c r="I160" s="158"/>
      <c r="J160" s="151">
        <v>0</v>
      </c>
      <c r="K160" s="160"/>
      <c r="L160" s="30"/>
      <c r="M160" s="161" t="s">
        <v>1</v>
      </c>
      <c r="N160" s="162" t="s">
        <v>35</v>
      </c>
      <c r="O160" s="58"/>
      <c r="P160" s="163">
        <f t="shared" si="9"/>
        <v>0</v>
      </c>
      <c r="Q160" s="163">
        <v>1.60459090909091E-2</v>
      </c>
      <c r="R160" s="163">
        <f t="shared" si="10"/>
        <v>0.70602000000000043</v>
      </c>
      <c r="S160" s="163">
        <v>0</v>
      </c>
      <c r="T160" s="164">
        <f t="shared" si="11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5" t="s">
        <v>185</v>
      </c>
      <c r="AT160" s="165" t="s">
        <v>181</v>
      </c>
      <c r="AU160" s="165" t="s">
        <v>82</v>
      </c>
      <c r="AY160" s="14" t="s">
        <v>179</v>
      </c>
      <c r="BE160" s="166">
        <f t="shared" si="12"/>
        <v>0</v>
      </c>
      <c r="BF160" s="166">
        <f t="shared" si="13"/>
        <v>0</v>
      </c>
      <c r="BG160" s="166">
        <f t="shared" si="14"/>
        <v>0</v>
      </c>
      <c r="BH160" s="166">
        <f t="shared" si="15"/>
        <v>0</v>
      </c>
      <c r="BI160" s="166">
        <f t="shared" si="16"/>
        <v>0</v>
      </c>
      <c r="BJ160" s="14" t="s">
        <v>82</v>
      </c>
      <c r="BK160" s="166">
        <f t="shared" si="17"/>
        <v>0</v>
      </c>
      <c r="BL160" s="14" t="s">
        <v>185</v>
      </c>
      <c r="BM160" s="165" t="s">
        <v>268</v>
      </c>
    </row>
    <row r="161" spans="1:65" s="2" customFormat="1" ht="55.5" customHeight="1">
      <c r="A161" s="29"/>
      <c r="B161" s="152"/>
      <c r="C161" s="153" t="s">
        <v>228</v>
      </c>
      <c r="D161" s="153" t="s">
        <v>181</v>
      </c>
      <c r="E161" s="154" t="s">
        <v>2904</v>
      </c>
      <c r="F161" s="155" t="s">
        <v>2905</v>
      </c>
      <c r="G161" s="156" t="s">
        <v>217</v>
      </c>
      <c r="H161" s="157">
        <v>22</v>
      </c>
      <c r="I161" s="158"/>
      <c r="J161" s="151">
        <v>0</v>
      </c>
      <c r="K161" s="160"/>
      <c r="L161" s="30"/>
      <c r="M161" s="161" t="s">
        <v>1</v>
      </c>
      <c r="N161" s="162" t="s">
        <v>35</v>
      </c>
      <c r="O161" s="58"/>
      <c r="P161" s="163">
        <f t="shared" si="9"/>
        <v>0</v>
      </c>
      <c r="Q161" s="163">
        <v>1.60459090909091E-2</v>
      </c>
      <c r="R161" s="163">
        <f t="shared" si="10"/>
        <v>0.35301000000000021</v>
      </c>
      <c r="S161" s="163">
        <v>0</v>
      </c>
      <c r="T161" s="164">
        <f t="shared" si="11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5" t="s">
        <v>185</v>
      </c>
      <c r="AT161" s="165" t="s">
        <v>181</v>
      </c>
      <c r="AU161" s="165" t="s">
        <v>82</v>
      </c>
      <c r="AY161" s="14" t="s">
        <v>179</v>
      </c>
      <c r="BE161" s="166">
        <f t="shared" si="12"/>
        <v>0</v>
      </c>
      <c r="BF161" s="166">
        <f t="shared" si="13"/>
        <v>0</v>
      </c>
      <c r="BG161" s="166">
        <f t="shared" si="14"/>
        <v>0</v>
      </c>
      <c r="BH161" s="166">
        <f t="shared" si="15"/>
        <v>0</v>
      </c>
      <c r="BI161" s="166">
        <f t="shared" si="16"/>
        <v>0</v>
      </c>
      <c r="BJ161" s="14" t="s">
        <v>82</v>
      </c>
      <c r="BK161" s="166">
        <f t="shared" si="17"/>
        <v>0</v>
      </c>
      <c r="BL161" s="14" t="s">
        <v>185</v>
      </c>
      <c r="BM161" s="165" t="s">
        <v>271</v>
      </c>
    </row>
    <row r="162" spans="1:65" s="2" customFormat="1" ht="24.2" customHeight="1">
      <c r="A162" s="29"/>
      <c r="B162" s="152"/>
      <c r="C162" s="167" t="s">
        <v>272</v>
      </c>
      <c r="D162" s="167" t="s">
        <v>202</v>
      </c>
      <c r="E162" s="168" t="s">
        <v>2864</v>
      </c>
      <c r="F162" s="169" t="s">
        <v>2906</v>
      </c>
      <c r="G162" s="170" t="s">
        <v>217</v>
      </c>
      <c r="H162" s="171">
        <v>4</v>
      </c>
      <c r="I162" s="172"/>
      <c r="J162" s="151">
        <v>0</v>
      </c>
      <c r="K162" s="174"/>
      <c r="L162" s="175"/>
      <c r="M162" s="176" t="s">
        <v>1</v>
      </c>
      <c r="N162" s="177" t="s">
        <v>35</v>
      </c>
      <c r="O162" s="58"/>
      <c r="P162" s="163">
        <f t="shared" si="9"/>
        <v>0</v>
      </c>
      <c r="Q162" s="163">
        <v>3.8969999999999998E-2</v>
      </c>
      <c r="R162" s="163">
        <f t="shared" si="10"/>
        <v>0.15587999999999999</v>
      </c>
      <c r="S162" s="163">
        <v>0</v>
      </c>
      <c r="T162" s="164">
        <f t="shared" si="11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5" t="s">
        <v>197</v>
      </c>
      <c r="AT162" s="165" t="s">
        <v>202</v>
      </c>
      <c r="AU162" s="165" t="s">
        <v>82</v>
      </c>
      <c r="AY162" s="14" t="s">
        <v>179</v>
      </c>
      <c r="BE162" s="166">
        <f t="shared" si="12"/>
        <v>0</v>
      </c>
      <c r="BF162" s="166">
        <f t="shared" si="13"/>
        <v>0</v>
      </c>
      <c r="BG162" s="166">
        <f t="shared" si="14"/>
        <v>0</v>
      </c>
      <c r="BH162" s="166">
        <f t="shared" si="15"/>
        <v>0</v>
      </c>
      <c r="BI162" s="166">
        <f t="shared" si="16"/>
        <v>0</v>
      </c>
      <c r="BJ162" s="14" t="s">
        <v>82</v>
      </c>
      <c r="BK162" s="166">
        <f t="shared" si="17"/>
        <v>0</v>
      </c>
      <c r="BL162" s="14" t="s">
        <v>185</v>
      </c>
      <c r="BM162" s="165" t="s">
        <v>275</v>
      </c>
    </row>
    <row r="163" spans="1:65" s="2" customFormat="1" ht="24.2" customHeight="1">
      <c r="A163" s="29"/>
      <c r="B163" s="152"/>
      <c r="C163" s="167" t="s">
        <v>232</v>
      </c>
      <c r="D163" s="167" t="s">
        <v>202</v>
      </c>
      <c r="E163" s="168" t="s">
        <v>2866</v>
      </c>
      <c r="F163" s="169" t="s">
        <v>2907</v>
      </c>
      <c r="G163" s="170" t="s">
        <v>217</v>
      </c>
      <c r="H163" s="171">
        <v>2</v>
      </c>
      <c r="I163" s="172"/>
      <c r="J163" s="151">
        <v>0</v>
      </c>
      <c r="K163" s="174"/>
      <c r="L163" s="175"/>
      <c r="M163" s="176" t="s">
        <v>1</v>
      </c>
      <c r="N163" s="177" t="s">
        <v>35</v>
      </c>
      <c r="O163" s="58"/>
      <c r="P163" s="163">
        <f t="shared" si="9"/>
        <v>0</v>
      </c>
      <c r="Q163" s="163">
        <v>3.8969999999999998E-2</v>
      </c>
      <c r="R163" s="163">
        <f t="shared" si="10"/>
        <v>7.7939999999999995E-2</v>
      </c>
      <c r="S163" s="163">
        <v>0</v>
      </c>
      <c r="T163" s="164">
        <f t="shared" si="11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5" t="s">
        <v>197</v>
      </c>
      <c r="AT163" s="165" t="s">
        <v>202</v>
      </c>
      <c r="AU163" s="165" t="s">
        <v>82</v>
      </c>
      <c r="AY163" s="14" t="s">
        <v>179</v>
      </c>
      <c r="BE163" s="166">
        <f t="shared" si="12"/>
        <v>0</v>
      </c>
      <c r="BF163" s="166">
        <f t="shared" si="13"/>
        <v>0</v>
      </c>
      <c r="BG163" s="166">
        <f t="shared" si="14"/>
        <v>0</v>
      </c>
      <c r="BH163" s="166">
        <f t="shared" si="15"/>
        <v>0</v>
      </c>
      <c r="BI163" s="166">
        <f t="shared" si="16"/>
        <v>0</v>
      </c>
      <c r="BJ163" s="14" t="s">
        <v>82</v>
      </c>
      <c r="BK163" s="166">
        <f t="shared" si="17"/>
        <v>0</v>
      </c>
      <c r="BL163" s="14" t="s">
        <v>185</v>
      </c>
      <c r="BM163" s="165" t="s">
        <v>279</v>
      </c>
    </row>
    <row r="164" spans="1:65" s="2" customFormat="1" ht="24.2" customHeight="1">
      <c r="A164" s="29"/>
      <c r="B164" s="152"/>
      <c r="C164" s="167" t="s">
        <v>280</v>
      </c>
      <c r="D164" s="167" t="s">
        <v>202</v>
      </c>
      <c r="E164" s="168" t="s">
        <v>2908</v>
      </c>
      <c r="F164" s="169" t="s">
        <v>2909</v>
      </c>
      <c r="G164" s="170" t="s">
        <v>217</v>
      </c>
      <c r="H164" s="171">
        <v>2</v>
      </c>
      <c r="I164" s="172"/>
      <c r="J164" s="151">
        <v>0</v>
      </c>
      <c r="K164" s="174"/>
      <c r="L164" s="175"/>
      <c r="M164" s="176" t="s">
        <v>1</v>
      </c>
      <c r="N164" s="177" t="s">
        <v>35</v>
      </c>
      <c r="O164" s="58"/>
      <c r="P164" s="163">
        <f t="shared" si="9"/>
        <v>0</v>
      </c>
      <c r="Q164" s="163">
        <v>3.8969999999999998E-2</v>
      </c>
      <c r="R164" s="163">
        <f t="shared" si="10"/>
        <v>7.7939999999999995E-2</v>
      </c>
      <c r="S164" s="163">
        <v>0</v>
      </c>
      <c r="T164" s="164">
        <f t="shared" si="11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5" t="s">
        <v>197</v>
      </c>
      <c r="AT164" s="165" t="s">
        <v>202</v>
      </c>
      <c r="AU164" s="165" t="s">
        <v>82</v>
      </c>
      <c r="AY164" s="14" t="s">
        <v>179</v>
      </c>
      <c r="BE164" s="166">
        <f t="shared" si="12"/>
        <v>0</v>
      </c>
      <c r="BF164" s="166">
        <f t="shared" si="13"/>
        <v>0</v>
      </c>
      <c r="BG164" s="166">
        <f t="shared" si="14"/>
        <v>0</v>
      </c>
      <c r="BH164" s="166">
        <f t="shared" si="15"/>
        <v>0</v>
      </c>
      <c r="BI164" s="166">
        <f t="shared" si="16"/>
        <v>0</v>
      </c>
      <c r="BJ164" s="14" t="s">
        <v>82</v>
      </c>
      <c r="BK164" s="166">
        <f t="shared" si="17"/>
        <v>0</v>
      </c>
      <c r="BL164" s="14" t="s">
        <v>185</v>
      </c>
      <c r="BM164" s="165" t="s">
        <v>283</v>
      </c>
    </row>
    <row r="165" spans="1:65" s="2" customFormat="1" ht="24.2" customHeight="1">
      <c r="A165" s="29"/>
      <c r="B165" s="152"/>
      <c r="C165" s="167" t="s">
        <v>235</v>
      </c>
      <c r="D165" s="167" t="s">
        <v>202</v>
      </c>
      <c r="E165" s="168" t="s">
        <v>2910</v>
      </c>
      <c r="F165" s="169" t="s">
        <v>2911</v>
      </c>
      <c r="G165" s="170" t="s">
        <v>217</v>
      </c>
      <c r="H165" s="171">
        <v>2</v>
      </c>
      <c r="I165" s="172"/>
      <c r="J165" s="151">
        <v>0</v>
      </c>
      <c r="K165" s="174"/>
      <c r="L165" s="175"/>
      <c r="M165" s="176" t="s">
        <v>1</v>
      </c>
      <c r="N165" s="177" t="s">
        <v>35</v>
      </c>
      <c r="O165" s="58"/>
      <c r="P165" s="163">
        <f t="shared" si="9"/>
        <v>0</v>
      </c>
      <c r="Q165" s="163">
        <v>3.8969999999999998E-2</v>
      </c>
      <c r="R165" s="163">
        <f t="shared" si="10"/>
        <v>7.7939999999999995E-2</v>
      </c>
      <c r="S165" s="163">
        <v>0</v>
      </c>
      <c r="T165" s="164">
        <f t="shared" si="11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5" t="s">
        <v>197</v>
      </c>
      <c r="AT165" s="165" t="s">
        <v>202</v>
      </c>
      <c r="AU165" s="165" t="s">
        <v>82</v>
      </c>
      <c r="AY165" s="14" t="s">
        <v>179</v>
      </c>
      <c r="BE165" s="166">
        <f t="shared" si="12"/>
        <v>0</v>
      </c>
      <c r="BF165" s="166">
        <f t="shared" si="13"/>
        <v>0</v>
      </c>
      <c r="BG165" s="166">
        <f t="shared" si="14"/>
        <v>0</v>
      </c>
      <c r="BH165" s="166">
        <f t="shared" si="15"/>
        <v>0</v>
      </c>
      <c r="BI165" s="166">
        <f t="shared" si="16"/>
        <v>0</v>
      </c>
      <c r="BJ165" s="14" t="s">
        <v>82</v>
      </c>
      <c r="BK165" s="166">
        <f t="shared" si="17"/>
        <v>0</v>
      </c>
      <c r="BL165" s="14" t="s">
        <v>185</v>
      </c>
      <c r="BM165" s="165" t="s">
        <v>286</v>
      </c>
    </row>
    <row r="166" spans="1:65" s="2" customFormat="1" ht="24.2" customHeight="1">
      <c r="A166" s="29"/>
      <c r="B166" s="152"/>
      <c r="C166" s="167" t="s">
        <v>287</v>
      </c>
      <c r="D166" s="167" t="s">
        <v>202</v>
      </c>
      <c r="E166" s="168" t="s">
        <v>2912</v>
      </c>
      <c r="F166" s="169" t="s">
        <v>2913</v>
      </c>
      <c r="G166" s="170" t="s">
        <v>217</v>
      </c>
      <c r="H166" s="171">
        <v>2</v>
      </c>
      <c r="I166" s="172"/>
      <c r="J166" s="151">
        <v>0</v>
      </c>
      <c r="K166" s="174"/>
      <c r="L166" s="175"/>
      <c r="M166" s="176" t="s">
        <v>1</v>
      </c>
      <c r="N166" s="177" t="s">
        <v>35</v>
      </c>
      <c r="O166" s="58"/>
      <c r="P166" s="163">
        <f t="shared" si="9"/>
        <v>0</v>
      </c>
      <c r="Q166" s="163">
        <v>3.8969999999999998E-2</v>
      </c>
      <c r="R166" s="163">
        <f t="shared" si="10"/>
        <v>7.7939999999999995E-2</v>
      </c>
      <c r="S166" s="163">
        <v>0</v>
      </c>
      <c r="T166" s="164">
        <f t="shared" si="11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5" t="s">
        <v>197</v>
      </c>
      <c r="AT166" s="165" t="s">
        <v>202</v>
      </c>
      <c r="AU166" s="165" t="s">
        <v>82</v>
      </c>
      <c r="AY166" s="14" t="s">
        <v>179</v>
      </c>
      <c r="BE166" s="166">
        <f t="shared" si="12"/>
        <v>0</v>
      </c>
      <c r="BF166" s="166">
        <f t="shared" si="13"/>
        <v>0</v>
      </c>
      <c r="BG166" s="166">
        <f t="shared" si="14"/>
        <v>0</v>
      </c>
      <c r="BH166" s="166">
        <f t="shared" si="15"/>
        <v>0</v>
      </c>
      <c r="BI166" s="166">
        <f t="shared" si="16"/>
        <v>0</v>
      </c>
      <c r="BJ166" s="14" t="s">
        <v>82</v>
      </c>
      <c r="BK166" s="166">
        <f t="shared" si="17"/>
        <v>0</v>
      </c>
      <c r="BL166" s="14" t="s">
        <v>185</v>
      </c>
      <c r="BM166" s="165" t="s">
        <v>290</v>
      </c>
    </row>
    <row r="167" spans="1:65" s="2" customFormat="1" ht="33" customHeight="1">
      <c r="A167" s="29"/>
      <c r="B167" s="152"/>
      <c r="C167" s="167" t="s">
        <v>239</v>
      </c>
      <c r="D167" s="167" t="s">
        <v>202</v>
      </c>
      <c r="E167" s="168" t="s">
        <v>2868</v>
      </c>
      <c r="F167" s="169" t="s">
        <v>2914</v>
      </c>
      <c r="G167" s="170" t="s">
        <v>217</v>
      </c>
      <c r="H167" s="171">
        <v>8</v>
      </c>
      <c r="I167" s="172"/>
      <c r="J167" s="151">
        <v>0</v>
      </c>
      <c r="K167" s="174"/>
      <c r="L167" s="175"/>
      <c r="M167" s="176" t="s">
        <v>1</v>
      </c>
      <c r="N167" s="177" t="s">
        <v>35</v>
      </c>
      <c r="O167" s="58"/>
      <c r="P167" s="163">
        <f t="shared" si="9"/>
        <v>0</v>
      </c>
      <c r="Q167" s="163">
        <v>3.8969999999999998E-2</v>
      </c>
      <c r="R167" s="163">
        <f t="shared" si="10"/>
        <v>0.31175999999999998</v>
      </c>
      <c r="S167" s="163">
        <v>0</v>
      </c>
      <c r="T167" s="164">
        <f t="shared" si="11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5" t="s">
        <v>197</v>
      </c>
      <c r="AT167" s="165" t="s">
        <v>202</v>
      </c>
      <c r="AU167" s="165" t="s">
        <v>82</v>
      </c>
      <c r="AY167" s="14" t="s">
        <v>179</v>
      </c>
      <c r="BE167" s="166">
        <f t="shared" si="12"/>
        <v>0</v>
      </c>
      <c r="BF167" s="166">
        <f t="shared" si="13"/>
        <v>0</v>
      </c>
      <c r="BG167" s="166">
        <f t="shared" si="14"/>
        <v>0</v>
      </c>
      <c r="BH167" s="166">
        <f t="shared" si="15"/>
        <v>0</v>
      </c>
      <c r="BI167" s="166">
        <f t="shared" si="16"/>
        <v>0</v>
      </c>
      <c r="BJ167" s="14" t="s">
        <v>82</v>
      </c>
      <c r="BK167" s="166">
        <f t="shared" si="17"/>
        <v>0</v>
      </c>
      <c r="BL167" s="14" t="s">
        <v>185</v>
      </c>
      <c r="BM167" s="165" t="s">
        <v>294</v>
      </c>
    </row>
    <row r="168" spans="1:65" s="2" customFormat="1" ht="24.2" customHeight="1">
      <c r="A168" s="29"/>
      <c r="B168" s="152"/>
      <c r="C168" s="167" t="s">
        <v>295</v>
      </c>
      <c r="D168" s="167" t="s">
        <v>202</v>
      </c>
      <c r="E168" s="168" t="s">
        <v>2870</v>
      </c>
      <c r="F168" s="169" t="s">
        <v>2915</v>
      </c>
      <c r="G168" s="170" t="s">
        <v>217</v>
      </c>
      <c r="H168" s="171">
        <v>4</v>
      </c>
      <c r="I168" s="172"/>
      <c r="J168" s="151">
        <v>0</v>
      </c>
      <c r="K168" s="174"/>
      <c r="L168" s="175"/>
      <c r="M168" s="176" t="s">
        <v>1</v>
      </c>
      <c r="N168" s="177" t="s">
        <v>35</v>
      </c>
      <c r="O168" s="58"/>
      <c r="P168" s="163">
        <f t="shared" si="9"/>
        <v>0</v>
      </c>
      <c r="Q168" s="163">
        <v>3.8969999999999998E-2</v>
      </c>
      <c r="R168" s="163">
        <f t="shared" si="10"/>
        <v>0.15587999999999999</v>
      </c>
      <c r="S168" s="163">
        <v>0</v>
      </c>
      <c r="T168" s="164">
        <f t="shared" si="11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5" t="s">
        <v>197</v>
      </c>
      <c r="AT168" s="165" t="s">
        <v>202</v>
      </c>
      <c r="AU168" s="165" t="s">
        <v>82</v>
      </c>
      <c r="AY168" s="14" t="s">
        <v>179</v>
      </c>
      <c r="BE168" s="166">
        <f t="shared" si="12"/>
        <v>0</v>
      </c>
      <c r="BF168" s="166">
        <f t="shared" si="13"/>
        <v>0</v>
      </c>
      <c r="BG168" s="166">
        <f t="shared" si="14"/>
        <v>0</v>
      </c>
      <c r="BH168" s="166">
        <f t="shared" si="15"/>
        <v>0</v>
      </c>
      <c r="BI168" s="166">
        <f t="shared" si="16"/>
        <v>0</v>
      </c>
      <c r="BJ168" s="14" t="s">
        <v>82</v>
      </c>
      <c r="BK168" s="166">
        <f t="shared" si="17"/>
        <v>0</v>
      </c>
      <c r="BL168" s="14" t="s">
        <v>185</v>
      </c>
      <c r="BM168" s="165" t="s">
        <v>298</v>
      </c>
    </row>
    <row r="169" spans="1:65" s="2" customFormat="1" ht="24.2" customHeight="1">
      <c r="A169" s="29"/>
      <c r="B169" s="152"/>
      <c r="C169" s="167" t="s">
        <v>242</v>
      </c>
      <c r="D169" s="167" t="s">
        <v>202</v>
      </c>
      <c r="E169" s="168" t="s">
        <v>2872</v>
      </c>
      <c r="F169" s="169" t="s">
        <v>2916</v>
      </c>
      <c r="G169" s="170" t="s">
        <v>217</v>
      </c>
      <c r="H169" s="171">
        <v>4</v>
      </c>
      <c r="I169" s="172"/>
      <c r="J169" s="151">
        <v>0</v>
      </c>
      <c r="K169" s="174"/>
      <c r="L169" s="175"/>
      <c r="M169" s="176" t="s">
        <v>1</v>
      </c>
      <c r="N169" s="177" t="s">
        <v>35</v>
      </c>
      <c r="O169" s="58"/>
      <c r="P169" s="163">
        <f t="shared" si="9"/>
        <v>0</v>
      </c>
      <c r="Q169" s="163">
        <v>3.8969999999999998E-2</v>
      </c>
      <c r="R169" s="163">
        <f t="shared" si="10"/>
        <v>0.15587999999999999</v>
      </c>
      <c r="S169" s="163">
        <v>0</v>
      </c>
      <c r="T169" s="164">
        <f t="shared" si="11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5" t="s">
        <v>197</v>
      </c>
      <c r="AT169" s="165" t="s">
        <v>202</v>
      </c>
      <c r="AU169" s="165" t="s">
        <v>82</v>
      </c>
      <c r="AY169" s="14" t="s">
        <v>179</v>
      </c>
      <c r="BE169" s="166">
        <f t="shared" si="12"/>
        <v>0</v>
      </c>
      <c r="BF169" s="166">
        <f t="shared" si="13"/>
        <v>0</v>
      </c>
      <c r="BG169" s="166">
        <f t="shared" si="14"/>
        <v>0</v>
      </c>
      <c r="BH169" s="166">
        <f t="shared" si="15"/>
        <v>0</v>
      </c>
      <c r="BI169" s="166">
        <f t="shared" si="16"/>
        <v>0</v>
      </c>
      <c r="BJ169" s="14" t="s">
        <v>82</v>
      </c>
      <c r="BK169" s="166">
        <f t="shared" si="17"/>
        <v>0</v>
      </c>
      <c r="BL169" s="14" t="s">
        <v>185</v>
      </c>
      <c r="BM169" s="165" t="s">
        <v>301</v>
      </c>
    </row>
    <row r="170" spans="1:65" s="2" customFormat="1" ht="24.2" customHeight="1">
      <c r="A170" s="29"/>
      <c r="B170" s="152"/>
      <c r="C170" s="167" t="s">
        <v>302</v>
      </c>
      <c r="D170" s="167" t="s">
        <v>202</v>
      </c>
      <c r="E170" s="168" t="s">
        <v>2874</v>
      </c>
      <c r="F170" s="169" t="s">
        <v>2875</v>
      </c>
      <c r="G170" s="170" t="s">
        <v>217</v>
      </c>
      <c r="H170" s="171">
        <v>55</v>
      </c>
      <c r="I170" s="172"/>
      <c r="J170" s="151">
        <v>0</v>
      </c>
      <c r="K170" s="174"/>
      <c r="L170" s="175"/>
      <c r="M170" s="176" t="s">
        <v>1</v>
      </c>
      <c r="N170" s="177" t="s">
        <v>35</v>
      </c>
      <c r="O170" s="58"/>
      <c r="P170" s="163">
        <f t="shared" si="9"/>
        <v>0</v>
      </c>
      <c r="Q170" s="163">
        <v>3.8969999999999998E-2</v>
      </c>
      <c r="R170" s="163">
        <f t="shared" si="10"/>
        <v>2.1433499999999999</v>
      </c>
      <c r="S170" s="163">
        <v>0</v>
      </c>
      <c r="T170" s="164">
        <f t="shared" si="11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5" t="s">
        <v>197</v>
      </c>
      <c r="AT170" s="165" t="s">
        <v>202</v>
      </c>
      <c r="AU170" s="165" t="s">
        <v>82</v>
      </c>
      <c r="AY170" s="14" t="s">
        <v>179</v>
      </c>
      <c r="BE170" s="166">
        <f t="shared" si="12"/>
        <v>0</v>
      </c>
      <c r="BF170" s="166">
        <f t="shared" si="13"/>
        <v>0</v>
      </c>
      <c r="BG170" s="166">
        <f t="shared" si="14"/>
        <v>0</v>
      </c>
      <c r="BH170" s="166">
        <f t="shared" si="15"/>
        <v>0</v>
      </c>
      <c r="BI170" s="166">
        <f t="shared" si="16"/>
        <v>0</v>
      </c>
      <c r="BJ170" s="14" t="s">
        <v>82</v>
      </c>
      <c r="BK170" s="166">
        <f t="shared" si="17"/>
        <v>0</v>
      </c>
      <c r="BL170" s="14" t="s">
        <v>185</v>
      </c>
      <c r="BM170" s="165" t="s">
        <v>305</v>
      </c>
    </row>
    <row r="171" spans="1:65" s="2" customFormat="1" ht="24.2" customHeight="1">
      <c r="A171" s="29"/>
      <c r="B171" s="152"/>
      <c r="C171" s="167" t="s">
        <v>246</v>
      </c>
      <c r="D171" s="167" t="s">
        <v>202</v>
      </c>
      <c r="E171" s="168" t="s">
        <v>2876</v>
      </c>
      <c r="F171" s="169" t="s">
        <v>2877</v>
      </c>
      <c r="G171" s="170" t="s">
        <v>217</v>
      </c>
      <c r="H171" s="171">
        <v>1</v>
      </c>
      <c r="I171" s="172"/>
      <c r="J171" s="151">
        <v>0</v>
      </c>
      <c r="K171" s="174"/>
      <c r="L171" s="175"/>
      <c r="M171" s="176" t="s">
        <v>1</v>
      </c>
      <c r="N171" s="177" t="s">
        <v>35</v>
      </c>
      <c r="O171" s="58"/>
      <c r="P171" s="163">
        <f t="shared" si="9"/>
        <v>0</v>
      </c>
      <c r="Q171" s="163">
        <v>3.8969999999999998E-2</v>
      </c>
      <c r="R171" s="163">
        <f t="shared" si="10"/>
        <v>3.8969999999999998E-2</v>
      </c>
      <c r="S171" s="163">
        <v>0</v>
      </c>
      <c r="T171" s="164">
        <f t="shared" si="11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5" t="s">
        <v>197</v>
      </c>
      <c r="AT171" s="165" t="s">
        <v>202</v>
      </c>
      <c r="AU171" s="165" t="s">
        <v>82</v>
      </c>
      <c r="AY171" s="14" t="s">
        <v>179</v>
      </c>
      <c r="BE171" s="166">
        <f t="shared" si="12"/>
        <v>0</v>
      </c>
      <c r="BF171" s="166">
        <f t="shared" si="13"/>
        <v>0</v>
      </c>
      <c r="BG171" s="166">
        <f t="shared" si="14"/>
        <v>0</v>
      </c>
      <c r="BH171" s="166">
        <f t="shared" si="15"/>
        <v>0</v>
      </c>
      <c r="BI171" s="166">
        <f t="shared" si="16"/>
        <v>0</v>
      </c>
      <c r="BJ171" s="14" t="s">
        <v>82</v>
      </c>
      <c r="BK171" s="166">
        <f t="shared" si="17"/>
        <v>0</v>
      </c>
      <c r="BL171" s="14" t="s">
        <v>185</v>
      </c>
      <c r="BM171" s="165" t="s">
        <v>308</v>
      </c>
    </row>
    <row r="172" spans="1:65" s="2" customFormat="1" ht="24.2" customHeight="1">
      <c r="A172" s="29"/>
      <c r="B172" s="152"/>
      <c r="C172" s="167" t="s">
        <v>309</v>
      </c>
      <c r="D172" s="167" t="s">
        <v>202</v>
      </c>
      <c r="E172" s="168" t="s">
        <v>2878</v>
      </c>
      <c r="F172" s="169" t="s">
        <v>2879</v>
      </c>
      <c r="G172" s="170" t="s">
        <v>293</v>
      </c>
      <c r="H172" s="171">
        <v>144</v>
      </c>
      <c r="I172" s="172"/>
      <c r="J172" s="151">
        <v>0</v>
      </c>
      <c r="K172" s="174"/>
      <c r="L172" s="175"/>
      <c r="M172" s="176" t="s">
        <v>1</v>
      </c>
      <c r="N172" s="177" t="s">
        <v>35</v>
      </c>
      <c r="O172" s="58"/>
      <c r="P172" s="163">
        <f t="shared" si="9"/>
        <v>0</v>
      </c>
      <c r="Q172" s="163">
        <v>3.8969999999999998E-2</v>
      </c>
      <c r="R172" s="163">
        <f t="shared" si="10"/>
        <v>5.6116799999999998</v>
      </c>
      <c r="S172" s="163">
        <v>0</v>
      </c>
      <c r="T172" s="164">
        <f t="shared" si="11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5" t="s">
        <v>197</v>
      </c>
      <c r="AT172" s="165" t="s">
        <v>202</v>
      </c>
      <c r="AU172" s="165" t="s">
        <v>82</v>
      </c>
      <c r="AY172" s="14" t="s">
        <v>179</v>
      </c>
      <c r="BE172" s="166">
        <f t="shared" si="12"/>
        <v>0</v>
      </c>
      <c r="BF172" s="166">
        <f t="shared" si="13"/>
        <v>0</v>
      </c>
      <c r="BG172" s="166">
        <f t="shared" si="14"/>
        <v>0</v>
      </c>
      <c r="BH172" s="166">
        <f t="shared" si="15"/>
        <v>0</v>
      </c>
      <c r="BI172" s="166">
        <f t="shared" si="16"/>
        <v>0</v>
      </c>
      <c r="BJ172" s="14" t="s">
        <v>82</v>
      </c>
      <c r="BK172" s="166">
        <f t="shared" si="17"/>
        <v>0</v>
      </c>
      <c r="BL172" s="14" t="s">
        <v>185</v>
      </c>
      <c r="BM172" s="165" t="s">
        <v>312</v>
      </c>
    </row>
    <row r="173" spans="1:65" s="12" customFormat="1" ht="22.9" customHeight="1">
      <c r="B173" s="139"/>
      <c r="D173" s="140" t="s">
        <v>68</v>
      </c>
      <c r="E173" s="150" t="s">
        <v>214</v>
      </c>
      <c r="F173" s="150" t="s">
        <v>1010</v>
      </c>
      <c r="I173" s="142"/>
      <c r="J173" s="151">
        <v>0</v>
      </c>
      <c r="L173" s="139"/>
      <c r="M173" s="144"/>
      <c r="N173" s="145"/>
      <c r="O173" s="145"/>
      <c r="P173" s="146">
        <f>SUM(P174:P181)</f>
        <v>0</v>
      </c>
      <c r="Q173" s="145"/>
      <c r="R173" s="146">
        <f>SUM(R174:R181)</f>
        <v>0</v>
      </c>
      <c r="S173" s="145"/>
      <c r="T173" s="147">
        <f>SUM(T174:T181)</f>
        <v>0</v>
      </c>
      <c r="AR173" s="140" t="s">
        <v>76</v>
      </c>
      <c r="AT173" s="148" t="s">
        <v>68</v>
      </c>
      <c r="AU173" s="148" t="s">
        <v>76</v>
      </c>
      <c r="AY173" s="140" t="s">
        <v>179</v>
      </c>
      <c r="BK173" s="149">
        <f>SUM(BK174:BK181)</f>
        <v>0</v>
      </c>
    </row>
    <row r="174" spans="1:65" s="2" customFormat="1" ht="24.2" customHeight="1">
      <c r="A174" s="29"/>
      <c r="B174" s="152"/>
      <c r="C174" s="153" t="s">
        <v>250</v>
      </c>
      <c r="D174" s="153" t="s">
        <v>181</v>
      </c>
      <c r="E174" s="154" t="s">
        <v>2880</v>
      </c>
      <c r="F174" s="155" t="s">
        <v>2881</v>
      </c>
      <c r="G174" s="156" t="s">
        <v>293</v>
      </c>
      <c r="H174" s="157">
        <v>16.399999999999999</v>
      </c>
      <c r="I174" s="158"/>
      <c r="J174" s="151">
        <v>0</v>
      </c>
      <c r="K174" s="160"/>
      <c r="L174" s="30"/>
      <c r="M174" s="161" t="s">
        <v>1</v>
      </c>
      <c r="N174" s="162" t="s">
        <v>35</v>
      </c>
      <c r="O174" s="58"/>
      <c r="P174" s="163">
        <f t="shared" ref="P174:P181" si="18">O174*H174</f>
        <v>0</v>
      </c>
      <c r="Q174" s="163">
        <v>0</v>
      </c>
      <c r="R174" s="163">
        <f t="shared" ref="R174:R181" si="19">Q174*H174</f>
        <v>0</v>
      </c>
      <c r="S174" s="163">
        <v>0</v>
      </c>
      <c r="T174" s="164">
        <f t="shared" ref="T174:T181" si="20">S174*H174</f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5" t="s">
        <v>185</v>
      </c>
      <c r="AT174" s="165" t="s">
        <v>181</v>
      </c>
      <c r="AU174" s="165" t="s">
        <v>82</v>
      </c>
      <c r="AY174" s="14" t="s">
        <v>179</v>
      </c>
      <c r="BE174" s="166">
        <f t="shared" ref="BE174:BE181" si="21">IF(N174="základná",J174,0)</f>
        <v>0</v>
      </c>
      <c r="BF174" s="166">
        <f t="shared" ref="BF174:BF181" si="22">IF(N174="znížená",J174,0)</f>
        <v>0</v>
      </c>
      <c r="BG174" s="166">
        <f t="shared" ref="BG174:BG181" si="23">IF(N174="zákl. prenesená",J174,0)</f>
        <v>0</v>
      </c>
      <c r="BH174" s="166">
        <f t="shared" ref="BH174:BH181" si="24">IF(N174="zníž. prenesená",J174,0)</f>
        <v>0</v>
      </c>
      <c r="BI174" s="166">
        <f t="shared" ref="BI174:BI181" si="25">IF(N174="nulová",J174,0)</f>
        <v>0</v>
      </c>
      <c r="BJ174" s="14" t="s">
        <v>82</v>
      </c>
      <c r="BK174" s="166">
        <f t="shared" ref="BK174:BK181" si="26">ROUND(I174*H174,2)</f>
        <v>0</v>
      </c>
      <c r="BL174" s="14" t="s">
        <v>185</v>
      </c>
      <c r="BM174" s="165" t="s">
        <v>315</v>
      </c>
    </row>
    <row r="175" spans="1:65" s="2" customFormat="1" ht="24.2" customHeight="1">
      <c r="A175" s="29"/>
      <c r="B175" s="152"/>
      <c r="C175" s="153" t="s">
        <v>316</v>
      </c>
      <c r="D175" s="153" t="s">
        <v>181</v>
      </c>
      <c r="E175" s="154" t="s">
        <v>2917</v>
      </c>
      <c r="F175" s="155" t="s">
        <v>2918</v>
      </c>
      <c r="G175" s="156" t="s">
        <v>217</v>
      </c>
      <c r="H175" s="157">
        <v>6</v>
      </c>
      <c r="I175" s="158"/>
      <c r="J175" s="151">
        <v>0</v>
      </c>
      <c r="K175" s="160"/>
      <c r="L175" s="30"/>
      <c r="M175" s="161" t="s">
        <v>1</v>
      </c>
      <c r="N175" s="162" t="s">
        <v>35</v>
      </c>
      <c r="O175" s="58"/>
      <c r="P175" s="163">
        <f t="shared" si="18"/>
        <v>0</v>
      </c>
      <c r="Q175" s="163">
        <v>0</v>
      </c>
      <c r="R175" s="163">
        <f t="shared" si="19"/>
        <v>0</v>
      </c>
      <c r="S175" s="163">
        <v>0</v>
      </c>
      <c r="T175" s="164">
        <f t="shared" si="20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5" t="s">
        <v>185</v>
      </c>
      <c r="AT175" s="165" t="s">
        <v>181</v>
      </c>
      <c r="AU175" s="165" t="s">
        <v>82</v>
      </c>
      <c r="AY175" s="14" t="s">
        <v>179</v>
      </c>
      <c r="BE175" s="166">
        <f t="shared" si="21"/>
        <v>0</v>
      </c>
      <c r="BF175" s="166">
        <f t="shared" si="22"/>
        <v>0</v>
      </c>
      <c r="BG175" s="166">
        <f t="shared" si="23"/>
        <v>0</v>
      </c>
      <c r="BH175" s="166">
        <f t="shared" si="24"/>
        <v>0</v>
      </c>
      <c r="BI175" s="166">
        <f t="shared" si="25"/>
        <v>0</v>
      </c>
      <c r="BJ175" s="14" t="s">
        <v>82</v>
      </c>
      <c r="BK175" s="166">
        <f t="shared" si="26"/>
        <v>0</v>
      </c>
      <c r="BL175" s="14" t="s">
        <v>185</v>
      </c>
      <c r="BM175" s="165" t="s">
        <v>319</v>
      </c>
    </row>
    <row r="176" spans="1:65" s="2" customFormat="1" ht="33" customHeight="1">
      <c r="A176" s="29"/>
      <c r="B176" s="152"/>
      <c r="C176" s="153" t="s">
        <v>254</v>
      </c>
      <c r="D176" s="153" t="s">
        <v>181</v>
      </c>
      <c r="E176" s="154" t="s">
        <v>2136</v>
      </c>
      <c r="F176" s="155" t="s">
        <v>2882</v>
      </c>
      <c r="G176" s="156" t="s">
        <v>217</v>
      </c>
      <c r="H176" s="157">
        <v>4</v>
      </c>
      <c r="I176" s="158"/>
      <c r="J176" s="151">
        <v>0</v>
      </c>
      <c r="K176" s="160"/>
      <c r="L176" s="30"/>
      <c r="M176" s="161" t="s">
        <v>1</v>
      </c>
      <c r="N176" s="162" t="s">
        <v>35</v>
      </c>
      <c r="O176" s="58"/>
      <c r="P176" s="163">
        <f t="shared" si="18"/>
        <v>0</v>
      </c>
      <c r="Q176" s="163">
        <v>0</v>
      </c>
      <c r="R176" s="163">
        <f t="shared" si="19"/>
        <v>0</v>
      </c>
      <c r="S176" s="163">
        <v>0</v>
      </c>
      <c r="T176" s="164">
        <f t="shared" si="20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5" t="s">
        <v>185</v>
      </c>
      <c r="AT176" s="165" t="s">
        <v>181</v>
      </c>
      <c r="AU176" s="165" t="s">
        <v>82</v>
      </c>
      <c r="AY176" s="14" t="s">
        <v>179</v>
      </c>
      <c r="BE176" s="166">
        <f t="shared" si="21"/>
        <v>0</v>
      </c>
      <c r="BF176" s="166">
        <f t="shared" si="22"/>
        <v>0</v>
      </c>
      <c r="BG176" s="166">
        <f t="shared" si="23"/>
        <v>0</v>
      </c>
      <c r="BH176" s="166">
        <f t="shared" si="24"/>
        <v>0</v>
      </c>
      <c r="BI176" s="166">
        <f t="shared" si="25"/>
        <v>0</v>
      </c>
      <c r="BJ176" s="14" t="s">
        <v>82</v>
      </c>
      <c r="BK176" s="166">
        <f t="shared" si="26"/>
        <v>0</v>
      </c>
      <c r="BL176" s="14" t="s">
        <v>185</v>
      </c>
      <c r="BM176" s="165" t="s">
        <v>322</v>
      </c>
    </row>
    <row r="177" spans="1:65" s="2" customFormat="1" ht="21.75" customHeight="1">
      <c r="A177" s="29"/>
      <c r="B177" s="152"/>
      <c r="C177" s="153" t="s">
        <v>323</v>
      </c>
      <c r="D177" s="153" t="s">
        <v>181</v>
      </c>
      <c r="E177" s="154" t="s">
        <v>2138</v>
      </c>
      <c r="F177" s="155" t="s">
        <v>1019</v>
      </c>
      <c r="G177" s="156" t="s">
        <v>191</v>
      </c>
      <c r="H177" s="157">
        <v>9.9079999999999995</v>
      </c>
      <c r="I177" s="158"/>
      <c r="J177" s="151">
        <v>0</v>
      </c>
      <c r="K177" s="160"/>
      <c r="L177" s="30"/>
      <c r="M177" s="161" t="s">
        <v>1</v>
      </c>
      <c r="N177" s="162" t="s">
        <v>35</v>
      </c>
      <c r="O177" s="58"/>
      <c r="P177" s="163">
        <f t="shared" si="18"/>
        <v>0</v>
      </c>
      <c r="Q177" s="163">
        <v>0</v>
      </c>
      <c r="R177" s="163">
        <f t="shared" si="19"/>
        <v>0</v>
      </c>
      <c r="S177" s="163">
        <v>0</v>
      </c>
      <c r="T177" s="164">
        <f t="shared" si="20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5" t="s">
        <v>185</v>
      </c>
      <c r="AT177" s="165" t="s">
        <v>181</v>
      </c>
      <c r="AU177" s="165" t="s">
        <v>82</v>
      </c>
      <c r="AY177" s="14" t="s">
        <v>179</v>
      </c>
      <c r="BE177" s="166">
        <f t="shared" si="21"/>
        <v>0</v>
      </c>
      <c r="BF177" s="166">
        <f t="shared" si="22"/>
        <v>0</v>
      </c>
      <c r="BG177" s="166">
        <f t="shared" si="23"/>
        <v>0</v>
      </c>
      <c r="BH177" s="166">
        <f t="shared" si="24"/>
        <v>0</v>
      </c>
      <c r="BI177" s="166">
        <f t="shared" si="25"/>
        <v>0</v>
      </c>
      <c r="BJ177" s="14" t="s">
        <v>82</v>
      </c>
      <c r="BK177" s="166">
        <f t="shared" si="26"/>
        <v>0</v>
      </c>
      <c r="BL177" s="14" t="s">
        <v>185</v>
      </c>
      <c r="BM177" s="165" t="s">
        <v>326</v>
      </c>
    </row>
    <row r="178" spans="1:65" s="2" customFormat="1" ht="24.2" customHeight="1">
      <c r="A178" s="29"/>
      <c r="B178" s="152"/>
      <c r="C178" s="153" t="s">
        <v>257</v>
      </c>
      <c r="D178" s="153" t="s">
        <v>181</v>
      </c>
      <c r="E178" s="154" t="s">
        <v>2139</v>
      </c>
      <c r="F178" s="155" t="s">
        <v>2140</v>
      </c>
      <c r="G178" s="156" t="s">
        <v>191</v>
      </c>
      <c r="H178" s="157">
        <v>9.9079999999999995</v>
      </c>
      <c r="I178" s="158"/>
      <c r="J178" s="151">
        <v>0</v>
      </c>
      <c r="K178" s="160"/>
      <c r="L178" s="30"/>
      <c r="M178" s="161" t="s">
        <v>1</v>
      </c>
      <c r="N178" s="162" t="s">
        <v>35</v>
      </c>
      <c r="O178" s="58"/>
      <c r="P178" s="163">
        <f t="shared" si="18"/>
        <v>0</v>
      </c>
      <c r="Q178" s="163">
        <v>0</v>
      </c>
      <c r="R178" s="163">
        <f t="shared" si="19"/>
        <v>0</v>
      </c>
      <c r="S178" s="163">
        <v>0</v>
      </c>
      <c r="T178" s="164">
        <f t="shared" si="20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5" t="s">
        <v>185</v>
      </c>
      <c r="AT178" s="165" t="s">
        <v>181</v>
      </c>
      <c r="AU178" s="165" t="s">
        <v>82</v>
      </c>
      <c r="AY178" s="14" t="s">
        <v>179</v>
      </c>
      <c r="BE178" s="166">
        <f t="shared" si="21"/>
        <v>0</v>
      </c>
      <c r="BF178" s="166">
        <f t="shared" si="22"/>
        <v>0</v>
      </c>
      <c r="BG178" s="166">
        <f t="shared" si="23"/>
        <v>0</v>
      </c>
      <c r="BH178" s="166">
        <f t="shared" si="24"/>
        <v>0</v>
      </c>
      <c r="BI178" s="166">
        <f t="shared" si="25"/>
        <v>0</v>
      </c>
      <c r="BJ178" s="14" t="s">
        <v>82</v>
      </c>
      <c r="BK178" s="166">
        <f t="shared" si="26"/>
        <v>0</v>
      </c>
      <c r="BL178" s="14" t="s">
        <v>185</v>
      </c>
      <c r="BM178" s="165" t="s">
        <v>329</v>
      </c>
    </row>
    <row r="179" spans="1:65" s="2" customFormat="1" ht="24.2" customHeight="1">
      <c r="A179" s="29"/>
      <c r="B179" s="152"/>
      <c r="C179" s="153" t="s">
        <v>330</v>
      </c>
      <c r="D179" s="153" t="s">
        <v>181</v>
      </c>
      <c r="E179" s="154" t="s">
        <v>525</v>
      </c>
      <c r="F179" s="155" t="s">
        <v>526</v>
      </c>
      <c r="G179" s="156" t="s">
        <v>191</v>
      </c>
      <c r="H179" s="157">
        <v>9.9079999999999995</v>
      </c>
      <c r="I179" s="158"/>
      <c r="J179" s="151">
        <v>0</v>
      </c>
      <c r="K179" s="160"/>
      <c r="L179" s="30"/>
      <c r="M179" s="161" t="s">
        <v>1</v>
      </c>
      <c r="N179" s="162" t="s">
        <v>35</v>
      </c>
      <c r="O179" s="58"/>
      <c r="P179" s="163">
        <f t="shared" si="18"/>
        <v>0</v>
      </c>
      <c r="Q179" s="163">
        <v>0</v>
      </c>
      <c r="R179" s="163">
        <f t="shared" si="19"/>
        <v>0</v>
      </c>
      <c r="S179" s="163">
        <v>0</v>
      </c>
      <c r="T179" s="164">
        <f t="shared" si="20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5" t="s">
        <v>185</v>
      </c>
      <c r="AT179" s="165" t="s">
        <v>181</v>
      </c>
      <c r="AU179" s="165" t="s">
        <v>82</v>
      </c>
      <c r="AY179" s="14" t="s">
        <v>179</v>
      </c>
      <c r="BE179" s="166">
        <f t="shared" si="21"/>
        <v>0</v>
      </c>
      <c r="BF179" s="166">
        <f t="shared" si="22"/>
        <v>0</v>
      </c>
      <c r="BG179" s="166">
        <f t="shared" si="23"/>
        <v>0</v>
      </c>
      <c r="BH179" s="166">
        <f t="shared" si="24"/>
        <v>0</v>
      </c>
      <c r="BI179" s="166">
        <f t="shared" si="25"/>
        <v>0</v>
      </c>
      <c r="BJ179" s="14" t="s">
        <v>82</v>
      </c>
      <c r="BK179" s="166">
        <f t="shared" si="26"/>
        <v>0</v>
      </c>
      <c r="BL179" s="14" t="s">
        <v>185</v>
      </c>
      <c r="BM179" s="165" t="s">
        <v>333</v>
      </c>
    </row>
    <row r="180" spans="1:65" s="2" customFormat="1" ht="24.2" customHeight="1">
      <c r="A180" s="29"/>
      <c r="B180" s="152"/>
      <c r="C180" s="153" t="s">
        <v>261</v>
      </c>
      <c r="D180" s="153" t="s">
        <v>181</v>
      </c>
      <c r="E180" s="154" t="s">
        <v>1024</v>
      </c>
      <c r="F180" s="155" t="s">
        <v>1025</v>
      </c>
      <c r="G180" s="156" t="s">
        <v>191</v>
      </c>
      <c r="H180" s="157">
        <v>3.98</v>
      </c>
      <c r="I180" s="158"/>
      <c r="J180" s="151">
        <v>0</v>
      </c>
      <c r="K180" s="160"/>
      <c r="L180" s="30"/>
      <c r="M180" s="161" t="s">
        <v>1</v>
      </c>
      <c r="N180" s="162" t="s">
        <v>35</v>
      </c>
      <c r="O180" s="58"/>
      <c r="P180" s="163">
        <f t="shared" si="18"/>
        <v>0</v>
      </c>
      <c r="Q180" s="163">
        <v>0</v>
      </c>
      <c r="R180" s="163">
        <f t="shared" si="19"/>
        <v>0</v>
      </c>
      <c r="S180" s="163">
        <v>0</v>
      </c>
      <c r="T180" s="164">
        <f t="shared" si="20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5" t="s">
        <v>185</v>
      </c>
      <c r="AT180" s="165" t="s">
        <v>181</v>
      </c>
      <c r="AU180" s="165" t="s">
        <v>82</v>
      </c>
      <c r="AY180" s="14" t="s">
        <v>179</v>
      </c>
      <c r="BE180" s="166">
        <f t="shared" si="21"/>
        <v>0</v>
      </c>
      <c r="BF180" s="166">
        <f t="shared" si="22"/>
        <v>0</v>
      </c>
      <c r="BG180" s="166">
        <f t="shared" si="23"/>
        <v>0</v>
      </c>
      <c r="BH180" s="166">
        <f t="shared" si="24"/>
        <v>0</v>
      </c>
      <c r="BI180" s="166">
        <f t="shared" si="25"/>
        <v>0</v>
      </c>
      <c r="BJ180" s="14" t="s">
        <v>82</v>
      </c>
      <c r="BK180" s="166">
        <f t="shared" si="26"/>
        <v>0</v>
      </c>
      <c r="BL180" s="14" t="s">
        <v>185</v>
      </c>
      <c r="BM180" s="165" t="s">
        <v>336</v>
      </c>
    </row>
    <row r="181" spans="1:65" s="2" customFormat="1" ht="37.9" customHeight="1">
      <c r="A181" s="29"/>
      <c r="B181" s="152"/>
      <c r="C181" s="153" t="s">
        <v>337</v>
      </c>
      <c r="D181" s="153" t="s">
        <v>181</v>
      </c>
      <c r="E181" s="154" t="s">
        <v>2141</v>
      </c>
      <c r="F181" s="155" t="s">
        <v>2142</v>
      </c>
      <c r="G181" s="156" t="s">
        <v>191</v>
      </c>
      <c r="H181" s="157">
        <v>5.9279999999999999</v>
      </c>
      <c r="I181" s="158"/>
      <c r="J181" s="151">
        <v>0</v>
      </c>
      <c r="K181" s="160"/>
      <c r="L181" s="30"/>
      <c r="M181" s="161" t="s">
        <v>1</v>
      </c>
      <c r="N181" s="162" t="s">
        <v>35</v>
      </c>
      <c r="O181" s="58"/>
      <c r="P181" s="163">
        <f t="shared" si="18"/>
        <v>0</v>
      </c>
      <c r="Q181" s="163">
        <v>0</v>
      </c>
      <c r="R181" s="163">
        <f t="shared" si="19"/>
        <v>0</v>
      </c>
      <c r="S181" s="163">
        <v>0</v>
      </c>
      <c r="T181" s="164">
        <f t="shared" si="20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5" t="s">
        <v>185</v>
      </c>
      <c r="AT181" s="165" t="s">
        <v>181</v>
      </c>
      <c r="AU181" s="165" t="s">
        <v>82</v>
      </c>
      <c r="AY181" s="14" t="s">
        <v>179</v>
      </c>
      <c r="BE181" s="166">
        <f t="shared" si="21"/>
        <v>0</v>
      </c>
      <c r="BF181" s="166">
        <f t="shared" si="22"/>
        <v>0</v>
      </c>
      <c r="BG181" s="166">
        <f t="shared" si="23"/>
        <v>0</v>
      </c>
      <c r="BH181" s="166">
        <f t="shared" si="24"/>
        <v>0</v>
      </c>
      <c r="BI181" s="166">
        <f t="shared" si="25"/>
        <v>0</v>
      </c>
      <c r="BJ181" s="14" t="s">
        <v>82</v>
      </c>
      <c r="BK181" s="166">
        <f t="shared" si="26"/>
        <v>0</v>
      </c>
      <c r="BL181" s="14" t="s">
        <v>185</v>
      </c>
      <c r="BM181" s="165" t="s">
        <v>340</v>
      </c>
    </row>
    <row r="182" spans="1:65" s="12" customFormat="1" ht="22.9" customHeight="1">
      <c r="B182" s="139"/>
      <c r="D182" s="140" t="s">
        <v>68</v>
      </c>
      <c r="E182" s="150" t="s">
        <v>535</v>
      </c>
      <c r="F182" s="150" t="s">
        <v>2883</v>
      </c>
      <c r="I182" s="142"/>
      <c r="J182" s="151">
        <v>0</v>
      </c>
      <c r="L182" s="139"/>
      <c r="M182" s="144"/>
      <c r="N182" s="145"/>
      <c r="O182" s="145"/>
      <c r="P182" s="146">
        <f>SUM(P183:P184)</f>
        <v>0</v>
      </c>
      <c r="Q182" s="145"/>
      <c r="R182" s="146">
        <f>SUM(R183:R184)</f>
        <v>0</v>
      </c>
      <c r="S182" s="145"/>
      <c r="T182" s="147">
        <f>SUM(T183:T184)</f>
        <v>0</v>
      </c>
      <c r="AR182" s="140" t="s">
        <v>76</v>
      </c>
      <c r="AT182" s="148" t="s">
        <v>68</v>
      </c>
      <c r="AU182" s="148" t="s">
        <v>76</v>
      </c>
      <c r="AY182" s="140" t="s">
        <v>179</v>
      </c>
      <c r="BK182" s="149">
        <f>SUM(BK183:BK184)</f>
        <v>0</v>
      </c>
    </row>
    <row r="183" spans="1:65" s="2" customFormat="1" ht="24.2" customHeight="1">
      <c r="A183" s="29"/>
      <c r="B183" s="152"/>
      <c r="C183" s="153" t="s">
        <v>265</v>
      </c>
      <c r="D183" s="153" t="s">
        <v>181</v>
      </c>
      <c r="E183" s="154" t="s">
        <v>2884</v>
      </c>
      <c r="F183" s="155" t="s">
        <v>2885</v>
      </c>
      <c r="G183" s="156" t="s">
        <v>191</v>
      </c>
      <c r="H183" s="157">
        <v>15.84</v>
      </c>
      <c r="I183" s="158"/>
      <c r="J183" s="151">
        <v>0</v>
      </c>
      <c r="K183" s="160"/>
      <c r="L183" s="30"/>
      <c r="M183" s="161" t="s">
        <v>1</v>
      </c>
      <c r="N183" s="162" t="s">
        <v>35</v>
      </c>
      <c r="O183" s="58"/>
      <c r="P183" s="163">
        <f>O183*H183</f>
        <v>0</v>
      </c>
      <c r="Q183" s="163">
        <v>0</v>
      </c>
      <c r="R183" s="163">
        <f>Q183*H183</f>
        <v>0</v>
      </c>
      <c r="S183" s="163">
        <v>0</v>
      </c>
      <c r="T183" s="164">
        <f>S183*H183</f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5" t="s">
        <v>185</v>
      </c>
      <c r="AT183" s="165" t="s">
        <v>181</v>
      </c>
      <c r="AU183" s="165" t="s">
        <v>82</v>
      </c>
      <c r="AY183" s="14" t="s">
        <v>179</v>
      </c>
      <c r="BE183" s="166">
        <f>IF(N183="základná",J183,0)</f>
        <v>0</v>
      </c>
      <c r="BF183" s="166">
        <f>IF(N183="znížená",J183,0)</f>
        <v>0</v>
      </c>
      <c r="BG183" s="166">
        <f>IF(N183="zákl. prenesená",J183,0)</f>
        <v>0</v>
      </c>
      <c r="BH183" s="166">
        <f>IF(N183="zníž. prenesená",J183,0)</f>
        <v>0</v>
      </c>
      <c r="BI183" s="166">
        <f>IF(N183="nulová",J183,0)</f>
        <v>0</v>
      </c>
      <c r="BJ183" s="14" t="s">
        <v>82</v>
      </c>
      <c r="BK183" s="166">
        <f>ROUND(I183*H183,2)</f>
        <v>0</v>
      </c>
      <c r="BL183" s="14" t="s">
        <v>185</v>
      </c>
      <c r="BM183" s="165" t="s">
        <v>343</v>
      </c>
    </row>
    <row r="184" spans="1:65" s="2" customFormat="1" ht="44.25" customHeight="1">
      <c r="A184" s="29"/>
      <c r="B184" s="152"/>
      <c r="C184" s="153" t="s">
        <v>344</v>
      </c>
      <c r="D184" s="153" t="s">
        <v>181</v>
      </c>
      <c r="E184" s="154" t="s">
        <v>2886</v>
      </c>
      <c r="F184" s="155" t="s">
        <v>2887</v>
      </c>
      <c r="G184" s="156" t="s">
        <v>191</v>
      </c>
      <c r="H184" s="157">
        <v>15.84</v>
      </c>
      <c r="I184" s="158"/>
      <c r="J184" s="151">
        <v>0</v>
      </c>
      <c r="K184" s="160"/>
      <c r="L184" s="30"/>
      <c r="M184" s="161" t="s">
        <v>1</v>
      </c>
      <c r="N184" s="162" t="s">
        <v>35</v>
      </c>
      <c r="O184" s="58"/>
      <c r="P184" s="163">
        <f>O184*H184</f>
        <v>0</v>
      </c>
      <c r="Q184" s="163">
        <v>0</v>
      </c>
      <c r="R184" s="163">
        <f>Q184*H184</f>
        <v>0</v>
      </c>
      <c r="S184" s="163">
        <v>0</v>
      </c>
      <c r="T184" s="164">
        <f>S184*H184</f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5" t="s">
        <v>185</v>
      </c>
      <c r="AT184" s="165" t="s">
        <v>181</v>
      </c>
      <c r="AU184" s="165" t="s">
        <v>82</v>
      </c>
      <c r="AY184" s="14" t="s">
        <v>179</v>
      </c>
      <c r="BE184" s="166">
        <f>IF(N184="základná",J184,0)</f>
        <v>0</v>
      </c>
      <c r="BF184" s="166">
        <f>IF(N184="znížená",J184,0)</f>
        <v>0</v>
      </c>
      <c r="BG184" s="166">
        <f>IF(N184="zákl. prenesená",J184,0)</f>
        <v>0</v>
      </c>
      <c r="BH184" s="166">
        <f>IF(N184="zníž. prenesená",J184,0)</f>
        <v>0</v>
      </c>
      <c r="BI184" s="166">
        <f>IF(N184="nulová",J184,0)</f>
        <v>0</v>
      </c>
      <c r="BJ184" s="14" t="s">
        <v>82</v>
      </c>
      <c r="BK184" s="166">
        <f>ROUND(I184*H184,2)</f>
        <v>0</v>
      </c>
      <c r="BL184" s="14" t="s">
        <v>185</v>
      </c>
      <c r="BM184" s="165" t="s">
        <v>354</v>
      </c>
    </row>
    <row r="185" spans="1:65" s="12" customFormat="1" ht="25.9" customHeight="1">
      <c r="B185" s="139"/>
      <c r="D185" s="140" t="s">
        <v>68</v>
      </c>
      <c r="E185" s="141" t="s">
        <v>554</v>
      </c>
      <c r="F185" s="141" t="s">
        <v>1026</v>
      </c>
      <c r="I185" s="142"/>
      <c r="J185" s="151">
        <v>0</v>
      </c>
      <c r="L185" s="139"/>
      <c r="M185" s="144"/>
      <c r="N185" s="145"/>
      <c r="O185" s="145"/>
      <c r="P185" s="146">
        <f>P186+P196+P205</f>
        <v>0</v>
      </c>
      <c r="Q185" s="145"/>
      <c r="R185" s="146">
        <f>R186+R196+R205</f>
        <v>9.7000000000000003E-2</v>
      </c>
      <c r="S185" s="145"/>
      <c r="T185" s="147">
        <f>T186+T196+T205</f>
        <v>0</v>
      </c>
      <c r="AR185" s="140" t="s">
        <v>82</v>
      </c>
      <c r="AT185" s="148" t="s">
        <v>68</v>
      </c>
      <c r="AU185" s="148" t="s">
        <v>69</v>
      </c>
      <c r="AY185" s="140" t="s">
        <v>179</v>
      </c>
      <c r="BK185" s="149">
        <f>BK186+BK196+BK205</f>
        <v>0</v>
      </c>
    </row>
    <row r="186" spans="1:65" s="12" customFormat="1" ht="22.9" customHeight="1">
      <c r="B186" s="139"/>
      <c r="D186" s="140" t="s">
        <v>68</v>
      </c>
      <c r="E186" s="150" t="s">
        <v>600</v>
      </c>
      <c r="F186" s="150" t="s">
        <v>1027</v>
      </c>
      <c r="I186" s="142"/>
      <c r="J186" s="151">
        <v>0</v>
      </c>
      <c r="L186" s="139"/>
      <c r="M186" s="144"/>
      <c r="N186" s="145"/>
      <c r="O186" s="145"/>
      <c r="P186" s="146">
        <f>SUM(P187:P195)</f>
        <v>0</v>
      </c>
      <c r="Q186" s="145"/>
      <c r="R186" s="146">
        <f>SUM(R187:R195)</f>
        <v>1.8409999999999999E-2</v>
      </c>
      <c r="S186" s="145"/>
      <c r="T186" s="147">
        <f>SUM(T187:T195)</f>
        <v>0</v>
      </c>
      <c r="AR186" s="140" t="s">
        <v>82</v>
      </c>
      <c r="AT186" s="148" t="s">
        <v>68</v>
      </c>
      <c r="AU186" s="148" t="s">
        <v>76</v>
      </c>
      <c r="AY186" s="140" t="s">
        <v>179</v>
      </c>
      <c r="BK186" s="149">
        <f>SUM(BK187:BK195)</f>
        <v>0</v>
      </c>
    </row>
    <row r="187" spans="1:65" s="2" customFormat="1" ht="33" customHeight="1">
      <c r="A187" s="29"/>
      <c r="B187" s="152"/>
      <c r="C187" s="153" t="s">
        <v>268</v>
      </c>
      <c r="D187" s="153" t="s">
        <v>181</v>
      </c>
      <c r="E187" s="154" t="s">
        <v>2143</v>
      </c>
      <c r="F187" s="155" t="s">
        <v>2144</v>
      </c>
      <c r="G187" s="156" t="s">
        <v>184</v>
      </c>
      <c r="H187" s="157">
        <v>58.4</v>
      </c>
      <c r="I187" s="158"/>
      <c r="J187" s="151">
        <v>0</v>
      </c>
      <c r="K187" s="160"/>
      <c r="L187" s="30"/>
      <c r="M187" s="161" t="s">
        <v>1</v>
      </c>
      <c r="N187" s="162" t="s">
        <v>35</v>
      </c>
      <c r="O187" s="58"/>
      <c r="P187" s="163">
        <f t="shared" ref="P187:P195" si="27">O187*H187</f>
        <v>0</v>
      </c>
      <c r="Q187" s="163">
        <v>0</v>
      </c>
      <c r="R187" s="163">
        <f t="shared" ref="R187:R195" si="28">Q187*H187</f>
        <v>0</v>
      </c>
      <c r="S187" s="163">
        <v>0</v>
      </c>
      <c r="T187" s="164">
        <f t="shared" ref="T187:T195" si="29">S187*H187</f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5" t="s">
        <v>213</v>
      </c>
      <c r="AT187" s="165" t="s">
        <v>181</v>
      </c>
      <c r="AU187" s="165" t="s">
        <v>82</v>
      </c>
      <c r="AY187" s="14" t="s">
        <v>179</v>
      </c>
      <c r="BE187" s="166">
        <f t="shared" ref="BE187:BE195" si="30">IF(N187="základná",J187,0)</f>
        <v>0</v>
      </c>
      <c r="BF187" s="166">
        <f t="shared" ref="BF187:BF195" si="31">IF(N187="znížená",J187,0)</f>
        <v>0</v>
      </c>
      <c r="BG187" s="166">
        <f t="shared" ref="BG187:BG195" si="32">IF(N187="zákl. prenesená",J187,0)</f>
        <v>0</v>
      </c>
      <c r="BH187" s="166">
        <f t="shared" ref="BH187:BH195" si="33">IF(N187="zníž. prenesená",J187,0)</f>
        <v>0</v>
      </c>
      <c r="BI187" s="166">
        <f t="shared" ref="BI187:BI195" si="34">IF(N187="nulová",J187,0)</f>
        <v>0</v>
      </c>
      <c r="BJ187" s="14" t="s">
        <v>82</v>
      </c>
      <c r="BK187" s="166">
        <f t="shared" ref="BK187:BK195" si="35">ROUND(I187*H187,2)</f>
        <v>0</v>
      </c>
      <c r="BL187" s="14" t="s">
        <v>213</v>
      </c>
      <c r="BM187" s="165" t="s">
        <v>357</v>
      </c>
    </row>
    <row r="188" spans="1:65" s="2" customFormat="1" ht="16.5" customHeight="1">
      <c r="A188" s="29"/>
      <c r="B188" s="152"/>
      <c r="C188" s="153" t="s">
        <v>351</v>
      </c>
      <c r="D188" s="153" t="s">
        <v>181</v>
      </c>
      <c r="E188" s="154" t="s">
        <v>1038</v>
      </c>
      <c r="F188" s="155" t="s">
        <v>2919</v>
      </c>
      <c r="G188" s="156" t="s">
        <v>293</v>
      </c>
      <c r="H188" s="157">
        <v>8</v>
      </c>
      <c r="I188" s="158"/>
      <c r="J188" s="151">
        <v>0</v>
      </c>
      <c r="K188" s="160"/>
      <c r="L188" s="30"/>
      <c r="M188" s="161" t="s">
        <v>1</v>
      </c>
      <c r="N188" s="162" t="s">
        <v>35</v>
      </c>
      <c r="O188" s="58"/>
      <c r="P188" s="163">
        <f t="shared" si="27"/>
        <v>0</v>
      </c>
      <c r="Q188" s="163">
        <v>8.7499999999999992E-6</v>
      </c>
      <c r="R188" s="163">
        <f t="shared" si="28"/>
        <v>6.9999999999999994E-5</v>
      </c>
      <c r="S188" s="163">
        <v>0</v>
      </c>
      <c r="T188" s="164">
        <f t="shared" si="29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5" t="s">
        <v>213</v>
      </c>
      <c r="AT188" s="165" t="s">
        <v>181</v>
      </c>
      <c r="AU188" s="165" t="s">
        <v>82</v>
      </c>
      <c r="AY188" s="14" t="s">
        <v>179</v>
      </c>
      <c r="BE188" s="166">
        <f t="shared" si="30"/>
        <v>0</v>
      </c>
      <c r="BF188" s="166">
        <f t="shared" si="31"/>
        <v>0</v>
      </c>
      <c r="BG188" s="166">
        <f t="shared" si="32"/>
        <v>0</v>
      </c>
      <c r="BH188" s="166">
        <f t="shared" si="33"/>
        <v>0</v>
      </c>
      <c r="BI188" s="166">
        <f t="shared" si="34"/>
        <v>0</v>
      </c>
      <c r="BJ188" s="14" t="s">
        <v>82</v>
      </c>
      <c r="BK188" s="166">
        <f t="shared" si="35"/>
        <v>0</v>
      </c>
      <c r="BL188" s="14" t="s">
        <v>213</v>
      </c>
      <c r="BM188" s="165" t="s">
        <v>361</v>
      </c>
    </row>
    <row r="189" spans="1:65" s="2" customFormat="1" ht="33" customHeight="1">
      <c r="A189" s="29"/>
      <c r="B189" s="152"/>
      <c r="C189" s="167" t="s">
        <v>271</v>
      </c>
      <c r="D189" s="167" t="s">
        <v>202</v>
      </c>
      <c r="E189" s="168" t="s">
        <v>2146</v>
      </c>
      <c r="F189" s="338" t="s">
        <v>3428</v>
      </c>
      <c r="G189" s="170" t="s">
        <v>293</v>
      </c>
      <c r="H189" s="171">
        <v>4</v>
      </c>
      <c r="I189" s="172"/>
      <c r="J189" s="151">
        <v>0</v>
      </c>
      <c r="K189" s="174"/>
      <c r="L189" s="175"/>
      <c r="M189" s="176" t="s">
        <v>1</v>
      </c>
      <c r="N189" s="177" t="s">
        <v>35</v>
      </c>
      <c r="O189" s="58"/>
      <c r="P189" s="163">
        <f t="shared" si="27"/>
        <v>0</v>
      </c>
      <c r="Q189" s="163">
        <v>6.9999999999999994E-5</v>
      </c>
      <c r="R189" s="163">
        <f t="shared" si="28"/>
        <v>2.7999999999999998E-4</v>
      </c>
      <c r="S189" s="163">
        <v>0</v>
      </c>
      <c r="T189" s="164">
        <f t="shared" si="29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65" t="s">
        <v>242</v>
      </c>
      <c r="AT189" s="165" t="s">
        <v>202</v>
      </c>
      <c r="AU189" s="165" t="s">
        <v>82</v>
      </c>
      <c r="AY189" s="14" t="s">
        <v>179</v>
      </c>
      <c r="BE189" s="166">
        <f t="shared" si="30"/>
        <v>0</v>
      </c>
      <c r="BF189" s="166">
        <f t="shared" si="31"/>
        <v>0</v>
      </c>
      <c r="BG189" s="166">
        <f t="shared" si="32"/>
        <v>0</v>
      </c>
      <c r="BH189" s="166">
        <f t="shared" si="33"/>
        <v>0</v>
      </c>
      <c r="BI189" s="166">
        <f t="shared" si="34"/>
        <v>0</v>
      </c>
      <c r="BJ189" s="14" t="s">
        <v>82</v>
      </c>
      <c r="BK189" s="166">
        <f t="shared" si="35"/>
        <v>0</v>
      </c>
      <c r="BL189" s="14" t="s">
        <v>213</v>
      </c>
      <c r="BM189" s="165" t="s">
        <v>364</v>
      </c>
    </row>
    <row r="190" spans="1:65" s="2" customFormat="1" ht="33" customHeight="1">
      <c r="A190" s="29"/>
      <c r="B190" s="152"/>
      <c r="C190" s="167" t="s">
        <v>358</v>
      </c>
      <c r="D190" s="167" t="s">
        <v>202</v>
      </c>
      <c r="E190" s="168" t="s">
        <v>2920</v>
      </c>
      <c r="F190" s="338" t="s">
        <v>3478</v>
      </c>
      <c r="G190" s="170" t="s">
        <v>293</v>
      </c>
      <c r="H190" s="171">
        <v>4</v>
      </c>
      <c r="I190" s="172"/>
      <c r="J190" s="151">
        <v>0</v>
      </c>
      <c r="K190" s="174"/>
      <c r="L190" s="175"/>
      <c r="M190" s="176" t="s">
        <v>1</v>
      </c>
      <c r="N190" s="177" t="s">
        <v>35</v>
      </c>
      <c r="O190" s="58"/>
      <c r="P190" s="163">
        <f t="shared" si="27"/>
        <v>0</v>
      </c>
      <c r="Q190" s="163">
        <v>3.0000000000000001E-5</v>
      </c>
      <c r="R190" s="163">
        <f t="shared" si="28"/>
        <v>1.2E-4</v>
      </c>
      <c r="S190" s="163">
        <v>0</v>
      </c>
      <c r="T190" s="164">
        <f t="shared" si="29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65" t="s">
        <v>242</v>
      </c>
      <c r="AT190" s="165" t="s">
        <v>202</v>
      </c>
      <c r="AU190" s="165" t="s">
        <v>82</v>
      </c>
      <c r="AY190" s="14" t="s">
        <v>179</v>
      </c>
      <c r="BE190" s="166">
        <f t="shared" si="30"/>
        <v>0</v>
      </c>
      <c r="BF190" s="166">
        <f t="shared" si="31"/>
        <v>0</v>
      </c>
      <c r="BG190" s="166">
        <f t="shared" si="32"/>
        <v>0</v>
      </c>
      <c r="BH190" s="166">
        <f t="shared" si="33"/>
        <v>0</v>
      </c>
      <c r="BI190" s="166">
        <f t="shared" si="34"/>
        <v>0</v>
      </c>
      <c r="BJ190" s="14" t="s">
        <v>82</v>
      </c>
      <c r="BK190" s="166">
        <f t="shared" si="35"/>
        <v>0</v>
      </c>
      <c r="BL190" s="14" t="s">
        <v>213</v>
      </c>
      <c r="BM190" s="165" t="s">
        <v>368</v>
      </c>
    </row>
    <row r="191" spans="1:65" s="2" customFormat="1" ht="16.5" customHeight="1">
      <c r="A191" s="29"/>
      <c r="B191" s="152"/>
      <c r="C191" s="153" t="s">
        <v>275</v>
      </c>
      <c r="D191" s="153" t="s">
        <v>181</v>
      </c>
      <c r="E191" s="154" t="s">
        <v>2162</v>
      </c>
      <c r="F191" s="155" t="s">
        <v>2921</v>
      </c>
      <c r="G191" s="156" t="s">
        <v>184</v>
      </c>
      <c r="H191" s="157">
        <v>0.5</v>
      </c>
      <c r="I191" s="158"/>
      <c r="J191" s="151">
        <v>0</v>
      </c>
      <c r="K191" s="160"/>
      <c r="L191" s="30"/>
      <c r="M191" s="161" t="s">
        <v>1</v>
      </c>
      <c r="N191" s="162" t="s">
        <v>35</v>
      </c>
      <c r="O191" s="58"/>
      <c r="P191" s="163">
        <f t="shared" si="27"/>
        <v>0</v>
      </c>
      <c r="Q191" s="163">
        <v>2.9999999999999997E-4</v>
      </c>
      <c r="R191" s="163">
        <f t="shared" si="28"/>
        <v>1.4999999999999999E-4</v>
      </c>
      <c r="S191" s="163">
        <v>0</v>
      </c>
      <c r="T191" s="164">
        <f t="shared" si="29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65" t="s">
        <v>213</v>
      </c>
      <c r="AT191" s="165" t="s">
        <v>181</v>
      </c>
      <c r="AU191" s="165" t="s">
        <v>82</v>
      </c>
      <c r="AY191" s="14" t="s">
        <v>179</v>
      </c>
      <c r="BE191" s="166">
        <f t="shared" si="30"/>
        <v>0</v>
      </c>
      <c r="BF191" s="166">
        <f t="shared" si="31"/>
        <v>0</v>
      </c>
      <c r="BG191" s="166">
        <f t="shared" si="32"/>
        <v>0</v>
      </c>
      <c r="BH191" s="166">
        <f t="shared" si="33"/>
        <v>0</v>
      </c>
      <c r="BI191" s="166">
        <f t="shared" si="34"/>
        <v>0</v>
      </c>
      <c r="BJ191" s="14" t="s">
        <v>82</v>
      </c>
      <c r="BK191" s="166">
        <f t="shared" si="35"/>
        <v>0</v>
      </c>
      <c r="BL191" s="14" t="s">
        <v>213</v>
      </c>
      <c r="BM191" s="165" t="s">
        <v>371</v>
      </c>
    </row>
    <row r="192" spans="1:65" s="2" customFormat="1" ht="37.9" customHeight="1">
      <c r="A192" s="29"/>
      <c r="B192" s="152"/>
      <c r="C192" s="167" t="s">
        <v>365</v>
      </c>
      <c r="D192" s="167" t="s">
        <v>202</v>
      </c>
      <c r="E192" s="168" t="s">
        <v>2158</v>
      </c>
      <c r="F192" s="169" t="s">
        <v>2922</v>
      </c>
      <c r="G192" s="170" t="s">
        <v>184</v>
      </c>
      <c r="H192" s="171">
        <v>0.5</v>
      </c>
      <c r="I192" s="172"/>
      <c r="J192" s="151">
        <v>0</v>
      </c>
      <c r="K192" s="174"/>
      <c r="L192" s="175"/>
      <c r="M192" s="176" t="s">
        <v>1</v>
      </c>
      <c r="N192" s="177" t="s">
        <v>35</v>
      </c>
      <c r="O192" s="58"/>
      <c r="P192" s="163">
        <f t="shared" si="27"/>
        <v>0</v>
      </c>
      <c r="Q192" s="163">
        <v>2.7999999999999998E-4</v>
      </c>
      <c r="R192" s="163">
        <f t="shared" si="28"/>
        <v>1.3999999999999999E-4</v>
      </c>
      <c r="S192" s="163">
        <v>0</v>
      </c>
      <c r="T192" s="164">
        <f t="shared" si="29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65" t="s">
        <v>242</v>
      </c>
      <c r="AT192" s="165" t="s">
        <v>202</v>
      </c>
      <c r="AU192" s="165" t="s">
        <v>82</v>
      </c>
      <c r="AY192" s="14" t="s">
        <v>179</v>
      </c>
      <c r="BE192" s="166">
        <f t="shared" si="30"/>
        <v>0</v>
      </c>
      <c r="BF192" s="166">
        <f t="shared" si="31"/>
        <v>0</v>
      </c>
      <c r="BG192" s="166">
        <f t="shared" si="32"/>
        <v>0</v>
      </c>
      <c r="BH192" s="166">
        <f t="shared" si="33"/>
        <v>0</v>
      </c>
      <c r="BI192" s="166">
        <f t="shared" si="34"/>
        <v>0</v>
      </c>
      <c r="BJ192" s="14" t="s">
        <v>82</v>
      </c>
      <c r="BK192" s="166">
        <f t="shared" si="35"/>
        <v>0</v>
      </c>
      <c r="BL192" s="14" t="s">
        <v>213</v>
      </c>
      <c r="BM192" s="165" t="s">
        <v>375</v>
      </c>
    </row>
    <row r="193" spans="1:65" s="2" customFormat="1" ht="33" customHeight="1">
      <c r="A193" s="29"/>
      <c r="B193" s="152"/>
      <c r="C193" s="153" t="s">
        <v>279</v>
      </c>
      <c r="D193" s="153" t="s">
        <v>181</v>
      </c>
      <c r="E193" s="154" t="s">
        <v>2888</v>
      </c>
      <c r="F193" s="155" t="s">
        <v>2889</v>
      </c>
      <c r="G193" s="156" t="s">
        <v>184</v>
      </c>
      <c r="H193" s="157">
        <v>2.5</v>
      </c>
      <c r="I193" s="158"/>
      <c r="J193" s="151">
        <v>0</v>
      </c>
      <c r="K193" s="160"/>
      <c r="L193" s="30"/>
      <c r="M193" s="161" t="s">
        <v>1</v>
      </c>
      <c r="N193" s="162" t="s">
        <v>35</v>
      </c>
      <c r="O193" s="58"/>
      <c r="P193" s="163">
        <f t="shared" si="27"/>
        <v>0</v>
      </c>
      <c r="Q193" s="163">
        <v>7.6000000000000004E-4</v>
      </c>
      <c r="R193" s="163">
        <f t="shared" si="28"/>
        <v>1.9000000000000002E-3</v>
      </c>
      <c r="S193" s="163">
        <v>0</v>
      </c>
      <c r="T193" s="164">
        <f t="shared" si="29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65" t="s">
        <v>213</v>
      </c>
      <c r="AT193" s="165" t="s">
        <v>181</v>
      </c>
      <c r="AU193" s="165" t="s">
        <v>82</v>
      </c>
      <c r="AY193" s="14" t="s">
        <v>179</v>
      </c>
      <c r="BE193" s="166">
        <f t="shared" si="30"/>
        <v>0</v>
      </c>
      <c r="BF193" s="166">
        <f t="shared" si="31"/>
        <v>0</v>
      </c>
      <c r="BG193" s="166">
        <f t="shared" si="32"/>
        <v>0</v>
      </c>
      <c r="BH193" s="166">
        <f t="shared" si="33"/>
        <v>0</v>
      </c>
      <c r="BI193" s="166">
        <f t="shared" si="34"/>
        <v>0</v>
      </c>
      <c r="BJ193" s="14" t="s">
        <v>82</v>
      </c>
      <c r="BK193" s="166">
        <f t="shared" si="35"/>
        <v>0</v>
      </c>
      <c r="BL193" s="14" t="s">
        <v>213</v>
      </c>
      <c r="BM193" s="165" t="s">
        <v>378</v>
      </c>
    </row>
    <row r="194" spans="1:65" s="2" customFormat="1" ht="16.5" customHeight="1">
      <c r="A194" s="29"/>
      <c r="B194" s="152"/>
      <c r="C194" s="167" t="s">
        <v>372</v>
      </c>
      <c r="D194" s="167" t="s">
        <v>202</v>
      </c>
      <c r="E194" s="168" t="s">
        <v>2890</v>
      </c>
      <c r="F194" s="169" t="s">
        <v>2891</v>
      </c>
      <c r="G194" s="170" t="s">
        <v>184</v>
      </c>
      <c r="H194" s="171">
        <v>2.5</v>
      </c>
      <c r="I194" s="172"/>
      <c r="J194" s="151">
        <v>0</v>
      </c>
      <c r="K194" s="174"/>
      <c r="L194" s="175"/>
      <c r="M194" s="176" t="s">
        <v>1</v>
      </c>
      <c r="N194" s="177" t="s">
        <v>35</v>
      </c>
      <c r="O194" s="58"/>
      <c r="P194" s="163">
        <f t="shared" si="27"/>
        <v>0</v>
      </c>
      <c r="Q194" s="163">
        <v>6.3E-3</v>
      </c>
      <c r="R194" s="163">
        <f t="shared" si="28"/>
        <v>1.575E-2</v>
      </c>
      <c r="S194" s="163">
        <v>0</v>
      </c>
      <c r="T194" s="164">
        <f t="shared" si="29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65" t="s">
        <v>242</v>
      </c>
      <c r="AT194" s="165" t="s">
        <v>202</v>
      </c>
      <c r="AU194" s="165" t="s">
        <v>82</v>
      </c>
      <c r="AY194" s="14" t="s">
        <v>179</v>
      </c>
      <c r="BE194" s="166">
        <f t="shared" si="30"/>
        <v>0</v>
      </c>
      <c r="BF194" s="166">
        <f t="shared" si="31"/>
        <v>0</v>
      </c>
      <c r="BG194" s="166">
        <f t="shared" si="32"/>
        <v>0</v>
      </c>
      <c r="BH194" s="166">
        <f t="shared" si="33"/>
        <v>0</v>
      </c>
      <c r="BI194" s="166">
        <f t="shared" si="34"/>
        <v>0</v>
      </c>
      <c r="BJ194" s="14" t="s">
        <v>82</v>
      </c>
      <c r="BK194" s="166">
        <f t="shared" si="35"/>
        <v>0</v>
      </c>
      <c r="BL194" s="14" t="s">
        <v>213</v>
      </c>
      <c r="BM194" s="165" t="s">
        <v>382</v>
      </c>
    </row>
    <row r="195" spans="1:65" s="2" customFormat="1" ht="24.2" customHeight="1">
      <c r="A195" s="29"/>
      <c r="B195" s="152"/>
      <c r="C195" s="153" t="s">
        <v>283</v>
      </c>
      <c r="D195" s="153" t="s">
        <v>181</v>
      </c>
      <c r="E195" s="154" t="s">
        <v>609</v>
      </c>
      <c r="F195" s="155" t="s">
        <v>610</v>
      </c>
      <c r="G195" s="156" t="s">
        <v>585</v>
      </c>
      <c r="H195" s="178"/>
      <c r="I195" s="158"/>
      <c r="J195" s="151">
        <v>0</v>
      </c>
      <c r="K195" s="160"/>
      <c r="L195" s="30"/>
      <c r="M195" s="161" t="s">
        <v>1</v>
      </c>
      <c r="N195" s="162" t="s">
        <v>35</v>
      </c>
      <c r="O195" s="58"/>
      <c r="P195" s="163">
        <f t="shared" si="27"/>
        <v>0</v>
      </c>
      <c r="Q195" s="163">
        <v>0</v>
      </c>
      <c r="R195" s="163">
        <f t="shared" si="28"/>
        <v>0</v>
      </c>
      <c r="S195" s="163">
        <v>0</v>
      </c>
      <c r="T195" s="164">
        <f t="shared" si="29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65" t="s">
        <v>213</v>
      </c>
      <c r="AT195" s="165" t="s">
        <v>181</v>
      </c>
      <c r="AU195" s="165" t="s">
        <v>82</v>
      </c>
      <c r="AY195" s="14" t="s">
        <v>179</v>
      </c>
      <c r="BE195" s="166">
        <f t="shared" si="30"/>
        <v>0</v>
      </c>
      <c r="BF195" s="166">
        <f t="shared" si="31"/>
        <v>0</v>
      </c>
      <c r="BG195" s="166">
        <f t="shared" si="32"/>
        <v>0</v>
      </c>
      <c r="BH195" s="166">
        <f t="shared" si="33"/>
        <v>0</v>
      </c>
      <c r="BI195" s="166">
        <f t="shared" si="34"/>
        <v>0</v>
      </c>
      <c r="BJ195" s="14" t="s">
        <v>82</v>
      </c>
      <c r="BK195" s="166">
        <f t="shared" si="35"/>
        <v>0</v>
      </c>
      <c r="BL195" s="14" t="s">
        <v>213</v>
      </c>
      <c r="BM195" s="165" t="s">
        <v>385</v>
      </c>
    </row>
    <row r="196" spans="1:65" s="12" customFormat="1" ht="22.9" customHeight="1">
      <c r="B196" s="139"/>
      <c r="D196" s="140" t="s">
        <v>68</v>
      </c>
      <c r="E196" s="150" t="s">
        <v>2408</v>
      </c>
      <c r="F196" s="150" t="s">
        <v>2409</v>
      </c>
      <c r="I196" s="142"/>
      <c r="J196" s="151">
        <v>0</v>
      </c>
      <c r="L196" s="139"/>
      <c r="M196" s="144"/>
      <c r="N196" s="145"/>
      <c r="O196" s="145"/>
      <c r="P196" s="146">
        <f>SUM(P197:P204)</f>
        <v>0</v>
      </c>
      <c r="Q196" s="145"/>
      <c r="R196" s="146">
        <f>SUM(R197:R204)</f>
        <v>7.2270000000000001E-2</v>
      </c>
      <c r="S196" s="145"/>
      <c r="T196" s="147">
        <f>SUM(T197:T204)</f>
        <v>0</v>
      </c>
      <c r="AR196" s="140" t="s">
        <v>82</v>
      </c>
      <c r="AT196" s="148" t="s">
        <v>68</v>
      </c>
      <c r="AU196" s="148" t="s">
        <v>76</v>
      </c>
      <c r="AY196" s="140" t="s">
        <v>179</v>
      </c>
      <c r="BK196" s="149">
        <f>SUM(BK197:BK204)</f>
        <v>0</v>
      </c>
    </row>
    <row r="197" spans="1:65" s="2" customFormat="1" ht="24.2" customHeight="1">
      <c r="A197" s="29"/>
      <c r="B197" s="152"/>
      <c r="C197" s="153" t="s">
        <v>379</v>
      </c>
      <c r="D197" s="153" t="s">
        <v>181</v>
      </c>
      <c r="E197" s="154" t="s">
        <v>2923</v>
      </c>
      <c r="F197" s="155" t="s">
        <v>2924</v>
      </c>
      <c r="G197" s="156" t="s">
        <v>293</v>
      </c>
      <c r="H197" s="157">
        <v>292</v>
      </c>
      <c r="I197" s="158"/>
      <c r="J197" s="151">
        <v>0</v>
      </c>
      <c r="K197" s="160"/>
      <c r="L197" s="30"/>
      <c r="M197" s="161" t="s">
        <v>1</v>
      </c>
      <c r="N197" s="162" t="s">
        <v>35</v>
      </c>
      <c r="O197" s="58"/>
      <c r="P197" s="163">
        <f t="shared" ref="P197:P204" si="36">O197*H197</f>
        <v>0</v>
      </c>
      <c r="Q197" s="163">
        <v>6.2602739726027402E-5</v>
      </c>
      <c r="R197" s="163">
        <f t="shared" ref="R197:R204" si="37">Q197*H197</f>
        <v>1.8280000000000001E-2</v>
      </c>
      <c r="S197" s="163">
        <v>0</v>
      </c>
      <c r="T197" s="164">
        <f t="shared" ref="T197:T204" si="38">S197*H197</f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65" t="s">
        <v>213</v>
      </c>
      <c r="AT197" s="165" t="s">
        <v>181</v>
      </c>
      <c r="AU197" s="165" t="s">
        <v>82</v>
      </c>
      <c r="AY197" s="14" t="s">
        <v>179</v>
      </c>
      <c r="BE197" s="166">
        <f t="shared" ref="BE197:BE204" si="39">IF(N197="základná",J197,0)</f>
        <v>0</v>
      </c>
      <c r="BF197" s="166">
        <f t="shared" ref="BF197:BF204" si="40">IF(N197="znížená",J197,0)</f>
        <v>0</v>
      </c>
      <c r="BG197" s="166">
        <f t="shared" ref="BG197:BG204" si="41">IF(N197="zákl. prenesená",J197,0)</f>
        <v>0</v>
      </c>
      <c r="BH197" s="166">
        <f t="shared" ref="BH197:BH204" si="42">IF(N197="zníž. prenesená",J197,0)</f>
        <v>0</v>
      </c>
      <c r="BI197" s="166">
        <f t="shared" ref="BI197:BI204" si="43">IF(N197="nulová",J197,0)</f>
        <v>0</v>
      </c>
      <c r="BJ197" s="14" t="s">
        <v>82</v>
      </c>
      <c r="BK197" s="166">
        <f t="shared" ref="BK197:BK204" si="44">ROUND(I197*H197,2)</f>
        <v>0</v>
      </c>
      <c r="BL197" s="14" t="s">
        <v>213</v>
      </c>
      <c r="BM197" s="165" t="s">
        <v>390</v>
      </c>
    </row>
    <row r="198" spans="1:65" s="2" customFormat="1" ht="24.2" customHeight="1">
      <c r="A198" s="29"/>
      <c r="B198" s="152"/>
      <c r="C198" s="153" t="s">
        <v>286</v>
      </c>
      <c r="D198" s="153" t="s">
        <v>181</v>
      </c>
      <c r="E198" s="154" t="s">
        <v>2893</v>
      </c>
      <c r="F198" s="155" t="s">
        <v>2894</v>
      </c>
      <c r="G198" s="156" t="s">
        <v>217</v>
      </c>
      <c r="H198" s="157">
        <v>98</v>
      </c>
      <c r="I198" s="158"/>
      <c r="J198" s="151">
        <v>0</v>
      </c>
      <c r="K198" s="160"/>
      <c r="L198" s="30"/>
      <c r="M198" s="161" t="s">
        <v>1</v>
      </c>
      <c r="N198" s="162" t="s">
        <v>35</v>
      </c>
      <c r="O198" s="58"/>
      <c r="P198" s="163">
        <f t="shared" si="36"/>
        <v>0</v>
      </c>
      <c r="Q198" s="163">
        <v>1.4285714285714299E-6</v>
      </c>
      <c r="R198" s="163">
        <f t="shared" si="37"/>
        <v>1.4000000000000012E-4</v>
      </c>
      <c r="S198" s="163">
        <v>0</v>
      </c>
      <c r="T198" s="164">
        <f t="shared" si="38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65" t="s">
        <v>213</v>
      </c>
      <c r="AT198" s="165" t="s">
        <v>181</v>
      </c>
      <c r="AU198" s="165" t="s">
        <v>82</v>
      </c>
      <c r="AY198" s="14" t="s">
        <v>179</v>
      </c>
      <c r="BE198" s="166">
        <f t="shared" si="39"/>
        <v>0</v>
      </c>
      <c r="BF198" s="166">
        <f t="shared" si="40"/>
        <v>0</v>
      </c>
      <c r="BG198" s="166">
        <f t="shared" si="41"/>
        <v>0</v>
      </c>
      <c r="BH198" s="166">
        <f t="shared" si="42"/>
        <v>0</v>
      </c>
      <c r="BI198" s="166">
        <f t="shared" si="43"/>
        <v>0</v>
      </c>
      <c r="BJ198" s="14" t="s">
        <v>82</v>
      </c>
      <c r="BK198" s="166">
        <f t="shared" si="44"/>
        <v>0</v>
      </c>
      <c r="BL198" s="14" t="s">
        <v>213</v>
      </c>
      <c r="BM198" s="165" t="s">
        <v>393</v>
      </c>
    </row>
    <row r="199" spans="1:65" s="2" customFormat="1" ht="33" customHeight="1">
      <c r="A199" s="29"/>
      <c r="B199" s="152"/>
      <c r="C199" s="153" t="s">
        <v>387</v>
      </c>
      <c r="D199" s="153" t="s">
        <v>181</v>
      </c>
      <c r="E199" s="154" t="s">
        <v>2897</v>
      </c>
      <c r="F199" s="155" t="s">
        <v>2898</v>
      </c>
      <c r="G199" s="156" t="s">
        <v>217</v>
      </c>
      <c r="H199" s="157">
        <v>98</v>
      </c>
      <c r="I199" s="158"/>
      <c r="J199" s="151">
        <v>0</v>
      </c>
      <c r="K199" s="160"/>
      <c r="L199" s="30"/>
      <c r="M199" s="161" t="s">
        <v>1</v>
      </c>
      <c r="N199" s="162" t="s">
        <v>35</v>
      </c>
      <c r="O199" s="58"/>
      <c r="P199" s="163">
        <f t="shared" si="36"/>
        <v>0</v>
      </c>
      <c r="Q199" s="163">
        <v>3.0000000000000001E-5</v>
      </c>
      <c r="R199" s="163">
        <f t="shared" si="37"/>
        <v>2.9399999999999999E-3</v>
      </c>
      <c r="S199" s="163">
        <v>0</v>
      </c>
      <c r="T199" s="164">
        <f t="shared" si="38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65" t="s">
        <v>213</v>
      </c>
      <c r="AT199" s="165" t="s">
        <v>181</v>
      </c>
      <c r="AU199" s="165" t="s">
        <v>82</v>
      </c>
      <c r="AY199" s="14" t="s">
        <v>179</v>
      </c>
      <c r="BE199" s="166">
        <f t="shared" si="39"/>
        <v>0</v>
      </c>
      <c r="BF199" s="166">
        <f t="shared" si="40"/>
        <v>0</v>
      </c>
      <c r="BG199" s="166">
        <f t="shared" si="41"/>
        <v>0</v>
      </c>
      <c r="BH199" s="166">
        <f t="shared" si="42"/>
        <v>0</v>
      </c>
      <c r="BI199" s="166">
        <f t="shared" si="43"/>
        <v>0</v>
      </c>
      <c r="BJ199" s="14" t="s">
        <v>82</v>
      </c>
      <c r="BK199" s="166">
        <f t="shared" si="44"/>
        <v>0</v>
      </c>
      <c r="BL199" s="14" t="s">
        <v>213</v>
      </c>
      <c r="BM199" s="165" t="s">
        <v>397</v>
      </c>
    </row>
    <row r="200" spans="1:65" s="2" customFormat="1" ht="24.2" customHeight="1">
      <c r="A200" s="29"/>
      <c r="B200" s="152"/>
      <c r="C200" s="153" t="s">
        <v>290</v>
      </c>
      <c r="D200" s="153" t="s">
        <v>181</v>
      </c>
      <c r="E200" s="154" t="s">
        <v>2418</v>
      </c>
      <c r="F200" s="155" t="s">
        <v>2419</v>
      </c>
      <c r="G200" s="156" t="s">
        <v>293</v>
      </c>
      <c r="H200" s="157">
        <v>4</v>
      </c>
      <c r="I200" s="158"/>
      <c r="J200" s="151">
        <v>0</v>
      </c>
      <c r="K200" s="160"/>
      <c r="L200" s="30"/>
      <c r="M200" s="161" t="s">
        <v>1</v>
      </c>
      <c r="N200" s="162" t="s">
        <v>35</v>
      </c>
      <c r="O200" s="58"/>
      <c r="P200" s="163">
        <f t="shared" si="36"/>
        <v>0</v>
      </c>
      <c r="Q200" s="163">
        <v>7.5624999999999998E-3</v>
      </c>
      <c r="R200" s="163">
        <f t="shared" si="37"/>
        <v>3.0249999999999999E-2</v>
      </c>
      <c r="S200" s="163">
        <v>0</v>
      </c>
      <c r="T200" s="164">
        <f t="shared" si="3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65" t="s">
        <v>213</v>
      </c>
      <c r="AT200" s="165" t="s">
        <v>181</v>
      </c>
      <c r="AU200" s="165" t="s">
        <v>82</v>
      </c>
      <c r="AY200" s="14" t="s">
        <v>179</v>
      </c>
      <c r="BE200" s="166">
        <f t="shared" si="39"/>
        <v>0</v>
      </c>
      <c r="BF200" s="166">
        <f t="shared" si="40"/>
        <v>0</v>
      </c>
      <c r="BG200" s="166">
        <f t="shared" si="41"/>
        <v>0</v>
      </c>
      <c r="BH200" s="166">
        <f t="shared" si="42"/>
        <v>0</v>
      </c>
      <c r="BI200" s="166">
        <f t="shared" si="43"/>
        <v>0</v>
      </c>
      <c r="BJ200" s="14" t="s">
        <v>82</v>
      </c>
      <c r="BK200" s="166">
        <f t="shared" si="44"/>
        <v>0</v>
      </c>
      <c r="BL200" s="14" t="s">
        <v>213</v>
      </c>
      <c r="BM200" s="165" t="s">
        <v>400</v>
      </c>
    </row>
    <row r="201" spans="1:65" s="2" customFormat="1" ht="24.2" customHeight="1">
      <c r="A201" s="29"/>
      <c r="B201" s="152"/>
      <c r="C201" s="153" t="s">
        <v>394</v>
      </c>
      <c r="D201" s="153" t="s">
        <v>181</v>
      </c>
      <c r="E201" s="154" t="s">
        <v>2925</v>
      </c>
      <c r="F201" s="155" t="s">
        <v>2926</v>
      </c>
      <c r="G201" s="156" t="s">
        <v>217</v>
      </c>
      <c r="H201" s="157">
        <v>2</v>
      </c>
      <c r="I201" s="158"/>
      <c r="J201" s="151">
        <v>0</v>
      </c>
      <c r="K201" s="160"/>
      <c r="L201" s="30"/>
      <c r="M201" s="161" t="s">
        <v>1</v>
      </c>
      <c r="N201" s="162" t="s">
        <v>35</v>
      </c>
      <c r="O201" s="58"/>
      <c r="P201" s="163">
        <f t="shared" si="36"/>
        <v>0</v>
      </c>
      <c r="Q201" s="163">
        <v>1.0330000000000001E-2</v>
      </c>
      <c r="R201" s="163">
        <f t="shared" si="37"/>
        <v>2.0660000000000001E-2</v>
      </c>
      <c r="S201" s="163">
        <v>0</v>
      </c>
      <c r="T201" s="164">
        <f t="shared" si="3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65" t="s">
        <v>213</v>
      </c>
      <c r="AT201" s="165" t="s">
        <v>181</v>
      </c>
      <c r="AU201" s="165" t="s">
        <v>82</v>
      </c>
      <c r="AY201" s="14" t="s">
        <v>179</v>
      </c>
      <c r="BE201" s="166">
        <f t="shared" si="39"/>
        <v>0</v>
      </c>
      <c r="BF201" s="166">
        <f t="shared" si="40"/>
        <v>0</v>
      </c>
      <c r="BG201" s="166">
        <f t="shared" si="41"/>
        <v>0</v>
      </c>
      <c r="BH201" s="166">
        <f t="shared" si="42"/>
        <v>0</v>
      </c>
      <c r="BI201" s="166">
        <f t="shared" si="43"/>
        <v>0</v>
      </c>
      <c r="BJ201" s="14" t="s">
        <v>82</v>
      </c>
      <c r="BK201" s="166">
        <f t="shared" si="44"/>
        <v>0</v>
      </c>
      <c r="BL201" s="14" t="s">
        <v>213</v>
      </c>
      <c r="BM201" s="165" t="s">
        <v>404</v>
      </c>
    </row>
    <row r="202" spans="1:65" s="2" customFormat="1" ht="24.2" customHeight="1">
      <c r="A202" s="29"/>
      <c r="B202" s="152"/>
      <c r="C202" s="153" t="s">
        <v>294</v>
      </c>
      <c r="D202" s="153" t="s">
        <v>181</v>
      </c>
      <c r="E202" s="154" t="s">
        <v>2450</v>
      </c>
      <c r="F202" s="155" t="s">
        <v>2451</v>
      </c>
      <c r="G202" s="156" t="s">
        <v>293</v>
      </c>
      <c r="H202" s="157">
        <v>4</v>
      </c>
      <c r="I202" s="158"/>
      <c r="J202" s="151">
        <v>0</v>
      </c>
      <c r="K202" s="160"/>
      <c r="L202" s="30"/>
      <c r="M202" s="161" t="s">
        <v>1</v>
      </c>
      <c r="N202" s="162" t="s">
        <v>35</v>
      </c>
      <c r="O202" s="58"/>
      <c r="P202" s="163">
        <f t="shared" si="36"/>
        <v>0</v>
      </c>
      <c r="Q202" s="163">
        <v>0</v>
      </c>
      <c r="R202" s="163">
        <f t="shared" si="37"/>
        <v>0</v>
      </c>
      <c r="S202" s="163">
        <v>0</v>
      </c>
      <c r="T202" s="164">
        <f t="shared" si="3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65" t="s">
        <v>213</v>
      </c>
      <c r="AT202" s="165" t="s">
        <v>181</v>
      </c>
      <c r="AU202" s="165" t="s">
        <v>82</v>
      </c>
      <c r="AY202" s="14" t="s">
        <v>179</v>
      </c>
      <c r="BE202" s="166">
        <f t="shared" si="39"/>
        <v>0</v>
      </c>
      <c r="BF202" s="166">
        <f t="shared" si="40"/>
        <v>0</v>
      </c>
      <c r="BG202" s="166">
        <f t="shared" si="41"/>
        <v>0</v>
      </c>
      <c r="BH202" s="166">
        <f t="shared" si="42"/>
        <v>0</v>
      </c>
      <c r="BI202" s="166">
        <f t="shared" si="43"/>
        <v>0</v>
      </c>
      <c r="BJ202" s="14" t="s">
        <v>82</v>
      </c>
      <c r="BK202" s="166">
        <f t="shared" si="44"/>
        <v>0</v>
      </c>
      <c r="BL202" s="14" t="s">
        <v>213</v>
      </c>
      <c r="BM202" s="165" t="s">
        <v>407</v>
      </c>
    </row>
    <row r="203" spans="1:65" s="2" customFormat="1" ht="33" customHeight="1">
      <c r="A203" s="29"/>
      <c r="B203" s="152"/>
      <c r="C203" s="153" t="s">
        <v>401</v>
      </c>
      <c r="D203" s="153" t="s">
        <v>181</v>
      </c>
      <c r="E203" s="154" t="s">
        <v>2456</v>
      </c>
      <c r="F203" s="155" t="s">
        <v>2457</v>
      </c>
      <c r="G203" s="156" t="s">
        <v>191</v>
      </c>
      <c r="H203" s="157">
        <v>4.8380000000000001</v>
      </c>
      <c r="I203" s="158"/>
      <c r="J203" s="151">
        <v>0</v>
      </c>
      <c r="K203" s="160"/>
      <c r="L203" s="30"/>
      <c r="M203" s="161" t="s">
        <v>1</v>
      </c>
      <c r="N203" s="162" t="s">
        <v>35</v>
      </c>
      <c r="O203" s="58"/>
      <c r="P203" s="163">
        <f t="shared" si="36"/>
        <v>0</v>
      </c>
      <c r="Q203" s="163">
        <v>0</v>
      </c>
      <c r="R203" s="163">
        <f t="shared" si="37"/>
        <v>0</v>
      </c>
      <c r="S203" s="163">
        <v>0</v>
      </c>
      <c r="T203" s="164">
        <f t="shared" si="3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65" t="s">
        <v>213</v>
      </c>
      <c r="AT203" s="165" t="s">
        <v>181</v>
      </c>
      <c r="AU203" s="165" t="s">
        <v>82</v>
      </c>
      <c r="AY203" s="14" t="s">
        <v>179</v>
      </c>
      <c r="BE203" s="166">
        <f t="shared" si="39"/>
        <v>0</v>
      </c>
      <c r="BF203" s="166">
        <f t="shared" si="40"/>
        <v>0</v>
      </c>
      <c r="BG203" s="166">
        <f t="shared" si="41"/>
        <v>0</v>
      </c>
      <c r="BH203" s="166">
        <f t="shared" si="42"/>
        <v>0</v>
      </c>
      <c r="BI203" s="166">
        <f t="shared" si="43"/>
        <v>0</v>
      </c>
      <c r="BJ203" s="14" t="s">
        <v>82</v>
      </c>
      <c r="BK203" s="166">
        <f t="shared" si="44"/>
        <v>0</v>
      </c>
      <c r="BL203" s="14" t="s">
        <v>213</v>
      </c>
      <c r="BM203" s="165" t="s">
        <v>411</v>
      </c>
    </row>
    <row r="204" spans="1:65" s="2" customFormat="1" ht="24.2" customHeight="1">
      <c r="A204" s="29"/>
      <c r="B204" s="152"/>
      <c r="C204" s="153" t="s">
        <v>298</v>
      </c>
      <c r="D204" s="153" t="s">
        <v>181</v>
      </c>
      <c r="E204" s="154" t="s">
        <v>2458</v>
      </c>
      <c r="F204" s="155" t="s">
        <v>2459</v>
      </c>
      <c r="G204" s="156" t="s">
        <v>585</v>
      </c>
      <c r="H204" s="178"/>
      <c r="I204" s="158"/>
      <c r="J204" s="151">
        <v>0</v>
      </c>
      <c r="K204" s="160"/>
      <c r="L204" s="30"/>
      <c r="M204" s="161" t="s">
        <v>1</v>
      </c>
      <c r="N204" s="162" t="s">
        <v>35</v>
      </c>
      <c r="O204" s="58"/>
      <c r="P204" s="163">
        <f t="shared" si="36"/>
        <v>0</v>
      </c>
      <c r="Q204" s="163">
        <v>0</v>
      </c>
      <c r="R204" s="163">
        <f t="shared" si="37"/>
        <v>0</v>
      </c>
      <c r="S204" s="163">
        <v>0</v>
      </c>
      <c r="T204" s="164">
        <f t="shared" si="3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65" t="s">
        <v>213</v>
      </c>
      <c r="AT204" s="165" t="s">
        <v>181</v>
      </c>
      <c r="AU204" s="165" t="s">
        <v>82</v>
      </c>
      <c r="AY204" s="14" t="s">
        <v>179</v>
      </c>
      <c r="BE204" s="166">
        <f t="shared" si="39"/>
        <v>0</v>
      </c>
      <c r="BF204" s="166">
        <f t="shared" si="40"/>
        <v>0</v>
      </c>
      <c r="BG204" s="166">
        <f t="shared" si="41"/>
        <v>0</v>
      </c>
      <c r="BH204" s="166">
        <f t="shared" si="42"/>
        <v>0</v>
      </c>
      <c r="BI204" s="166">
        <f t="shared" si="43"/>
        <v>0</v>
      </c>
      <c r="BJ204" s="14" t="s">
        <v>82</v>
      </c>
      <c r="BK204" s="166">
        <f t="shared" si="44"/>
        <v>0</v>
      </c>
      <c r="BL204" s="14" t="s">
        <v>213</v>
      </c>
      <c r="BM204" s="165" t="s">
        <v>414</v>
      </c>
    </row>
    <row r="205" spans="1:65" s="12" customFormat="1" ht="22.9" customHeight="1">
      <c r="B205" s="139"/>
      <c r="D205" s="140" t="s">
        <v>68</v>
      </c>
      <c r="E205" s="150" t="s">
        <v>2460</v>
      </c>
      <c r="F205" s="150" t="s">
        <v>2461</v>
      </c>
      <c r="I205" s="142"/>
      <c r="J205" s="151">
        <v>0</v>
      </c>
      <c r="L205" s="139"/>
      <c r="M205" s="144"/>
      <c r="N205" s="145"/>
      <c r="O205" s="145"/>
      <c r="P205" s="146">
        <f>SUM(P206:P210)</f>
        <v>0</v>
      </c>
      <c r="Q205" s="145"/>
      <c r="R205" s="146">
        <f>SUM(R206:R210)</f>
        <v>6.3200000000000001E-3</v>
      </c>
      <c r="S205" s="145"/>
      <c r="T205" s="147">
        <f>SUM(T206:T210)</f>
        <v>0</v>
      </c>
      <c r="AR205" s="140" t="s">
        <v>82</v>
      </c>
      <c r="AT205" s="148" t="s">
        <v>68</v>
      </c>
      <c r="AU205" s="148" t="s">
        <v>76</v>
      </c>
      <c r="AY205" s="140" t="s">
        <v>179</v>
      </c>
      <c r="BK205" s="149">
        <f>SUM(BK206:BK210)</f>
        <v>0</v>
      </c>
    </row>
    <row r="206" spans="1:65" s="2" customFormat="1" ht="16.5" customHeight="1">
      <c r="A206" s="29"/>
      <c r="B206" s="152"/>
      <c r="C206" s="153" t="s">
        <v>408</v>
      </c>
      <c r="D206" s="153" t="s">
        <v>181</v>
      </c>
      <c r="E206" s="154" t="s">
        <v>2527</v>
      </c>
      <c r="F206" s="155" t="s">
        <v>2528</v>
      </c>
      <c r="G206" s="156" t="s">
        <v>217</v>
      </c>
      <c r="H206" s="157">
        <v>2</v>
      </c>
      <c r="I206" s="158"/>
      <c r="J206" s="151">
        <v>0</v>
      </c>
      <c r="K206" s="160"/>
      <c r="L206" s="30"/>
      <c r="M206" s="161" t="s">
        <v>1</v>
      </c>
      <c r="N206" s="162" t="s">
        <v>35</v>
      </c>
      <c r="O206" s="58"/>
      <c r="P206" s="163">
        <f>O206*H206</f>
        <v>0</v>
      </c>
      <c r="Q206" s="163">
        <v>3.0000000000000001E-5</v>
      </c>
      <c r="R206" s="163">
        <f>Q206*H206</f>
        <v>6.0000000000000002E-5</v>
      </c>
      <c r="S206" s="163">
        <v>0</v>
      </c>
      <c r="T206" s="164">
        <f>S206*H206</f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65" t="s">
        <v>213</v>
      </c>
      <c r="AT206" s="165" t="s">
        <v>181</v>
      </c>
      <c r="AU206" s="165" t="s">
        <v>82</v>
      </c>
      <c r="AY206" s="14" t="s">
        <v>179</v>
      </c>
      <c r="BE206" s="166">
        <f>IF(N206="základná",J206,0)</f>
        <v>0</v>
      </c>
      <c r="BF206" s="166">
        <f>IF(N206="znížená",J206,0)</f>
        <v>0</v>
      </c>
      <c r="BG206" s="166">
        <f>IF(N206="zákl. prenesená",J206,0)</f>
        <v>0</v>
      </c>
      <c r="BH206" s="166">
        <f>IF(N206="zníž. prenesená",J206,0)</f>
        <v>0</v>
      </c>
      <c r="BI206" s="166">
        <f>IF(N206="nulová",J206,0)</f>
        <v>0</v>
      </c>
      <c r="BJ206" s="14" t="s">
        <v>82</v>
      </c>
      <c r="BK206" s="166">
        <f>ROUND(I206*H206,2)</f>
        <v>0</v>
      </c>
      <c r="BL206" s="14" t="s">
        <v>213</v>
      </c>
      <c r="BM206" s="165" t="s">
        <v>418</v>
      </c>
    </row>
    <row r="207" spans="1:65" s="2" customFormat="1" ht="21.75" customHeight="1">
      <c r="A207" s="29"/>
      <c r="B207" s="152"/>
      <c r="C207" s="167" t="s">
        <v>301</v>
      </c>
      <c r="D207" s="167" t="s">
        <v>202</v>
      </c>
      <c r="E207" s="168" t="s">
        <v>2530</v>
      </c>
      <c r="F207" s="169" t="s">
        <v>2531</v>
      </c>
      <c r="G207" s="170" t="s">
        <v>217</v>
      </c>
      <c r="H207" s="171">
        <v>2</v>
      </c>
      <c r="I207" s="172"/>
      <c r="J207" s="151">
        <v>0</v>
      </c>
      <c r="K207" s="174"/>
      <c r="L207" s="175"/>
      <c r="M207" s="176" t="s">
        <v>1</v>
      </c>
      <c r="N207" s="177" t="s">
        <v>35</v>
      </c>
      <c r="O207" s="58"/>
      <c r="P207" s="163">
        <f>O207*H207</f>
        <v>0</v>
      </c>
      <c r="Q207" s="163">
        <v>3.8999999999999999E-4</v>
      </c>
      <c r="R207" s="163">
        <f>Q207*H207</f>
        <v>7.7999999999999999E-4</v>
      </c>
      <c r="S207" s="163">
        <v>0</v>
      </c>
      <c r="T207" s="164">
        <f>S207*H207</f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65" t="s">
        <v>242</v>
      </c>
      <c r="AT207" s="165" t="s">
        <v>202</v>
      </c>
      <c r="AU207" s="165" t="s">
        <v>82</v>
      </c>
      <c r="AY207" s="14" t="s">
        <v>179</v>
      </c>
      <c r="BE207" s="166">
        <f>IF(N207="základná",J207,0)</f>
        <v>0</v>
      </c>
      <c r="BF207" s="166">
        <f>IF(N207="znížená",J207,0)</f>
        <v>0</v>
      </c>
      <c r="BG207" s="166">
        <f>IF(N207="zákl. prenesená",J207,0)</f>
        <v>0</v>
      </c>
      <c r="BH207" s="166">
        <f>IF(N207="zníž. prenesená",J207,0)</f>
        <v>0</v>
      </c>
      <c r="BI207" s="166">
        <f>IF(N207="nulová",J207,0)</f>
        <v>0</v>
      </c>
      <c r="BJ207" s="14" t="s">
        <v>82</v>
      </c>
      <c r="BK207" s="166">
        <f>ROUND(I207*H207,2)</f>
        <v>0</v>
      </c>
      <c r="BL207" s="14" t="s">
        <v>213</v>
      </c>
      <c r="BM207" s="165" t="s">
        <v>421</v>
      </c>
    </row>
    <row r="208" spans="1:65" s="2" customFormat="1" ht="16.5" customHeight="1">
      <c r="A208" s="29"/>
      <c r="B208" s="152"/>
      <c r="C208" s="153" t="s">
        <v>415</v>
      </c>
      <c r="D208" s="153" t="s">
        <v>181</v>
      </c>
      <c r="E208" s="154" t="s">
        <v>2556</v>
      </c>
      <c r="F208" s="155" t="s">
        <v>2557</v>
      </c>
      <c r="G208" s="156" t="s">
        <v>217</v>
      </c>
      <c r="H208" s="157">
        <v>4</v>
      </c>
      <c r="I208" s="158"/>
      <c r="J208" s="151">
        <v>0</v>
      </c>
      <c r="K208" s="160"/>
      <c r="L208" s="30"/>
      <c r="M208" s="161" t="s">
        <v>1</v>
      </c>
      <c r="N208" s="162" t="s">
        <v>35</v>
      </c>
      <c r="O208" s="58"/>
      <c r="P208" s="163">
        <f>O208*H208</f>
        <v>0</v>
      </c>
      <c r="Q208" s="163">
        <v>3.0000000000000001E-5</v>
      </c>
      <c r="R208" s="163">
        <f>Q208*H208</f>
        <v>1.2E-4</v>
      </c>
      <c r="S208" s="163">
        <v>0</v>
      </c>
      <c r="T208" s="164">
        <f>S208*H208</f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65" t="s">
        <v>213</v>
      </c>
      <c r="AT208" s="165" t="s">
        <v>181</v>
      </c>
      <c r="AU208" s="165" t="s">
        <v>82</v>
      </c>
      <c r="AY208" s="14" t="s">
        <v>179</v>
      </c>
      <c r="BE208" s="166">
        <f>IF(N208="základná",J208,0)</f>
        <v>0</v>
      </c>
      <c r="BF208" s="166">
        <f>IF(N208="znížená",J208,0)</f>
        <v>0</v>
      </c>
      <c r="BG208" s="166">
        <f>IF(N208="zákl. prenesená",J208,0)</f>
        <v>0</v>
      </c>
      <c r="BH208" s="166">
        <f>IF(N208="zníž. prenesená",J208,0)</f>
        <v>0</v>
      </c>
      <c r="BI208" s="166">
        <f>IF(N208="nulová",J208,0)</f>
        <v>0</v>
      </c>
      <c r="BJ208" s="14" t="s">
        <v>82</v>
      </c>
      <c r="BK208" s="166">
        <f>ROUND(I208*H208,2)</f>
        <v>0</v>
      </c>
      <c r="BL208" s="14" t="s">
        <v>213</v>
      </c>
      <c r="BM208" s="165" t="s">
        <v>425</v>
      </c>
    </row>
    <row r="209" spans="1:65" s="2" customFormat="1" ht="16.5" customHeight="1">
      <c r="A209" s="29"/>
      <c r="B209" s="152"/>
      <c r="C209" s="167" t="s">
        <v>305</v>
      </c>
      <c r="D209" s="167" t="s">
        <v>202</v>
      </c>
      <c r="E209" s="168" t="s">
        <v>2567</v>
      </c>
      <c r="F209" s="169" t="s">
        <v>2927</v>
      </c>
      <c r="G209" s="170" t="s">
        <v>217</v>
      </c>
      <c r="H209" s="171">
        <v>4</v>
      </c>
      <c r="I209" s="172"/>
      <c r="J209" s="151">
        <v>0</v>
      </c>
      <c r="K209" s="174"/>
      <c r="L209" s="175"/>
      <c r="M209" s="176" t="s">
        <v>1</v>
      </c>
      <c r="N209" s="177" t="s">
        <v>35</v>
      </c>
      <c r="O209" s="58"/>
      <c r="P209" s="163">
        <f>O209*H209</f>
        <v>0</v>
      </c>
      <c r="Q209" s="163">
        <v>1.34E-3</v>
      </c>
      <c r="R209" s="163">
        <f>Q209*H209</f>
        <v>5.3600000000000002E-3</v>
      </c>
      <c r="S209" s="163">
        <v>0</v>
      </c>
      <c r="T209" s="164">
        <f>S209*H209</f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65" t="s">
        <v>242</v>
      </c>
      <c r="AT209" s="165" t="s">
        <v>202</v>
      </c>
      <c r="AU209" s="165" t="s">
        <v>82</v>
      </c>
      <c r="AY209" s="14" t="s">
        <v>179</v>
      </c>
      <c r="BE209" s="166">
        <f>IF(N209="základná",J209,0)</f>
        <v>0</v>
      </c>
      <c r="BF209" s="166">
        <f>IF(N209="znížená",J209,0)</f>
        <v>0</v>
      </c>
      <c r="BG209" s="166">
        <f>IF(N209="zákl. prenesená",J209,0)</f>
        <v>0</v>
      </c>
      <c r="BH209" s="166">
        <f>IF(N209="zníž. prenesená",J209,0)</f>
        <v>0</v>
      </c>
      <c r="BI209" s="166">
        <f>IF(N209="nulová",J209,0)</f>
        <v>0</v>
      </c>
      <c r="BJ209" s="14" t="s">
        <v>82</v>
      </c>
      <c r="BK209" s="166">
        <f>ROUND(I209*H209,2)</f>
        <v>0</v>
      </c>
      <c r="BL209" s="14" t="s">
        <v>213</v>
      </c>
      <c r="BM209" s="165" t="s">
        <v>428</v>
      </c>
    </row>
    <row r="210" spans="1:65" s="2" customFormat="1" ht="21.75" customHeight="1">
      <c r="A210" s="29"/>
      <c r="B210" s="152"/>
      <c r="C210" s="153" t="s">
        <v>422</v>
      </c>
      <c r="D210" s="153" t="s">
        <v>181</v>
      </c>
      <c r="E210" s="154" t="s">
        <v>2928</v>
      </c>
      <c r="F210" s="155" t="s">
        <v>2929</v>
      </c>
      <c r="G210" s="156" t="s">
        <v>585</v>
      </c>
      <c r="H210" s="178"/>
      <c r="I210" s="158"/>
      <c r="J210" s="151">
        <v>0</v>
      </c>
      <c r="K210" s="160"/>
      <c r="L210" s="30"/>
      <c r="M210" s="161" t="s">
        <v>1</v>
      </c>
      <c r="N210" s="162" t="s">
        <v>35</v>
      </c>
      <c r="O210" s="58"/>
      <c r="P210" s="163">
        <f>O210*H210</f>
        <v>0</v>
      </c>
      <c r="Q210" s="163">
        <v>0</v>
      </c>
      <c r="R210" s="163">
        <f>Q210*H210</f>
        <v>0</v>
      </c>
      <c r="S210" s="163">
        <v>0</v>
      </c>
      <c r="T210" s="164">
        <f>S210*H210</f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65" t="s">
        <v>213</v>
      </c>
      <c r="AT210" s="165" t="s">
        <v>181</v>
      </c>
      <c r="AU210" s="165" t="s">
        <v>82</v>
      </c>
      <c r="AY210" s="14" t="s">
        <v>179</v>
      </c>
      <c r="BE210" s="166">
        <f>IF(N210="základná",J210,0)</f>
        <v>0</v>
      </c>
      <c r="BF210" s="166">
        <f>IF(N210="znížená",J210,0)</f>
        <v>0</v>
      </c>
      <c r="BG210" s="166">
        <f>IF(N210="zákl. prenesená",J210,0)</f>
        <v>0</v>
      </c>
      <c r="BH210" s="166">
        <f>IF(N210="zníž. prenesená",J210,0)</f>
        <v>0</v>
      </c>
      <c r="BI210" s="166">
        <f>IF(N210="nulová",J210,0)</f>
        <v>0</v>
      </c>
      <c r="BJ210" s="14" t="s">
        <v>82</v>
      </c>
      <c r="BK210" s="166">
        <f>ROUND(I210*H210,2)</f>
        <v>0</v>
      </c>
      <c r="BL210" s="14" t="s">
        <v>213</v>
      </c>
      <c r="BM210" s="165" t="s">
        <v>432</v>
      </c>
    </row>
    <row r="211" spans="1:65" s="12" customFormat="1" ht="25.9" customHeight="1">
      <c r="B211" s="139"/>
      <c r="D211" s="140" t="s">
        <v>68</v>
      </c>
      <c r="E211" s="141" t="s">
        <v>1346</v>
      </c>
      <c r="F211" s="141" t="s">
        <v>1347</v>
      </c>
      <c r="I211" s="142"/>
      <c r="J211" s="151">
        <v>0</v>
      </c>
      <c r="L211" s="139"/>
      <c r="M211" s="144"/>
      <c r="N211" s="145"/>
      <c r="O211" s="145"/>
      <c r="P211" s="146">
        <f>P212</f>
        <v>0</v>
      </c>
      <c r="Q211" s="145"/>
      <c r="R211" s="146">
        <f>R212</f>
        <v>0</v>
      </c>
      <c r="S211" s="145"/>
      <c r="T211" s="147">
        <f>T212</f>
        <v>0</v>
      </c>
      <c r="AR211" s="140" t="s">
        <v>185</v>
      </c>
      <c r="AT211" s="148" t="s">
        <v>68</v>
      </c>
      <c r="AU211" s="148" t="s">
        <v>69</v>
      </c>
      <c r="AY211" s="140" t="s">
        <v>179</v>
      </c>
      <c r="BK211" s="149">
        <f>BK212</f>
        <v>0</v>
      </c>
    </row>
    <row r="212" spans="1:65" s="2" customFormat="1" ht="24.2" customHeight="1">
      <c r="A212" s="29"/>
      <c r="B212" s="152"/>
      <c r="C212" s="153" t="s">
        <v>308</v>
      </c>
      <c r="D212" s="153" t="s">
        <v>181</v>
      </c>
      <c r="E212" s="154" t="s">
        <v>1348</v>
      </c>
      <c r="F212" s="155" t="s">
        <v>2799</v>
      </c>
      <c r="G212" s="156" t="s">
        <v>1350</v>
      </c>
      <c r="H212" s="157">
        <v>10</v>
      </c>
      <c r="I212" s="158"/>
      <c r="J212" s="151">
        <v>0</v>
      </c>
      <c r="K212" s="160"/>
      <c r="L212" s="30"/>
      <c r="M212" s="179" t="s">
        <v>1</v>
      </c>
      <c r="N212" s="180" t="s">
        <v>35</v>
      </c>
      <c r="O212" s="181"/>
      <c r="P212" s="182">
        <f>O212*H212</f>
        <v>0</v>
      </c>
      <c r="Q212" s="182">
        <v>0</v>
      </c>
      <c r="R212" s="182">
        <f>Q212*H212</f>
        <v>0</v>
      </c>
      <c r="S212" s="182">
        <v>0</v>
      </c>
      <c r="T212" s="183">
        <f>S212*H212</f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65" t="s">
        <v>1351</v>
      </c>
      <c r="AT212" s="165" t="s">
        <v>181</v>
      </c>
      <c r="AU212" s="165" t="s">
        <v>76</v>
      </c>
      <c r="AY212" s="14" t="s">
        <v>179</v>
      </c>
      <c r="BE212" s="166">
        <f>IF(N212="základná",J212,0)</f>
        <v>0</v>
      </c>
      <c r="BF212" s="166">
        <f>IF(N212="znížená",J212,0)</f>
        <v>0</v>
      </c>
      <c r="BG212" s="166">
        <f>IF(N212="zákl. prenesená",J212,0)</f>
        <v>0</v>
      </c>
      <c r="BH212" s="166">
        <f>IF(N212="zníž. prenesená",J212,0)</f>
        <v>0</v>
      </c>
      <c r="BI212" s="166">
        <f>IF(N212="nulová",J212,0)</f>
        <v>0</v>
      </c>
      <c r="BJ212" s="14" t="s">
        <v>82</v>
      </c>
      <c r="BK212" s="166">
        <f>ROUND(I212*H212,2)</f>
        <v>0</v>
      </c>
      <c r="BL212" s="14" t="s">
        <v>1351</v>
      </c>
      <c r="BM212" s="165" t="s">
        <v>435</v>
      </c>
    </row>
    <row r="213" spans="1:65" s="2" customFormat="1" ht="6.95" customHeight="1">
      <c r="A213" s="29"/>
      <c r="B213" s="47"/>
      <c r="C213" s="48"/>
      <c r="D213" s="48"/>
      <c r="E213" s="48"/>
      <c r="F213" s="48"/>
      <c r="G213" s="48"/>
      <c r="H213" s="48"/>
      <c r="I213" s="48"/>
      <c r="J213" s="48"/>
      <c r="K213" s="48"/>
      <c r="L213" s="30"/>
      <c r="M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</row>
  </sheetData>
  <autoFilter ref="C131:K212"/>
  <mergeCells count="12">
    <mergeCell ref="E124:H124"/>
    <mergeCell ref="L2:V2"/>
    <mergeCell ref="E85:H85"/>
    <mergeCell ref="E87:H87"/>
    <mergeCell ref="E89:H89"/>
    <mergeCell ref="E120:H120"/>
    <mergeCell ref="E122:H12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BM187"/>
  <sheetViews>
    <sheetView showGridLines="0" topLeftCell="A21" workbookViewId="0">
      <selection activeCell="V49" sqref="V49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0" t="s">
        <v>5</v>
      </c>
      <c r="M2" s="351"/>
      <c r="N2" s="351"/>
      <c r="O2" s="351"/>
      <c r="P2" s="351"/>
      <c r="Q2" s="351"/>
      <c r="R2" s="351"/>
      <c r="S2" s="351"/>
      <c r="T2" s="351"/>
      <c r="U2" s="351"/>
      <c r="V2" s="351"/>
      <c r="AT2" s="14" t="s">
        <v>122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5" customHeight="1">
      <c r="B4" s="17"/>
      <c r="D4" s="18" t="s">
        <v>129</v>
      </c>
      <c r="L4" s="17"/>
      <c r="M4" s="98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387" t="str">
        <f>'Rekapitulácia stavby'!K6</f>
        <v>Topoľčianky, Centrálny logistický sklad - rekonštrukcia tepelného hospodárstva</v>
      </c>
      <c r="F7" s="388"/>
      <c r="G7" s="388"/>
      <c r="H7" s="388"/>
      <c r="L7" s="17"/>
    </row>
    <row r="8" spans="1:46" s="1" customFormat="1" ht="12" customHeight="1">
      <c r="B8" s="17"/>
      <c r="D8" s="24" t="s">
        <v>130</v>
      </c>
      <c r="L8" s="17"/>
    </row>
    <row r="9" spans="1:46" s="2" customFormat="1" ht="16.5" customHeight="1">
      <c r="A9" s="29"/>
      <c r="B9" s="30"/>
      <c r="C9" s="29"/>
      <c r="D9" s="29"/>
      <c r="E9" s="387" t="s">
        <v>2801</v>
      </c>
      <c r="F9" s="386"/>
      <c r="G9" s="386"/>
      <c r="H9" s="386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>
      <c r="A10" s="29"/>
      <c r="B10" s="30"/>
      <c r="C10" s="29"/>
      <c r="D10" s="24" t="s">
        <v>132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>
      <c r="A11" s="29"/>
      <c r="B11" s="30"/>
      <c r="C11" s="29"/>
      <c r="D11" s="29"/>
      <c r="E11" s="382" t="s">
        <v>2930</v>
      </c>
      <c r="F11" s="386"/>
      <c r="G11" s="386"/>
      <c r="H11" s="386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>
      <c r="A13" s="29"/>
      <c r="B13" s="30"/>
      <c r="C13" s="29"/>
      <c r="D13" s="24" t="s">
        <v>15</v>
      </c>
      <c r="E13" s="29"/>
      <c r="F13" s="22" t="s">
        <v>1</v>
      </c>
      <c r="G13" s="29"/>
      <c r="H13" s="29"/>
      <c r="I13" s="24" t="s">
        <v>16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17</v>
      </c>
      <c r="E14" s="29"/>
      <c r="F14" s="22" t="s">
        <v>18</v>
      </c>
      <c r="G14" s="29"/>
      <c r="H14" s="29"/>
      <c r="I14" s="24" t="s">
        <v>19</v>
      </c>
      <c r="J14" s="55">
        <f>'Rekapitulácia stavby'!AN8</f>
        <v>45945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>
      <c r="A16" s="29"/>
      <c r="B16" s="30"/>
      <c r="C16" s="29"/>
      <c r="D16" s="24" t="s">
        <v>20</v>
      </c>
      <c r="E16" s="29"/>
      <c r="F16" s="29"/>
      <c r="G16" s="29"/>
      <c r="H16" s="29"/>
      <c r="I16" s="24" t="s">
        <v>21</v>
      </c>
      <c r="J16" s="22" t="str">
        <f>IF('Rekapitulácia stavby'!AN10="","",'Rekapitulácia stavby'!AN10)</f>
        <v/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>
      <c r="A17" s="29"/>
      <c r="B17" s="30"/>
      <c r="C17" s="29"/>
      <c r="D17" s="29"/>
      <c r="E17" s="22" t="str">
        <f>IF('Rekapitulácia stavby'!E11="","",'Rekapitulácia stavby'!E11)</f>
        <v xml:space="preserve"> </v>
      </c>
      <c r="F17" s="29"/>
      <c r="G17" s="29"/>
      <c r="H17" s="29"/>
      <c r="I17" s="24" t="s">
        <v>22</v>
      </c>
      <c r="J17" s="22" t="str">
        <f>IF('Rekapitulácia stavby'!AN11="","",'Rekapitulácia stavby'!AN11)</f>
        <v/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customHeight="1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>
      <c r="A19" s="29"/>
      <c r="B19" s="30"/>
      <c r="C19" s="29"/>
      <c r="D19" s="24" t="s">
        <v>23</v>
      </c>
      <c r="E19" s="29"/>
      <c r="F19" s="29"/>
      <c r="G19" s="29"/>
      <c r="H19" s="29"/>
      <c r="I19" s="24" t="s">
        <v>21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>
      <c r="A20" s="29"/>
      <c r="B20" s="30"/>
      <c r="C20" s="29"/>
      <c r="D20" s="29"/>
      <c r="E20" s="389" t="str">
        <f>'Rekapitulácia stavby'!E14</f>
        <v>Vyplň údaj</v>
      </c>
      <c r="F20" s="390"/>
      <c r="G20" s="390"/>
      <c r="H20" s="390"/>
      <c r="I20" s="24" t="s">
        <v>22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customHeight="1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>
      <c r="A22" s="29"/>
      <c r="B22" s="30"/>
      <c r="C22" s="29"/>
      <c r="D22" s="24" t="s">
        <v>25</v>
      </c>
      <c r="E22" s="29"/>
      <c r="F22" s="29"/>
      <c r="G22" s="29"/>
      <c r="H22" s="29"/>
      <c r="I22" s="24" t="s">
        <v>21</v>
      </c>
      <c r="J22" s="22" t="str">
        <f>IF('Rekapitulácia stavby'!AN16="","",'Rekapitulácia stavby'!AN16)</f>
        <v/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>
      <c r="A23" s="29"/>
      <c r="B23" s="30"/>
      <c r="C23" s="29"/>
      <c r="D23" s="29"/>
      <c r="E23" s="22" t="str">
        <f>IF('Rekapitulácia stavby'!E17="","",'Rekapitulácia stavby'!E17)</f>
        <v xml:space="preserve"> </v>
      </c>
      <c r="F23" s="29"/>
      <c r="G23" s="29"/>
      <c r="H23" s="29"/>
      <c r="I23" s="24" t="s">
        <v>22</v>
      </c>
      <c r="J23" s="22" t="str">
        <f>IF('Rekapitulácia stavby'!AN17="","",'Rekapitulácia stavby'!AN17)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customHeight="1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>
      <c r="A25" s="29"/>
      <c r="B25" s="30"/>
      <c r="C25" s="29"/>
      <c r="D25" s="24" t="s">
        <v>26</v>
      </c>
      <c r="E25" s="29"/>
      <c r="F25" s="29"/>
      <c r="G25" s="29"/>
      <c r="H25" s="29"/>
      <c r="I25" s="24" t="s">
        <v>21</v>
      </c>
      <c r="J25" s="22" t="str">
        <f>IF('Rekapitulácia stavby'!AN19="","",'Rekapitulácia stavby'!AN19)</f>
        <v/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24" t="s">
        <v>22</v>
      </c>
      <c r="J26" s="22" t="str">
        <f>IF('Rekapitulácia stavby'!AN20="","",'Rekapitulácia stavby'!AN20)</f>
        <v/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>
      <c r="A28" s="29"/>
      <c r="B28" s="30"/>
      <c r="C28" s="29"/>
      <c r="D28" s="24" t="s">
        <v>28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>
      <c r="A29" s="99"/>
      <c r="B29" s="100"/>
      <c r="C29" s="99"/>
      <c r="D29" s="99"/>
      <c r="E29" s="378" t="s">
        <v>1</v>
      </c>
      <c r="F29" s="378"/>
      <c r="G29" s="378"/>
      <c r="H29" s="378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102" t="s">
        <v>29</v>
      </c>
      <c r="E32" s="29"/>
      <c r="F32" s="29"/>
      <c r="G32" s="29"/>
      <c r="H32" s="29"/>
      <c r="I32" s="29"/>
      <c r="J32" s="71"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31</v>
      </c>
      <c r="G34" s="29"/>
      <c r="H34" s="29"/>
      <c r="I34" s="33" t="s">
        <v>30</v>
      </c>
      <c r="J34" s="33" t="s">
        <v>32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3" t="s">
        <v>33</v>
      </c>
      <c r="E35" s="35" t="s">
        <v>34</v>
      </c>
      <c r="F35" s="104">
        <f>ROUND((SUM(BE130:BE186)),  2)</f>
        <v>0</v>
      </c>
      <c r="G35" s="105"/>
      <c r="H35" s="105"/>
      <c r="I35" s="106">
        <v>0.23</v>
      </c>
      <c r="J35" s="104">
        <f>ROUND(((SUM(BE130:BE186))*I35),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35</v>
      </c>
      <c r="F36" s="104">
        <f>ROUND((SUM(BF130:BF186)),  2)</f>
        <v>0</v>
      </c>
      <c r="G36" s="105"/>
      <c r="H36" s="105"/>
      <c r="I36" s="106">
        <v>0.23</v>
      </c>
      <c r="J36" s="104">
        <f>ROUND(((SUM(BF130:BF186))*I36),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36</v>
      </c>
      <c r="F37" s="107">
        <f>ROUND((SUM(BG130:BG186)),  2)</f>
        <v>0</v>
      </c>
      <c r="G37" s="29"/>
      <c r="H37" s="29"/>
      <c r="I37" s="108">
        <v>0.23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37</v>
      </c>
      <c r="F38" s="107">
        <f>ROUND((SUM(BH130:BH186)),  2)</f>
        <v>0</v>
      </c>
      <c r="G38" s="29"/>
      <c r="H38" s="29"/>
      <c r="I38" s="108">
        <v>0.23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38</v>
      </c>
      <c r="F39" s="104">
        <f>ROUND((SUM(BI130:BI186)), 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9"/>
      <c r="D41" s="110" t="s">
        <v>39</v>
      </c>
      <c r="E41" s="60"/>
      <c r="F41" s="60"/>
      <c r="G41" s="111" t="s">
        <v>40</v>
      </c>
      <c r="H41" s="112" t="s">
        <v>41</v>
      </c>
      <c r="I41" s="60"/>
      <c r="J41" s="113"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42</v>
      </c>
      <c r="E50" s="44"/>
      <c r="F50" s="44"/>
      <c r="G50" s="43" t="s">
        <v>43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44</v>
      </c>
      <c r="E61" s="32"/>
      <c r="F61" s="115" t="s">
        <v>45</v>
      </c>
      <c r="G61" s="45" t="s">
        <v>44</v>
      </c>
      <c r="H61" s="32"/>
      <c r="I61" s="32"/>
      <c r="J61" s="116" t="s">
        <v>45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46</v>
      </c>
      <c r="E65" s="46"/>
      <c r="F65" s="46"/>
      <c r="G65" s="43" t="s">
        <v>47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44</v>
      </c>
      <c r="E76" s="32"/>
      <c r="F76" s="115" t="s">
        <v>45</v>
      </c>
      <c r="G76" s="45" t="s">
        <v>44</v>
      </c>
      <c r="H76" s="32"/>
      <c r="I76" s="32"/>
      <c r="J76" s="116" t="s">
        <v>45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hidden="1" customHeight="1">
      <c r="A82" s="29"/>
      <c r="B82" s="30"/>
      <c r="C82" s="18" t="s">
        <v>134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hidden="1" customHeight="1">
      <c r="A85" s="29"/>
      <c r="B85" s="30"/>
      <c r="C85" s="29"/>
      <c r="D85" s="29"/>
      <c r="E85" s="387" t="str">
        <f>E7</f>
        <v>Topoľčianky, Centrálny logistický sklad - rekonštrukcia tepelného hospodárstva</v>
      </c>
      <c r="F85" s="388"/>
      <c r="G85" s="388"/>
      <c r="H85" s="388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hidden="1" customHeight="1">
      <c r="B86" s="17"/>
      <c r="C86" s="24" t="s">
        <v>130</v>
      </c>
      <c r="L86" s="17"/>
    </row>
    <row r="87" spans="1:31" s="2" customFormat="1" ht="16.5" hidden="1" customHeight="1">
      <c r="A87" s="29"/>
      <c r="B87" s="30"/>
      <c r="C87" s="29"/>
      <c r="D87" s="29"/>
      <c r="E87" s="387" t="s">
        <v>2801</v>
      </c>
      <c r="F87" s="386"/>
      <c r="G87" s="386"/>
      <c r="H87" s="386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hidden="1" customHeight="1">
      <c r="A88" s="29"/>
      <c r="B88" s="30"/>
      <c r="C88" s="24" t="s">
        <v>132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hidden="1" customHeight="1">
      <c r="A89" s="29"/>
      <c r="B89" s="30"/>
      <c r="C89" s="29"/>
      <c r="D89" s="29"/>
      <c r="E89" s="382" t="str">
        <f>E11</f>
        <v>E2.1.-C - Teplovod pre obj. 02A-02B Sklady</v>
      </c>
      <c r="F89" s="386"/>
      <c r="G89" s="386"/>
      <c r="H89" s="386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hidden="1" customHeight="1">
      <c r="A91" s="29"/>
      <c r="B91" s="30"/>
      <c r="C91" s="24" t="s">
        <v>17</v>
      </c>
      <c r="D91" s="29"/>
      <c r="E91" s="29"/>
      <c r="F91" s="22" t="str">
        <f>F14</f>
        <v xml:space="preserve"> </v>
      </c>
      <c r="G91" s="29"/>
      <c r="H91" s="29"/>
      <c r="I91" s="24" t="s">
        <v>19</v>
      </c>
      <c r="J91" s="55">
        <f>IF(J14="","",J14)</f>
        <v>45945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hidden="1" customHeight="1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hidden="1" customHeight="1">
      <c r="A93" s="29"/>
      <c r="B93" s="30"/>
      <c r="C93" s="24" t="s">
        <v>20</v>
      </c>
      <c r="D93" s="29"/>
      <c r="E93" s="29"/>
      <c r="F93" s="22" t="str">
        <f>E17</f>
        <v xml:space="preserve"> </v>
      </c>
      <c r="G93" s="29"/>
      <c r="H93" s="29"/>
      <c r="I93" s="24" t="s">
        <v>25</v>
      </c>
      <c r="J93" s="27" t="str">
        <f>E23</f>
        <v xml:space="preserve">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hidden="1" customHeight="1">
      <c r="A94" s="29"/>
      <c r="B94" s="30"/>
      <c r="C94" s="24" t="s">
        <v>23</v>
      </c>
      <c r="D94" s="29"/>
      <c r="E94" s="29"/>
      <c r="F94" s="22" t="str">
        <f>IF(E20="","",E20)</f>
        <v>Vyplň údaj</v>
      </c>
      <c r="G94" s="29"/>
      <c r="H94" s="29"/>
      <c r="I94" s="24" t="s">
        <v>26</v>
      </c>
      <c r="J94" s="27" t="str">
        <f>E26</f>
        <v xml:space="preserve">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hidden="1" customHeight="1">
      <c r="A96" s="29"/>
      <c r="B96" s="30"/>
      <c r="C96" s="117" t="s">
        <v>135</v>
      </c>
      <c r="D96" s="109"/>
      <c r="E96" s="109"/>
      <c r="F96" s="109"/>
      <c r="G96" s="109"/>
      <c r="H96" s="109"/>
      <c r="I96" s="109"/>
      <c r="J96" s="118" t="s">
        <v>136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hidden="1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hidden="1" customHeight="1">
      <c r="A98" s="29"/>
      <c r="B98" s="30"/>
      <c r="C98" s="119" t="s">
        <v>137</v>
      </c>
      <c r="D98" s="29"/>
      <c r="E98" s="29"/>
      <c r="F98" s="29"/>
      <c r="G98" s="29"/>
      <c r="H98" s="29"/>
      <c r="I98" s="29"/>
      <c r="J98" s="71">
        <f>J130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138</v>
      </c>
    </row>
    <row r="99" spans="1:47" s="9" customFormat="1" ht="24.95" hidden="1" customHeight="1">
      <c r="B99" s="120"/>
      <c r="D99" s="121" t="s">
        <v>975</v>
      </c>
      <c r="E99" s="122"/>
      <c r="F99" s="122"/>
      <c r="G99" s="122"/>
      <c r="H99" s="122"/>
      <c r="I99" s="122"/>
      <c r="J99" s="123">
        <f>J131</f>
        <v>0</v>
      </c>
      <c r="L99" s="120"/>
    </row>
    <row r="100" spans="1:47" s="10" customFormat="1" ht="19.899999999999999" hidden="1" customHeight="1">
      <c r="B100" s="124"/>
      <c r="D100" s="125" t="s">
        <v>976</v>
      </c>
      <c r="E100" s="126"/>
      <c r="F100" s="126"/>
      <c r="G100" s="126"/>
      <c r="H100" s="126"/>
      <c r="I100" s="126"/>
      <c r="J100" s="127">
        <f>J132</f>
        <v>0</v>
      </c>
      <c r="L100" s="124"/>
    </row>
    <row r="101" spans="1:47" s="10" customFormat="1" ht="19.899999999999999" hidden="1" customHeight="1">
      <c r="B101" s="124"/>
      <c r="D101" s="125" t="s">
        <v>977</v>
      </c>
      <c r="E101" s="126"/>
      <c r="F101" s="126"/>
      <c r="G101" s="126"/>
      <c r="H101" s="126"/>
      <c r="I101" s="126"/>
      <c r="J101" s="127">
        <f>J144</f>
        <v>0</v>
      </c>
      <c r="L101" s="124"/>
    </row>
    <row r="102" spans="1:47" s="10" customFormat="1" ht="19.899999999999999" hidden="1" customHeight="1">
      <c r="B102" s="124"/>
      <c r="D102" s="125" t="s">
        <v>2825</v>
      </c>
      <c r="E102" s="126"/>
      <c r="F102" s="126"/>
      <c r="G102" s="126"/>
      <c r="H102" s="126"/>
      <c r="I102" s="126"/>
      <c r="J102" s="127">
        <f>J147</f>
        <v>0</v>
      </c>
      <c r="L102" s="124"/>
    </row>
    <row r="103" spans="1:47" s="10" customFormat="1" ht="19.899999999999999" hidden="1" customHeight="1">
      <c r="B103" s="124"/>
      <c r="D103" s="125" t="s">
        <v>978</v>
      </c>
      <c r="E103" s="126"/>
      <c r="F103" s="126"/>
      <c r="G103" s="126"/>
      <c r="H103" s="126"/>
      <c r="I103" s="126"/>
      <c r="J103" s="127">
        <f>J162</f>
        <v>0</v>
      </c>
      <c r="L103" s="124"/>
    </row>
    <row r="104" spans="1:47" s="10" customFormat="1" ht="19.899999999999999" hidden="1" customHeight="1">
      <c r="B104" s="124"/>
      <c r="D104" s="125" t="s">
        <v>2826</v>
      </c>
      <c r="E104" s="126"/>
      <c r="F104" s="126"/>
      <c r="G104" s="126"/>
      <c r="H104" s="126"/>
      <c r="I104" s="126"/>
      <c r="J104" s="127">
        <f>J169</f>
        <v>0</v>
      </c>
      <c r="L104" s="124"/>
    </row>
    <row r="105" spans="1:47" s="9" customFormat="1" ht="24.95" hidden="1" customHeight="1">
      <c r="B105" s="120"/>
      <c r="D105" s="121" t="s">
        <v>979</v>
      </c>
      <c r="E105" s="122"/>
      <c r="F105" s="122"/>
      <c r="G105" s="122"/>
      <c r="H105" s="122"/>
      <c r="I105" s="122"/>
      <c r="J105" s="123">
        <f>J172</f>
        <v>0</v>
      </c>
      <c r="L105" s="120"/>
    </row>
    <row r="106" spans="1:47" s="10" customFormat="1" ht="19.899999999999999" hidden="1" customHeight="1">
      <c r="B106" s="124"/>
      <c r="D106" s="125" t="s">
        <v>980</v>
      </c>
      <c r="E106" s="126"/>
      <c r="F106" s="126"/>
      <c r="G106" s="126"/>
      <c r="H106" s="126"/>
      <c r="I106" s="126"/>
      <c r="J106" s="127">
        <f>J173</f>
        <v>0</v>
      </c>
      <c r="L106" s="124"/>
    </row>
    <row r="107" spans="1:47" s="10" customFormat="1" ht="19.899999999999999" hidden="1" customHeight="1">
      <c r="B107" s="124"/>
      <c r="D107" s="125" t="s">
        <v>2130</v>
      </c>
      <c r="E107" s="126"/>
      <c r="F107" s="126"/>
      <c r="G107" s="126"/>
      <c r="H107" s="126"/>
      <c r="I107" s="126"/>
      <c r="J107" s="127">
        <f>J178</f>
        <v>0</v>
      </c>
      <c r="L107" s="124"/>
    </row>
    <row r="108" spans="1:47" s="9" customFormat="1" ht="24.95" hidden="1" customHeight="1">
      <c r="B108" s="120"/>
      <c r="D108" s="121" t="s">
        <v>1297</v>
      </c>
      <c r="E108" s="122"/>
      <c r="F108" s="122"/>
      <c r="G108" s="122"/>
      <c r="H108" s="122"/>
      <c r="I108" s="122"/>
      <c r="J108" s="123">
        <f>J185</f>
        <v>0</v>
      </c>
      <c r="L108" s="120"/>
    </row>
    <row r="109" spans="1:47" s="2" customFormat="1" ht="21.75" hidden="1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47" s="2" customFormat="1" ht="6.95" hidden="1" customHeight="1">
      <c r="A110" s="29"/>
      <c r="B110" s="47"/>
      <c r="C110" s="48"/>
      <c r="D110" s="48"/>
      <c r="E110" s="48"/>
      <c r="F110" s="48"/>
      <c r="G110" s="48"/>
      <c r="H110" s="48"/>
      <c r="I110" s="48"/>
      <c r="J110" s="48"/>
      <c r="K110" s="48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hidden="1"/>
    <row r="112" spans="1:47" hidden="1"/>
    <row r="113" spans="1:31" hidden="1"/>
    <row r="114" spans="1:31" s="2" customFormat="1" ht="6.95" customHeight="1">
      <c r="A114" s="29"/>
      <c r="B114" s="49"/>
      <c r="C114" s="50"/>
      <c r="D114" s="50"/>
      <c r="E114" s="50"/>
      <c r="F114" s="50"/>
      <c r="G114" s="50"/>
      <c r="H114" s="50"/>
      <c r="I114" s="50"/>
      <c r="J114" s="50"/>
      <c r="K114" s="50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31" s="2" customFormat="1" ht="24.95" customHeight="1">
      <c r="A115" s="29"/>
      <c r="B115" s="30"/>
      <c r="C115" s="18" t="s">
        <v>165</v>
      </c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31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31" s="2" customFormat="1" ht="12" customHeight="1">
      <c r="A117" s="29"/>
      <c r="B117" s="30"/>
      <c r="C117" s="24" t="s">
        <v>14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16.5" customHeight="1">
      <c r="A118" s="29"/>
      <c r="B118" s="30"/>
      <c r="C118" s="29"/>
      <c r="D118" s="29"/>
      <c r="E118" s="387" t="str">
        <f>E7</f>
        <v>Topoľčianky, Centrálny logistický sklad - rekonštrukcia tepelného hospodárstva</v>
      </c>
      <c r="F118" s="388"/>
      <c r="G118" s="388"/>
      <c r="H118" s="388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1" customFormat="1" ht="12" customHeight="1">
      <c r="B119" s="17"/>
      <c r="C119" s="24" t="s">
        <v>130</v>
      </c>
      <c r="L119" s="17"/>
    </row>
    <row r="120" spans="1:31" s="2" customFormat="1" ht="16.5" customHeight="1">
      <c r="A120" s="29"/>
      <c r="B120" s="30"/>
      <c r="C120" s="29"/>
      <c r="D120" s="29"/>
      <c r="E120" s="387" t="s">
        <v>2801</v>
      </c>
      <c r="F120" s="386"/>
      <c r="G120" s="386"/>
      <c r="H120" s="386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2" customHeight="1">
      <c r="A121" s="29"/>
      <c r="B121" s="30"/>
      <c r="C121" s="24" t="s">
        <v>132</v>
      </c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6.5" customHeight="1">
      <c r="A122" s="29"/>
      <c r="B122" s="30"/>
      <c r="C122" s="29"/>
      <c r="D122" s="29"/>
      <c r="E122" s="382" t="str">
        <f>E11</f>
        <v>E2.1.-C - Teplovod pre obj. 02A-02B Sklady</v>
      </c>
      <c r="F122" s="386"/>
      <c r="G122" s="386"/>
      <c r="H122" s="386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2" customHeight="1">
      <c r="A124" s="29"/>
      <c r="B124" s="30"/>
      <c r="C124" s="24" t="s">
        <v>17</v>
      </c>
      <c r="D124" s="29"/>
      <c r="E124" s="29"/>
      <c r="F124" s="22" t="str">
        <f>F14</f>
        <v xml:space="preserve"> </v>
      </c>
      <c r="G124" s="29"/>
      <c r="H124" s="29"/>
      <c r="I124" s="24" t="s">
        <v>19</v>
      </c>
      <c r="J124" s="55">
        <f>IF(J14="","",J14)</f>
        <v>45945</v>
      </c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6.95" customHeight="1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5.2" customHeight="1">
      <c r="A126" s="29"/>
      <c r="B126" s="30"/>
      <c r="C126" s="24" t="s">
        <v>20</v>
      </c>
      <c r="D126" s="29"/>
      <c r="E126" s="29"/>
      <c r="F126" s="22" t="str">
        <f>E17</f>
        <v xml:space="preserve"> </v>
      </c>
      <c r="G126" s="29"/>
      <c r="H126" s="29"/>
      <c r="I126" s="24" t="s">
        <v>25</v>
      </c>
      <c r="J126" s="27" t="str">
        <f>E23</f>
        <v xml:space="preserve"> </v>
      </c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5.2" customHeight="1">
      <c r="A127" s="29"/>
      <c r="B127" s="30"/>
      <c r="C127" s="24" t="s">
        <v>23</v>
      </c>
      <c r="D127" s="29"/>
      <c r="E127" s="29"/>
      <c r="F127" s="22" t="str">
        <f>IF(E20="","",E20)</f>
        <v>Vyplň údaj</v>
      </c>
      <c r="G127" s="29"/>
      <c r="H127" s="29"/>
      <c r="I127" s="24" t="s">
        <v>26</v>
      </c>
      <c r="J127" s="27" t="str">
        <f>E26</f>
        <v xml:space="preserve"> 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0.3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11" customFormat="1" ht="29.25" customHeight="1">
      <c r="A129" s="128"/>
      <c r="B129" s="129"/>
      <c r="C129" s="130" t="s">
        <v>166</v>
      </c>
      <c r="D129" s="131" t="s">
        <v>54</v>
      </c>
      <c r="E129" s="131" t="s">
        <v>50</v>
      </c>
      <c r="F129" s="131" t="s">
        <v>51</v>
      </c>
      <c r="G129" s="131" t="s">
        <v>167</v>
      </c>
      <c r="H129" s="131" t="s">
        <v>168</v>
      </c>
      <c r="I129" s="131" t="s">
        <v>169</v>
      </c>
      <c r="J129" s="132" t="s">
        <v>136</v>
      </c>
      <c r="K129" s="133" t="s">
        <v>170</v>
      </c>
      <c r="L129" s="134"/>
      <c r="M129" s="62" t="s">
        <v>1</v>
      </c>
      <c r="N129" s="63" t="s">
        <v>33</v>
      </c>
      <c r="O129" s="63" t="s">
        <v>171</v>
      </c>
      <c r="P129" s="63" t="s">
        <v>172</v>
      </c>
      <c r="Q129" s="63" t="s">
        <v>173</v>
      </c>
      <c r="R129" s="63" t="s">
        <v>174</v>
      </c>
      <c r="S129" s="63" t="s">
        <v>175</v>
      </c>
      <c r="T129" s="64" t="s">
        <v>176</v>
      </c>
      <c r="U129" s="128"/>
      <c r="V129" s="128"/>
      <c r="W129" s="128"/>
      <c r="X129" s="128"/>
      <c r="Y129" s="128"/>
      <c r="Z129" s="128"/>
      <c r="AA129" s="128"/>
      <c r="AB129" s="128"/>
      <c r="AC129" s="128"/>
      <c r="AD129" s="128"/>
      <c r="AE129" s="128"/>
    </row>
    <row r="130" spans="1:65" s="2" customFormat="1" ht="22.9" customHeight="1">
      <c r="A130" s="29"/>
      <c r="B130" s="30"/>
      <c r="C130" s="69" t="s">
        <v>137</v>
      </c>
      <c r="D130" s="29"/>
      <c r="E130" s="29"/>
      <c r="F130" s="29"/>
      <c r="G130" s="29"/>
      <c r="H130" s="29"/>
      <c r="I130" s="29"/>
      <c r="J130" s="135">
        <v>0</v>
      </c>
      <c r="K130" s="29"/>
      <c r="L130" s="30"/>
      <c r="M130" s="65"/>
      <c r="N130" s="56"/>
      <c r="O130" s="66"/>
      <c r="P130" s="136">
        <f>P131+P172+P185</f>
        <v>0</v>
      </c>
      <c r="Q130" s="66"/>
      <c r="R130" s="136">
        <f>R131+R172+R185</f>
        <v>16.014929999999996</v>
      </c>
      <c r="S130" s="66"/>
      <c r="T130" s="137">
        <f>T131+T172+T185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T130" s="14" t="s">
        <v>68</v>
      </c>
      <c r="AU130" s="14" t="s">
        <v>138</v>
      </c>
      <c r="BK130" s="138">
        <f>BK131+BK172+BK185</f>
        <v>0</v>
      </c>
    </row>
    <row r="131" spans="1:65" s="12" customFormat="1" ht="25.9" customHeight="1">
      <c r="B131" s="139"/>
      <c r="D131" s="140" t="s">
        <v>68</v>
      </c>
      <c r="E131" s="141" t="s">
        <v>177</v>
      </c>
      <c r="F131" s="141" t="s">
        <v>985</v>
      </c>
      <c r="I131" s="142"/>
      <c r="J131" s="143">
        <v>0</v>
      </c>
      <c r="L131" s="139"/>
      <c r="M131" s="144"/>
      <c r="N131" s="145"/>
      <c r="O131" s="145"/>
      <c r="P131" s="146">
        <f>P132+P144+P147+P162+P169</f>
        <v>0</v>
      </c>
      <c r="Q131" s="145"/>
      <c r="R131" s="146">
        <f>R132+R144+R147+R162+R169</f>
        <v>15.866849999999998</v>
      </c>
      <c r="S131" s="145"/>
      <c r="T131" s="147">
        <f>T132+T144+T147+T162+T169</f>
        <v>0</v>
      </c>
      <c r="AR131" s="140" t="s">
        <v>76</v>
      </c>
      <c r="AT131" s="148" t="s">
        <v>68</v>
      </c>
      <c r="AU131" s="148" t="s">
        <v>69</v>
      </c>
      <c r="AY131" s="140" t="s">
        <v>179</v>
      </c>
      <c r="BK131" s="149">
        <f>BK132+BK144+BK147+BK162+BK169</f>
        <v>0</v>
      </c>
    </row>
    <row r="132" spans="1:65" s="12" customFormat="1" ht="22.9" customHeight="1">
      <c r="B132" s="139"/>
      <c r="D132" s="140" t="s">
        <v>68</v>
      </c>
      <c r="E132" s="150" t="s">
        <v>76</v>
      </c>
      <c r="F132" s="150" t="s">
        <v>986</v>
      </c>
      <c r="I132" s="142"/>
      <c r="J132" s="151">
        <v>0</v>
      </c>
      <c r="L132" s="139"/>
      <c r="M132" s="144"/>
      <c r="N132" s="145"/>
      <c r="O132" s="145"/>
      <c r="P132" s="146">
        <f>SUM(P133:P143)</f>
        <v>0</v>
      </c>
      <c r="Q132" s="145"/>
      <c r="R132" s="146">
        <f>SUM(R133:R143)</f>
        <v>0</v>
      </c>
      <c r="S132" s="145"/>
      <c r="T132" s="147">
        <f>SUM(T133:T143)</f>
        <v>0</v>
      </c>
      <c r="AR132" s="140" t="s">
        <v>76</v>
      </c>
      <c r="AT132" s="148" t="s">
        <v>68</v>
      </c>
      <c r="AU132" s="148" t="s">
        <v>76</v>
      </c>
      <c r="AY132" s="140" t="s">
        <v>179</v>
      </c>
      <c r="BK132" s="149">
        <f>SUM(BK133:BK143)</f>
        <v>0</v>
      </c>
    </row>
    <row r="133" spans="1:65" s="2" customFormat="1" ht="21.75" customHeight="1">
      <c r="A133" s="29"/>
      <c r="B133" s="152"/>
      <c r="C133" s="153" t="s">
        <v>76</v>
      </c>
      <c r="D133" s="153" t="s">
        <v>181</v>
      </c>
      <c r="E133" s="154" t="s">
        <v>2833</v>
      </c>
      <c r="F133" s="155" t="s">
        <v>2900</v>
      </c>
      <c r="G133" s="156" t="s">
        <v>196</v>
      </c>
      <c r="H133" s="157">
        <v>194.834</v>
      </c>
      <c r="I133" s="158"/>
      <c r="J133" s="151">
        <v>0</v>
      </c>
      <c r="K133" s="160"/>
      <c r="L133" s="30"/>
      <c r="M133" s="161" t="s">
        <v>1</v>
      </c>
      <c r="N133" s="162" t="s">
        <v>35</v>
      </c>
      <c r="O133" s="58"/>
      <c r="P133" s="163">
        <f t="shared" ref="P133:P143" si="0">O133*H133</f>
        <v>0</v>
      </c>
      <c r="Q133" s="163">
        <v>0</v>
      </c>
      <c r="R133" s="163">
        <f t="shared" ref="R133:R143" si="1">Q133*H133</f>
        <v>0</v>
      </c>
      <c r="S133" s="163">
        <v>0</v>
      </c>
      <c r="T133" s="164">
        <f t="shared" ref="T133:T143" si="2"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5" t="s">
        <v>185</v>
      </c>
      <c r="AT133" s="165" t="s">
        <v>181</v>
      </c>
      <c r="AU133" s="165" t="s">
        <v>82</v>
      </c>
      <c r="AY133" s="14" t="s">
        <v>179</v>
      </c>
      <c r="BE133" s="166">
        <f t="shared" ref="BE133:BE143" si="3">IF(N133="základná",J133,0)</f>
        <v>0</v>
      </c>
      <c r="BF133" s="166">
        <f t="shared" ref="BF133:BF143" si="4">IF(N133="znížená",J133,0)</f>
        <v>0</v>
      </c>
      <c r="BG133" s="166">
        <f t="shared" ref="BG133:BG143" si="5">IF(N133="zákl. prenesená",J133,0)</f>
        <v>0</v>
      </c>
      <c r="BH133" s="166">
        <f t="shared" ref="BH133:BH143" si="6">IF(N133="zníž. prenesená",J133,0)</f>
        <v>0</v>
      </c>
      <c r="BI133" s="166">
        <f t="shared" ref="BI133:BI143" si="7">IF(N133="nulová",J133,0)</f>
        <v>0</v>
      </c>
      <c r="BJ133" s="14" t="s">
        <v>82</v>
      </c>
      <c r="BK133" s="166">
        <f t="shared" ref="BK133:BK143" si="8">ROUND(I133*H133,2)</f>
        <v>0</v>
      </c>
      <c r="BL133" s="14" t="s">
        <v>185</v>
      </c>
      <c r="BM133" s="165" t="s">
        <v>82</v>
      </c>
    </row>
    <row r="134" spans="1:65" s="2" customFormat="1" ht="37.9" customHeight="1">
      <c r="A134" s="29"/>
      <c r="B134" s="152"/>
      <c r="C134" s="153" t="s">
        <v>82</v>
      </c>
      <c r="D134" s="153" t="s">
        <v>181</v>
      </c>
      <c r="E134" s="154" t="s">
        <v>2835</v>
      </c>
      <c r="F134" s="155" t="s">
        <v>2836</v>
      </c>
      <c r="G134" s="156" t="s">
        <v>196</v>
      </c>
      <c r="H134" s="157">
        <v>194.834</v>
      </c>
      <c r="I134" s="158"/>
      <c r="J134" s="151">
        <v>0</v>
      </c>
      <c r="K134" s="160"/>
      <c r="L134" s="30"/>
      <c r="M134" s="161" t="s">
        <v>1</v>
      </c>
      <c r="N134" s="162" t="s">
        <v>35</v>
      </c>
      <c r="O134" s="58"/>
      <c r="P134" s="163">
        <f t="shared" si="0"/>
        <v>0</v>
      </c>
      <c r="Q134" s="163">
        <v>0</v>
      </c>
      <c r="R134" s="163">
        <f t="shared" si="1"/>
        <v>0</v>
      </c>
      <c r="S134" s="163">
        <v>0</v>
      </c>
      <c r="T134" s="164">
        <f t="shared" si="2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5" t="s">
        <v>185</v>
      </c>
      <c r="AT134" s="165" t="s">
        <v>181</v>
      </c>
      <c r="AU134" s="165" t="s">
        <v>82</v>
      </c>
      <c r="AY134" s="14" t="s">
        <v>179</v>
      </c>
      <c r="BE134" s="166">
        <f t="shared" si="3"/>
        <v>0</v>
      </c>
      <c r="BF134" s="166">
        <f t="shared" si="4"/>
        <v>0</v>
      </c>
      <c r="BG134" s="166">
        <f t="shared" si="5"/>
        <v>0</v>
      </c>
      <c r="BH134" s="166">
        <f t="shared" si="6"/>
        <v>0</v>
      </c>
      <c r="BI134" s="166">
        <f t="shared" si="7"/>
        <v>0</v>
      </c>
      <c r="BJ134" s="14" t="s">
        <v>82</v>
      </c>
      <c r="BK134" s="166">
        <f t="shared" si="8"/>
        <v>0</v>
      </c>
      <c r="BL134" s="14" t="s">
        <v>185</v>
      </c>
      <c r="BM134" s="165" t="s">
        <v>185</v>
      </c>
    </row>
    <row r="135" spans="1:65" s="2" customFormat="1" ht="33" customHeight="1">
      <c r="A135" s="29"/>
      <c r="B135" s="152"/>
      <c r="C135" s="153" t="s">
        <v>188</v>
      </c>
      <c r="D135" s="153" t="s">
        <v>181</v>
      </c>
      <c r="E135" s="154" t="s">
        <v>991</v>
      </c>
      <c r="F135" s="155" t="s">
        <v>992</v>
      </c>
      <c r="G135" s="156" t="s">
        <v>196</v>
      </c>
      <c r="H135" s="157">
        <v>69.48</v>
      </c>
      <c r="I135" s="158"/>
      <c r="J135" s="151">
        <v>0</v>
      </c>
      <c r="K135" s="160"/>
      <c r="L135" s="30"/>
      <c r="M135" s="161" t="s">
        <v>1</v>
      </c>
      <c r="N135" s="162" t="s">
        <v>35</v>
      </c>
      <c r="O135" s="58"/>
      <c r="P135" s="163">
        <f t="shared" si="0"/>
        <v>0</v>
      </c>
      <c r="Q135" s="163">
        <v>0</v>
      </c>
      <c r="R135" s="163">
        <f t="shared" si="1"/>
        <v>0</v>
      </c>
      <c r="S135" s="163">
        <v>0</v>
      </c>
      <c r="T135" s="164">
        <f t="shared" si="2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5" t="s">
        <v>185</v>
      </c>
      <c r="AT135" s="165" t="s">
        <v>181</v>
      </c>
      <c r="AU135" s="165" t="s">
        <v>82</v>
      </c>
      <c r="AY135" s="14" t="s">
        <v>179</v>
      </c>
      <c r="BE135" s="166">
        <f t="shared" si="3"/>
        <v>0</v>
      </c>
      <c r="BF135" s="166">
        <f t="shared" si="4"/>
        <v>0</v>
      </c>
      <c r="BG135" s="166">
        <f t="shared" si="5"/>
        <v>0</v>
      </c>
      <c r="BH135" s="166">
        <f t="shared" si="6"/>
        <v>0</v>
      </c>
      <c r="BI135" s="166">
        <f t="shared" si="7"/>
        <v>0</v>
      </c>
      <c r="BJ135" s="14" t="s">
        <v>82</v>
      </c>
      <c r="BK135" s="166">
        <f t="shared" si="8"/>
        <v>0</v>
      </c>
      <c r="BL135" s="14" t="s">
        <v>185</v>
      </c>
      <c r="BM135" s="165" t="s">
        <v>192</v>
      </c>
    </row>
    <row r="136" spans="1:65" s="2" customFormat="1" ht="33" customHeight="1">
      <c r="A136" s="29"/>
      <c r="B136" s="152"/>
      <c r="C136" s="153" t="s">
        <v>185</v>
      </c>
      <c r="D136" s="153" t="s">
        <v>181</v>
      </c>
      <c r="E136" s="154" t="s">
        <v>995</v>
      </c>
      <c r="F136" s="155" t="s">
        <v>996</v>
      </c>
      <c r="G136" s="156" t="s">
        <v>196</v>
      </c>
      <c r="H136" s="157">
        <v>69.48</v>
      </c>
      <c r="I136" s="158"/>
      <c r="J136" s="151">
        <v>0</v>
      </c>
      <c r="K136" s="160"/>
      <c r="L136" s="30"/>
      <c r="M136" s="161" t="s">
        <v>1</v>
      </c>
      <c r="N136" s="162" t="s">
        <v>35</v>
      </c>
      <c r="O136" s="58"/>
      <c r="P136" s="163">
        <f t="shared" si="0"/>
        <v>0</v>
      </c>
      <c r="Q136" s="163">
        <v>0</v>
      </c>
      <c r="R136" s="163">
        <f t="shared" si="1"/>
        <v>0</v>
      </c>
      <c r="S136" s="163">
        <v>0</v>
      </c>
      <c r="T136" s="164">
        <f t="shared" si="2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5" t="s">
        <v>185</v>
      </c>
      <c r="AT136" s="165" t="s">
        <v>181</v>
      </c>
      <c r="AU136" s="165" t="s">
        <v>82</v>
      </c>
      <c r="AY136" s="14" t="s">
        <v>179</v>
      </c>
      <c r="BE136" s="166">
        <f t="shared" si="3"/>
        <v>0</v>
      </c>
      <c r="BF136" s="166">
        <f t="shared" si="4"/>
        <v>0</v>
      </c>
      <c r="BG136" s="166">
        <f t="shared" si="5"/>
        <v>0</v>
      </c>
      <c r="BH136" s="166">
        <f t="shared" si="6"/>
        <v>0</v>
      </c>
      <c r="BI136" s="166">
        <f t="shared" si="7"/>
        <v>0</v>
      </c>
      <c r="BJ136" s="14" t="s">
        <v>82</v>
      </c>
      <c r="BK136" s="166">
        <f t="shared" si="8"/>
        <v>0</v>
      </c>
      <c r="BL136" s="14" t="s">
        <v>185</v>
      </c>
      <c r="BM136" s="165" t="s">
        <v>197</v>
      </c>
    </row>
    <row r="137" spans="1:65" s="2" customFormat="1" ht="24.2" customHeight="1">
      <c r="A137" s="29"/>
      <c r="B137" s="152"/>
      <c r="C137" s="153" t="s">
        <v>198</v>
      </c>
      <c r="D137" s="153" t="s">
        <v>181</v>
      </c>
      <c r="E137" s="154" t="s">
        <v>2837</v>
      </c>
      <c r="F137" s="155" t="s">
        <v>2838</v>
      </c>
      <c r="G137" s="156" t="s">
        <v>196</v>
      </c>
      <c r="H137" s="157">
        <v>69.48</v>
      </c>
      <c r="I137" s="158"/>
      <c r="J137" s="151">
        <v>0</v>
      </c>
      <c r="K137" s="160"/>
      <c r="L137" s="30"/>
      <c r="M137" s="161" t="s">
        <v>1</v>
      </c>
      <c r="N137" s="162" t="s">
        <v>35</v>
      </c>
      <c r="O137" s="58"/>
      <c r="P137" s="163">
        <f t="shared" si="0"/>
        <v>0</v>
      </c>
      <c r="Q137" s="163">
        <v>0</v>
      </c>
      <c r="R137" s="163">
        <f t="shared" si="1"/>
        <v>0</v>
      </c>
      <c r="S137" s="163">
        <v>0</v>
      </c>
      <c r="T137" s="164">
        <f t="shared" si="2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185</v>
      </c>
      <c r="AT137" s="165" t="s">
        <v>181</v>
      </c>
      <c r="AU137" s="165" t="s">
        <v>82</v>
      </c>
      <c r="AY137" s="14" t="s">
        <v>179</v>
      </c>
      <c r="BE137" s="166">
        <f t="shared" si="3"/>
        <v>0</v>
      </c>
      <c r="BF137" s="166">
        <f t="shared" si="4"/>
        <v>0</v>
      </c>
      <c r="BG137" s="166">
        <f t="shared" si="5"/>
        <v>0</v>
      </c>
      <c r="BH137" s="166">
        <f t="shared" si="6"/>
        <v>0</v>
      </c>
      <c r="BI137" s="166">
        <f t="shared" si="7"/>
        <v>0</v>
      </c>
      <c r="BJ137" s="14" t="s">
        <v>82</v>
      </c>
      <c r="BK137" s="166">
        <f t="shared" si="8"/>
        <v>0</v>
      </c>
      <c r="BL137" s="14" t="s">
        <v>185</v>
      </c>
      <c r="BM137" s="165" t="s">
        <v>201</v>
      </c>
    </row>
    <row r="138" spans="1:65" s="2" customFormat="1" ht="24.2" customHeight="1">
      <c r="A138" s="29"/>
      <c r="B138" s="152"/>
      <c r="C138" s="153" t="s">
        <v>192</v>
      </c>
      <c r="D138" s="153" t="s">
        <v>181</v>
      </c>
      <c r="E138" s="154" t="s">
        <v>999</v>
      </c>
      <c r="F138" s="155" t="s">
        <v>1000</v>
      </c>
      <c r="G138" s="156" t="s">
        <v>196</v>
      </c>
      <c r="H138" s="157">
        <v>69.48</v>
      </c>
      <c r="I138" s="158"/>
      <c r="J138" s="151">
        <v>0</v>
      </c>
      <c r="K138" s="160"/>
      <c r="L138" s="30"/>
      <c r="M138" s="161" t="s">
        <v>1</v>
      </c>
      <c r="N138" s="162" t="s">
        <v>35</v>
      </c>
      <c r="O138" s="58"/>
      <c r="P138" s="163">
        <f t="shared" si="0"/>
        <v>0</v>
      </c>
      <c r="Q138" s="163">
        <v>0</v>
      </c>
      <c r="R138" s="163">
        <f t="shared" si="1"/>
        <v>0</v>
      </c>
      <c r="S138" s="163">
        <v>0</v>
      </c>
      <c r="T138" s="164">
        <f t="shared" si="2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185</v>
      </c>
      <c r="AT138" s="165" t="s">
        <v>181</v>
      </c>
      <c r="AU138" s="165" t="s">
        <v>82</v>
      </c>
      <c r="AY138" s="14" t="s">
        <v>179</v>
      </c>
      <c r="BE138" s="166">
        <f t="shared" si="3"/>
        <v>0</v>
      </c>
      <c r="BF138" s="166">
        <f t="shared" si="4"/>
        <v>0</v>
      </c>
      <c r="BG138" s="166">
        <f t="shared" si="5"/>
        <v>0</v>
      </c>
      <c r="BH138" s="166">
        <f t="shared" si="6"/>
        <v>0</v>
      </c>
      <c r="BI138" s="166">
        <f t="shared" si="7"/>
        <v>0</v>
      </c>
      <c r="BJ138" s="14" t="s">
        <v>82</v>
      </c>
      <c r="BK138" s="166">
        <f t="shared" si="8"/>
        <v>0</v>
      </c>
      <c r="BL138" s="14" t="s">
        <v>185</v>
      </c>
      <c r="BM138" s="165" t="s">
        <v>205</v>
      </c>
    </row>
    <row r="139" spans="1:65" s="2" customFormat="1" ht="16.5" customHeight="1">
      <c r="A139" s="29"/>
      <c r="B139" s="152"/>
      <c r="C139" s="153" t="s">
        <v>207</v>
      </c>
      <c r="D139" s="153" t="s">
        <v>181</v>
      </c>
      <c r="E139" s="154" t="s">
        <v>993</v>
      </c>
      <c r="F139" s="155" t="s">
        <v>994</v>
      </c>
      <c r="G139" s="156" t="s">
        <v>196</v>
      </c>
      <c r="H139" s="157">
        <v>69.48</v>
      </c>
      <c r="I139" s="158"/>
      <c r="J139" s="151">
        <v>0</v>
      </c>
      <c r="K139" s="160"/>
      <c r="L139" s="30"/>
      <c r="M139" s="161" t="s">
        <v>1</v>
      </c>
      <c r="N139" s="162" t="s">
        <v>35</v>
      </c>
      <c r="O139" s="58"/>
      <c r="P139" s="163">
        <f t="shared" si="0"/>
        <v>0</v>
      </c>
      <c r="Q139" s="163">
        <v>0</v>
      </c>
      <c r="R139" s="163">
        <f t="shared" si="1"/>
        <v>0</v>
      </c>
      <c r="S139" s="163">
        <v>0</v>
      </c>
      <c r="T139" s="164">
        <f t="shared" si="2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185</v>
      </c>
      <c r="AT139" s="165" t="s">
        <v>181</v>
      </c>
      <c r="AU139" s="165" t="s">
        <v>82</v>
      </c>
      <c r="AY139" s="14" t="s">
        <v>179</v>
      </c>
      <c r="BE139" s="166">
        <f t="shared" si="3"/>
        <v>0</v>
      </c>
      <c r="BF139" s="166">
        <f t="shared" si="4"/>
        <v>0</v>
      </c>
      <c r="BG139" s="166">
        <f t="shared" si="5"/>
        <v>0</v>
      </c>
      <c r="BH139" s="166">
        <f t="shared" si="6"/>
        <v>0</v>
      </c>
      <c r="BI139" s="166">
        <f t="shared" si="7"/>
        <v>0</v>
      </c>
      <c r="BJ139" s="14" t="s">
        <v>82</v>
      </c>
      <c r="BK139" s="166">
        <f t="shared" si="8"/>
        <v>0</v>
      </c>
      <c r="BL139" s="14" t="s">
        <v>185</v>
      </c>
      <c r="BM139" s="165" t="s">
        <v>210</v>
      </c>
    </row>
    <row r="140" spans="1:65" s="2" customFormat="1" ht="24.2" customHeight="1">
      <c r="A140" s="29"/>
      <c r="B140" s="152"/>
      <c r="C140" s="153" t="s">
        <v>197</v>
      </c>
      <c r="D140" s="153" t="s">
        <v>181</v>
      </c>
      <c r="E140" s="154" t="s">
        <v>189</v>
      </c>
      <c r="F140" s="155" t="s">
        <v>2839</v>
      </c>
      <c r="G140" s="156" t="s">
        <v>191</v>
      </c>
      <c r="H140" s="157">
        <v>116.032</v>
      </c>
      <c r="I140" s="158"/>
      <c r="J140" s="151">
        <v>0</v>
      </c>
      <c r="K140" s="160"/>
      <c r="L140" s="30"/>
      <c r="M140" s="161" t="s">
        <v>1</v>
      </c>
      <c r="N140" s="162" t="s">
        <v>35</v>
      </c>
      <c r="O140" s="58"/>
      <c r="P140" s="163">
        <f t="shared" si="0"/>
        <v>0</v>
      </c>
      <c r="Q140" s="163">
        <v>0</v>
      </c>
      <c r="R140" s="163">
        <f t="shared" si="1"/>
        <v>0</v>
      </c>
      <c r="S140" s="163">
        <v>0</v>
      </c>
      <c r="T140" s="164">
        <f t="shared" si="2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185</v>
      </c>
      <c r="AT140" s="165" t="s">
        <v>181</v>
      </c>
      <c r="AU140" s="165" t="s">
        <v>82</v>
      </c>
      <c r="AY140" s="14" t="s">
        <v>179</v>
      </c>
      <c r="BE140" s="166">
        <f t="shared" si="3"/>
        <v>0</v>
      </c>
      <c r="BF140" s="166">
        <f t="shared" si="4"/>
        <v>0</v>
      </c>
      <c r="BG140" s="166">
        <f t="shared" si="5"/>
        <v>0</v>
      </c>
      <c r="BH140" s="166">
        <f t="shared" si="6"/>
        <v>0</v>
      </c>
      <c r="BI140" s="166">
        <f t="shared" si="7"/>
        <v>0</v>
      </c>
      <c r="BJ140" s="14" t="s">
        <v>82</v>
      </c>
      <c r="BK140" s="166">
        <f t="shared" si="8"/>
        <v>0</v>
      </c>
      <c r="BL140" s="14" t="s">
        <v>185</v>
      </c>
      <c r="BM140" s="165" t="s">
        <v>213</v>
      </c>
    </row>
    <row r="141" spans="1:65" s="2" customFormat="1" ht="24.2" customHeight="1">
      <c r="A141" s="29"/>
      <c r="B141" s="152"/>
      <c r="C141" s="153" t="s">
        <v>214</v>
      </c>
      <c r="D141" s="153" t="s">
        <v>181</v>
      </c>
      <c r="E141" s="154" t="s">
        <v>2840</v>
      </c>
      <c r="F141" s="155" t="s">
        <v>2841</v>
      </c>
      <c r="G141" s="156" t="s">
        <v>196</v>
      </c>
      <c r="H141" s="157">
        <v>121.01600000000001</v>
      </c>
      <c r="I141" s="158"/>
      <c r="J141" s="151">
        <v>0</v>
      </c>
      <c r="K141" s="160"/>
      <c r="L141" s="30"/>
      <c r="M141" s="161" t="s">
        <v>1</v>
      </c>
      <c r="N141" s="162" t="s">
        <v>35</v>
      </c>
      <c r="O141" s="58"/>
      <c r="P141" s="163">
        <f t="shared" si="0"/>
        <v>0</v>
      </c>
      <c r="Q141" s="163">
        <v>0</v>
      </c>
      <c r="R141" s="163">
        <f t="shared" si="1"/>
        <v>0</v>
      </c>
      <c r="S141" s="163">
        <v>0</v>
      </c>
      <c r="T141" s="164">
        <f t="shared" si="2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5" t="s">
        <v>185</v>
      </c>
      <c r="AT141" s="165" t="s">
        <v>181</v>
      </c>
      <c r="AU141" s="165" t="s">
        <v>82</v>
      </c>
      <c r="AY141" s="14" t="s">
        <v>179</v>
      </c>
      <c r="BE141" s="166">
        <f t="shared" si="3"/>
        <v>0</v>
      </c>
      <c r="BF141" s="166">
        <f t="shared" si="4"/>
        <v>0</v>
      </c>
      <c r="BG141" s="166">
        <f t="shared" si="5"/>
        <v>0</v>
      </c>
      <c r="BH141" s="166">
        <f t="shared" si="6"/>
        <v>0</v>
      </c>
      <c r="BI141" s="166">
        <f t="shared" si="7"/>
        <v>0</v>
      </c>
      <c r="BJ141" s="14" t="s">
        <v>82</v>
      </c>
      <c r="BK141" s="166">
        <f t="shared" si="8"/>
        <v>0</v>
      </c>
      <c r="BL141" s="14" t="s">
        <v>185</v>
      </c>
      <c r="BM141" s="165" t="s">
        <v>218</v>
      </c>
    </row>
    <row r="142" spans="1:65" s="2" customFormat="1" ht="24.2" customHeight="1">
      <c r="A142" s="29"/>
      <c r="B142" s="152"/>
      <c r="C142" s="153" t="s">
        <v>201</v>
      </c>
      <c r="D142" s="153" t="s">
        <v>181</v>
      </c>
      <c r="E142" s="154" t="s">
        <v>2842</v>
      </c>
      <c r="F142" s="155" t="s">
        <v>1004</v>
      </c>
      <c r="G142" s="156" t="s">
        <v>196</v>
      </c>
      <c r="H142" s="157">
        <v>57.414000000000001</v>
      </c>
      <c r="I142" s="158"/>
      <c r="J142" s="151">
        <v>0</v>
      </c>
      <c r="K142" s="160"/>
      <c r="L142" s="30"/>
      <c r="M142" s="161" t="s">
        <v>1</v>
      </c>
      <c r="N142" s="162" t="s">
        <v>35</v>
      </c>
      <c r="O142" s="58"/>
      <c r="P142" s="163">
        <f t="shared" si="0"/>
        <v>0</v>
      </c>
      <c r="Q142" s="163">
        <v>0</v>
      </c>
      <c r="R142" s="163">
        <f t="shared" si="1"/>
        <v>0</v>
      </c>
      <c r="S142" s="163">
        <v>0</v>
      </c>
      <c r="T142" s="164">
        <f t="shared" si="2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5" t="s">
        <v>185</v>
      </c>
      <c r="AT142" s="165" t="s">
        <v>181</v>
      </c>
      <c r="AU142" s="165" t="s">
        <v>82</v>
      </c>
      <c r="AY142" s="14" t="s">
        <v>179</v>
      </c>
      <c r="BE142" s="166">
        <f t="shared" si="3"/>
        <v>0</v>
      </c>
      <c r="BF142" s="166">
        <f t="shared" si="4"/>
        <v>0</v>
      </c>
      <c r="BG142" s="166">
        <f t="shared" si="5"/>
        <v>0</v>
      </c>
      <c r="BH142" s="166">
        <f t="shared" si="6"/>
        <v>0</v>
      </c>
      <c r="BI142" s="166">
        <f t="shared" si="7"/>
        <v>0</v>
      </c>
      <c r="BJ142" s="14" t="s">
        <v>82</v>
      </c>
      <c r="BK142" s="166">
        <f t="shared" si="8"/>
        <v>0</v>
      </c>
      <c r="BL142" s="14" t="s">
        <v>185</v>
      </c>
      <c r="BM142" s="165" t="s">
        <v>221</v>
      </c>
    </row>
    <row r="143" spans="1:65" s="2" customFormat="1" ht="16.5" customHeight="1">
      <c r="A143" s="29"/>
      <c r="B143" s="152"/>
      <c r="C143" s="167" t="s">
        <v>222</v>
      </c>
      <c r="D143" s="167" t="s">
        <v>202</v>
      </c>
      <c r="E143" s="168" t="s">
        <v>2843</v>
      </c>
      <c r="F143" s="169" t="s">
        <v>2844</v>
      </c>
      <c r="G143" s="170" t="s">
        <v>191</v>
      </c>
      <c r="H143" s="171">
        <v>201.08199999999999</v>
      </c>
      <c r="I143" s="172"/>
      <c r="J143" s="151">
        <v>0</v>
      </c>
      <c r="K143" s="174"/>
      <c r="L143" s="175"/>
      <c r="M143" s="176" t="s">
        <v>1</v>
      </c>
      <c r="N143" s="177" t="s">
        <v>35</v>
      </c>
      <c r="O143" s="58"/>
      <c r="P143" s="163">
        <f t="shared" si="0"/>
        <v>0</v>
      </c>
      <c r="Q143" s="163">
        <v>0</v>
      </c>
      <c r="R143" s="163">
        <f t="shared" si="1"/>
        <v>0</v>
      </c>
      <c r="S143" s="163">
        <v>0</v>
      </c>
      <c r="T143" s="164">
        <f t="shared" si="2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197</v>
      </c>
      <c r="AT143" s="165" t="s">
        <v>202</v>
      </c>
      <c r="AU143" s="165" t="s">
        <v>82</v>
      </c>
      <c r="AY143" s="14" t="s">
        <v>179</v>
      </c>
      <c r="BE143" s="166">
        <f t="shared" si="3"/>
        <v>0</v>
      </c>
      <c r="BF143" s="166">
        <f t="shared" si="4"/>
        <v>0</v>
      </c>
      <c r="BG143" s="166">
        <f t="shared" si="5"/>
        <v>0</v>
      </c>
      <c r="BH143" s="166">
        <f t="shared" si="6"/>
        <v>0</v>
      </c>
      <c r="BI143" s="166">
        <f t="shared" si="7"/>
        <v>0</v>
      </c>
      <c r="BJ143" s="14" t="s">
        <v>82</v>
      </c>
      <c r="BK143" s="166">
        <f t="shared" si="8"/>
        <v>0</v>
      </c>
      <c r="BL143" s="14" t="s">
        <v>185</v>
      </c>
      <c r="BM143" s="165" t="s">
        <v>225</v>
      </c>
    </row>
    <row r="144" spans="1:65" s="12" customFormat="1" ht="22.9" customHeight="1">
      <c r="B144" s="139"/>
      <c r="D144" s="140" t="s">
        <v>68</v>
      </c>
      <c r="E144" s="150" t="s">
        <v>185</v>
      </c>
      <c r="F144" s="150" t="s">
        <v>1007</v>
      </c>
      <c r="I144" s="142"/>
      <c r="J144" s="151">
        <v>0</v>
      </c>
      <c r="L144" s="139"/>
      <c r="M144" s="144"/>
      <c r="N144" s="145"/>
      <c r="O144" s="145"/>
      <c r="P144" s="146">
        <f>SUM(P145:P146)</f>
        <v>0</v>
      </c>
      <c r="Q144" s="145"/>
      <c r="R144" s="146">
        <f>SUM(R145:R146)</f>
        <v>1.773069999999999</v>
      </c>
      <c r="S144" s="145"/>
      <c r="T144" s="147">
        <f>SUM(T145:T146)</f>
        <v>0</v>
      </c>
      <c r="AR144" s="140" t="s">
        <v>76</v>
      </c>
      <c r="AT144" s="148" t="s">
        <v>68</v>
      </c>
      <c r="AU144" s="148" t="s">
        <v>76</v>
      </c>
      <c r="AY144" s="140" t="s">
        <v>179</v>
      </c>
      <c r="BK144" s="149">
        <f>SUM(BK145:BK146)</f>
        <v>0</v>
      </c>
    </row>
    <row r="145" spans="1:65" s="2" customFormat="1" ht="37.9" customHeight="1">
      <c r="A145" s="29"/>
      <c r="B145" s="152"/>
      <c r="C145" s="153" t="s">
        <v>205</v>
      </c>
      <c r="D145" s="153" t="s">
        <v>181</v>
      </c>
      <c r="E145" s="154" t="s">
        <v>2134</v>
      </c>
      <c r="F145" s="155" t="s">
        <v>2135</v>
      </c>
      <c r="G145" s="156" t="s">
        <v>184</v>
      </c>
      <c r="H145" s="157">
        <v>3</v>
      </c>
      <c r="I145" s="158"/>
      <c r="J145" s="151">
        <v>0</v>
      </c>
      <c r="K145" s="160"/>
      <c r="L145" s="30"/>
      <c r="M145" s="161" t="s">
        <v>1</v>
      </c>
      <c r="N145" s="162" t="s">
        <v>35</v>
      </c>
      <c r="O145" s="58"/>
      <c r="P145" s="163">
        <f>O145*H145</f>
        <v>0</v>
      </c>
      <c r="Q145" s="163">
        <v>0.59102333333333301</v>
      </c>
      <c r="R145" s="163">
        <f>Q145*H145</f>
        <v>1.773069999999999</v>
      </c>
      <c r="S145" s="163">
        <v>0</v>
      </c>
      <c r="T145" s="164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5" t="s">
        <v>185</v>
      </c>
      <c r="AT145" s="165" t="s">
        <v>181</v>
      </c>
      <c r="AU145" s="165" t="s">
        <v>82</v>
      </c>
      <c r="AY145" s="14" t="s">
        <v>179</v>
      </c>
      <c r="BE145" s="166">
        <f>IF(N145="základná",J145,0)</f>
        <v>0</v>
      </c>
      <c r="BF145" s="166">
        <f>IF(N145="znížená",J145,0)</f>
        <v>0</v>
      </c>
      <c r="BG145" s="166">
        <f>IF(N145="zákl. prenesená",J145,0)</f>
        <v>0</v>
      </c>
      <c r="BH145" s="166">
        <f>IF(N145="zníž. prenesená",J145,0)</f>
        <v>0</v>
      </c>
      <c r="BI145" s="166">
        <f>IF(N145="nulová",J145,0)</f>
        <v>0</v>
      </c>
      <c r="BJ145" s="14" t="s">
        <v>82</v>
      </c>
      <c r="BK145" s="166">
        <f>ROUND(I145*H145,2)</f>
        <v>0</v>
      </c>
      <c r="BL145" s="14" t="s">
        <v>185</v>
      </c>
      <c r="BM145" s="165" t="s">
        <v>228</v>
      </c>
    </row>
    <row r="146" spans="1:65" s="2" customFormat="1" ht="33" customHeight="1">
      <c r="A146" s="29"/>
      <c r="B146" s="152"/>
      <c r="C146" s="153" t="s">
        <v>229</v>
      </c>
      <c r="D146" s="153" t="s">
        <v>181</v>
      </c>
      <c r="E146" s="154" t="s">
        <v>2845</v>
      </c>
      <c r="F146" s="155" t="s">
        <v>2846</v>
      </c>
      <c r="G146" s="156" t="s">
        <v>196</v>
      </c>
      <c r="H146" s="157">
        <v>16.404</v>
      </c>
      <c r="I146" s="158"/>
      <c r="J146" s="151">
        <v>0</v>
      </c>
      <c r="K146" s="160"/>
      <c r="L146" s="30"/>
      <c r="M146" s="161" t="s">
        <v>1</v>
      </c>
      <c r="N146" s="162" t="s">
        <v>35</v>
      </c>
      <c r="O146" s="58"/>
      <c r="P146" s="163">
        <f>O146*H146</f>
        <v>0</v>
      </c>
      <c r="Q146" s="163">
        <v>0</v>
      </c>
      <c r="R146" s="163">
        <f>Q146*H146</f>
        <v>0</v>
      </c>
      <c r="S146" s="163">
        <v>0</v>
      </c>
      <c r="T146" s="164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5" t="s">
        <v>185</v>
      </c>
      <c r="AT146" s="165" t="s">
        <v>181</v>
      </c>
      <c r="AU146" s="165" t="s">
        <v>82</v>
      </c>
      <c r="AY146" s="14" t="s">
        <v>179</v>
      </c>
      <c r="BE146" s="166">
        <f>IF(N146="základná",J146,0)</f>
        <v>0</v>
      </c>
      <c r="BF146" s="166">
        <f>IF(N146="znížená",J146,0)</f>
        <v>0</v>
      </c>
      <c r="BG146" s="166">
        <f>IF(N146="zákl. prenesená",J146,0)</f>
        <v>0</v>
      </c>
      <c r="BH146" s="166">
        <f>IF(N146="zníž. prenesená",J146,0)</f>
        <v>0</v>
      </c>
      <c r="BI146" s="166">
        <f>IF(N146="nulová",J146,0)</f>
        <v>0</v>
      </c>
      <c r="BJ146" s="14" t="s">
        <v>82</v>
      </c>
      <c r="BK146" s="166">
        <f>ROUND(I146*H146,2)</f>
        <v>0</v>
      </c>
      <c r="BL146" s="14" t="s">
        <v>185</v>
      </c>
      <c r="BM146" s="165" t="s">
        <v>232</v>
      </c>
    </row>
    <row r="147" spans="1:65" s="12" customFormat="1" ht="22.9" customHeight="1">
      <c r="B147" s="139"/>
      <c r="D147" s="140" t="s">
        <v>68</v>
      </c>
      <c r="E147" s="150" t="s">
        <v>197</v>
      </c>
      <c r="F147" s="150" t="s">
        <v>2856</v>
      </c>
      <c r="I147" s="142"/>
      <c r="J147" s="151">
        <v>0</v>
      </c>
      <c r="L147" s="139"/>
      <c r="M147" s="144"/>
      <c r="N147" s="145"/>
      <c r="O147" s="145"/>
      <c r="P147" s="146">
        <f>SUM(P148:P161)</f>
        <v>0</v>
      </c>
      <c r="Q147" s="145"/>
      <c r="R147" s="146">
        <f>SUM(R148:R161)</f>
        <v>14.093779999999999</v>
      </c>
      <c r="S147" s="145"/>
      <c r="T147" s="147">
        <f>SUM(T148:T161)</f>
        <v>0</v>
      </c>
      <c r="AR147" s="140" t="s">
        <v>76</v>
      </c>
      <c r="AT147" s="148" t="s">
        <v>68</v>
      </c>
      <c r="AU147" s="148" t="s">
        <v>76</v>
      </c>
      <c r="AY147" s="140" t="s">
        <v>179</v>
      </c>
      <c r="BK147" s="149">
        <f>SUM(BK148:BK161)</f>
        <v>0</v>
      </c>
    </row>
    <row r="148" spans="1:65" s="2" customFormat="1" ht="37.9" customHeight="1">
      <c r="A148" s="29"/>
      <c r="B148" s="152"/>
      <c r="C148" s="153" t="s">
        <v>210</v>
      </c>
      <c r="D148" s="153" t="s">
        <v>181</v>
      </c>
      <c r="E148" s="154" t="s">
        <v>2931</v>
      </c>
      <c r="F148" s="155" t="s">
        <v>2932</v>
      </c>
      <c r="G148" s="156" t="s">
        <v>293</v>
      </c>
      <c r="H148" s="157">
        <v>247</v>
      </c>
      <c r="I148" s="158"/>
      <c r="J148" s="151">
        <v>0</v>
      </c>
      <c r="K148" s="160"/>
      <c r="L148" s="30"/>
      <c r="M148" s="161" t="s">
        <v>1</v>
      </c>
      <c r="N148" s="162" t="s">
        <v>35</v>
      </c>
      <c r="O148" s="58"/>
      <c r="P148" s="163">
        <f t="shared" ref="P148:P161" si="9">O148*H148</f>
        <v>0</v>
      </c>
      <c r="Q148" s="163">
        <v>6.8338461538461504E-3</v>
      </c>
      <c r="R148" s="163">
        <f t="shared" ref="R148:R161" si="10">Q148*H148</f>
        <v>1.6879599999999992</v>
      </c>
      <c r="S148" s="163">
        <v>0</v>
      </c>
      <c r="T148" s="164">
        <f t="shared" ref="T148:T161" si="11"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5" t="s">
        <v>185</v>
      </c>
      <c r="AT148" s="165" t="s">
        <v>181</v>
      </c>
      <c r="AU148" s="165" t="s">
        <v>82</v>
      </c>
      <c r="AY148" s="14" t="s">
        <v>179</v>
      </c>
      <c r="BE148" s="166">
        <f t="shared" ref="BE148:BE161" si="12">IF(N148="základná",J148,0)</f>
        <v>0</v>
      </c>
      <c r="BF148" s="166">
        <f t="shared" ref="BF148:BF161" si="13">IF(N148="znížená",J148,0)</f>
        <v>0</v>
      </c>
      <c r="BG148" s="166">
        <f t="shared" ref="BG148:BG161" si="14">IF(N148="zákl. prenesená",J148,0)</f>
        <v>0</v>
      </c>
      <c r="BH148" s="166">
        <f t="shared" ref="BH148:BH161" si="15">IF(N148="zníž. prenesená",J148,0)</f>
        <v>0</v>
      </c>
      <c r="BI148" s="166">
        <f t="shared" ref="BI148:BI161" si="16">IF(N148="nulová",J148,0)</f>
        <v>0</v>
      </c>
      <c r="BJ148" s="14" t="s">
        <v>82</v>
      </c>
      <c r="BK148" s="166">
        <f t="shared" ref="BK148:BK161" si="17">ROUND(I148*H148,2)</f>
        <v>0</v>
      </c>
      <c r="BL148" s="14" t="s">
        <v>185</v>
      </c>
      <c r="BM148" s="165" t="s">
        <v>235</v>
      </c>
    </row>
    <row r="149" spans="1:65" s="2" customFormat="1" ht="55.5" customHeight="1">
      <c r="A149" s="29"/>
      <c r="B149" s="152"/>
      <c r="C149" s="167" t="s">
        <v>236</v>
      </c>
      <c r="D149" s="167" t="s">
        <v>202</v>
      </c>
      <c r="E149" s="168" t="s">
        <v>2933</v>
      </c>
      <c r="F149" s="338" t="s">
        <v>3479</v>
      </c>
      <c r="G149" s="170" t="s">
        <v>293</v>
      </c>
      <c r="H149" s="171">
        <v>204</v>
      </c>
      <c r="I149" s="172"/>
      <c r="J149" s="151">
        <v>0</v>
      </c>
      <c r="K149" s="174"/>
      <c r="L149" s="175"/>
      <c r="M149" s="176" t="s">
        <v>1</v>
      </c>
      <c r="N149" s="177" t="s">
        <v>35</v>
      </c>
      <c r="O149" s="58"/>
      <c r="P149" s="163">
        <f t="shared" si="9"/>
        <v>0</v>
      </c>
      <c r="Q149" s="163">
        <v>1.7600000000000001E-2</v>
      </c>
      <c r="R149" s="163">
        <f t="shared" si="10"/>
        <v>3.5904000000000003</v>
      </c>
      <c r="S149" s="163">
        <v>0</v>
      </c>
      <c r="T149" s="164">
        <f t="shared" si="11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5" t="s">
        <v>197</v>
      </c>
      <c r="AT149" s="165" t="s">
        <v>202</v>
      </c>
      <c r="AU149" s="165" t="s">
        <v>82</v>
      </c>
      <c r="AY149" s="14" t="s">
        <v>179</v>
      </c>
      <c r="BE149" s="166">
        <f t="shared" si="12"/>
        <v>0</v>
      </c>
      <c r="BF149" s="166">
        <f t="shared" si="13"/>
        <v>0</v>
      </c>
      <c r="BG149" s="166">
        <f t="shared" si="14"/>
        <v>0</v>
      </c>
      <c r="BH149" s="166">
        <f t="shared" si="15"/>
        <v>0</v>
      </c>
      <c r="BI149" s="166">
        <f t="shared" si="16"/>
        <v>0</v>
      </c>
      <c r="BJ149" s="14" t="s">
        <v>82</v>
      </c>
      <c r="BK149" s="166">
        <f t="shared" si="17"/>
        <v>0</v>
      </c>
      <c r="BL149" s="14" t="s">
        <v>185</v>
      </c>
      <c r="BM149" s="165" t="s">
        <v>239</v>
      </c>
    </row>
    <row r="150" spans="1:65" s="2" customFormat="1" ht="44.25" customHeight="1">
      <c r="A150" s="29"/>
      <c r="B150" s="152"/>
      <c r="C150" s="153" t="s">
        <v>213</v>
      </c>
      <c r="D150" s="153" t="s">
        <v>181</v>
      </c>
      <c r="E150" s="154" t="s">
        <v>2860</v>
      </c>
      <c r="F150" s="155" t="s">
        <v>2934</v>
      </c>
      <c r="G150" s="156" t="s">
        <v>217</v>
      </c>
      <c r="H150" s="157">
        <v>44</v>
      </c>
      <c r="I150" s="158"/>
      <c r="J150" s="151">
        <v>0</v>
      </c>
      <c r="K150" s="160"/>
      <c r="L150" s="30"/>
      <c r="M150" s="161" t="s">
        <v>1</v>
      </c>
      <c r="N150" s="162" t="s">
        <v>35</v>
      </c>
      <c r="O150" s="58"/>
      <c r="P150" s="163">
        <f t="shared" si="9"/>
        <v>0</v>
      </c>
      <c r="Q150" s="163">
        <v>1.60459090909091E-2</v>
      </c>
      <c r="R150" s="163">
        <f t="shared" si="10"/>
        <v>0.70602000000000043</v>
      </c>
      <c r="S150" s="163">
        <v>0</v>
      </c>
      <c r="T150" s="164">
        <f t="shared" si="11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5" t="s">
        <v>185</v>
      </c>
      <c r="AT150" s="165" t="s">
        <v>181</v>
      </c>
      <c r="AU150" s="165" t="s">
        <v>82</v>
      </c>
      <c r="AY150" s="14" t="s">
        <v>179</v>
      </c>
      <c r="BE150" s="166">
        <f t="shared" si="12"/>
        <v>0</v>
      </c>
      <c r="BF150" s="166">
        <f t="shared" si="13"/>
        <v>0</v>
      </c>
      <c r="BG150" s="166">
        <f t="shared" si="14"/>
        <v>0</v>
      </c>
      <c r="BH150" s="166">
        <f t="shared" si="15"/>
        <v>0</v>
      </c>
      <c r="BI150" s="166">
        <f t="shared" si="16"/>
        <v>0</v>
      </c>
      <c r="BJ150" s="14" t="s">
        <v>82</v>
      </c>
      <c r="BK150" s="166">
        <f t="shared" si="17"/>
        <v>0</v>
      </c>
      <c r="BL150" s="14" t="s">
        <v>185</v>
      </c>
      <c r="BM150" s="165" t="s">
        <v>242</v>
      </c>
    </row>
    <row r="151" spans="1:65" s="2" customFormat="1" ht="55.5" customHeight="1">
      <c r="A151" s="29"/>
      <c r="B151" s="152"/>
      <c r="C151" s="153" t="s">
        <v>243</v>
      </c>
      <c r="D151" s="153" t="s">
        <v>181</v>
      </c>
      <c r="E151" s="154" t="s">
        <v>2935</v>
      </c>
      <c r="F151" s="155" t="s">
        <v>2936</v>
      </c>
      <c r="G151" s="156" t="s">
        <v>217</v>
      </c>
      <c r="H151" s="157">
        <v>22</v>
      </c>
      <c r="I151" s="158"/>
      <c r="J151" s="151">
        <v>0</v>
      </c>
      <c r="K151" s="160"/>
      <c r="L151" s="30"/>
      <c r="M151" s="161" t="s">
        <v>1</v>
      </c>
      <c r="N151" s="162" t="s">
        <v>35</v>
      </c>
      <c r="O151" s="58"/>
      <c r="P151" s="163">
        <f t="shared" si="9"/>
        <v>0</v>
      </c>
      <c r="Q151" s="163">
        <v>4.0906818181818197E-2</v>
      </c>
      <c r="R151" s="163">
        <f t="shared" si="10"/>
        <v>0.89995000000000036</v>
      </c>
      <c r="S151" s="163">
        <v>0</v>
      </c>
      <c r="T151" s="164">
        <f t="shared" si="11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5" t="s">
        <v>185</v>
      </c>
      <c r="AT151" s="165" t="s">
        <v>181</v>
      </c>
      <c r="AU151" s="165" t="s">
        <v>82</v>
      </c>
      <c r="AY151" s="14" t="s">
        <v>179</v>
      </c>
      <c r="BE151" s="166">
        <f t="shared" si="12"/>
        <v>0</v>
      </c>
      <c r="BF151" s="166">
        <f t="shared" si="13"/>
        <v>0</v>
      </c>
      <c r="BG151" s="166">
        <f t="shared" si="14"/>
        <v>0</v>
      </c>
      <c r="BH151" s="166">
        <f t="shared" si="15"/>
        <v>0</v>
      </c>
      <c r="BI151" s="166">
        <f t="shared" si="16"/>
        <v>0</v>
      </c>
      <c r="BJ151" s="14" t="s">
        <v>82</v>
      </c>
      <c r="BK151" s="166">
        <f t="shared" si="17"/>
        <v>0</v>
      </c>
      <c r="BL151" s="14" t="s">
        <v>185</v>
      </c>
      <c r="BM151" s="165" t="s">
        <v>246</v>
      </c>
    </row>
    <row r="152" spans="1:65" s="2" customFormat="1" ht="24.2" customHeight="1">
      <c r="A152" s="29"/>
      <c r="B152" s="152"/>
      <c r="C152" s="167" t="s">
        <v>218</v>
      </c>
      <c r="D152" s="167" t="s">
        <v>202</v>
      </c>
      <c r="E152" s="168" t="s">
        <v>2864</v>
      </c>
      <c r="F152" s="169" t="s">
        <v>2937</v>
      </c>
      <c r="G152" s="170" t="s">
        <v>217</v>
      </c>
      <c r="H152" s="171">
        <v>2</v>
      </c>
      <c r="I152" s="172"/>
      <c r="J152" s="151">
        <v>0</v>
      </c>
      <c r="K152" s="174"/>
      <c r="L152" s="175"/>
      <c r="M152" s="176" t="s">
        <v>1</v>
      </c>
      <c r="N152" s="177" t="s">
        <v>35</v>
      </c>
      <c r="O152" s="58"/>
      <c r="P152" s="163">
        <f t="shared" si="9"/>
        <v>0</v>
      </c>
      <c r="Q152" s="163">
        <v>3.8969999999999998E-2</v>
      </c>
      <c r="R152" s="163">
        <f t="shared" si="10"/>
        <v>7.7939999999999995E-2</v>
      </c>
      <c r="S152" s="163">
        <v>0</v>
      </c>
      <c r="T152" s="164">
        <f t="shared" si="11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5" t="s">
        <v>197</v>
      </c>
      <c r="AT152" s="165" t="s">
        <v>202</v>
      </c>
      <c r="AU152" s="165" t="s">
        <v>82</v>
      </c>
      <c r="AY152" s="14" t="s">
        <v>179</v>
      </c>
      <c r="BE152" s="166">
        <f t="shared" si="12"/>
        <v>0</v>
      </c>
      <c r="BF152" s="166">
        <f t="shared" si="13"/>
        <v>0</v>
      </c>
      <c r="BG152" s="166">
        <f t="shared" si="14"/>
        <v>0</v>
      </c>
      <c r="BH152" s="166">
        <f t="shared" si="15"/>
        <v>0</v>
      </c>
      <c r="BI152" s="166">
        <f t="shared" si="16"/>
        <v>0</v>
      </c>
      <c r="BJ152" s="14" t="s">
        <v>82</v>
      </c>
      <c r="BK152" s="166">
        <f t="shared" si="17"/>
        <v>0</v>
      </c>
      <c r="BL152" s="14" t="s">
        <v>185</v>
      </c>
      <c r="BM152" s="165" t="s">
        <v>250</v>
      </c>
    </row>
    <row r="153" spans="1:65" s="2" customFormat="1" ht="24.2" customHeight="1">
      <c r="A153" s="29"/>
      <c r="B153" s="152"/>
      <c r="C153" s="167" t="s">
        <v>251</v>
      </c>
      <c r="D153" s="167" t="s">
        <v>202</v>
      </c>
      <c r="E153" s="168" t="s">
        <v>2866</v>
      </c>
      <c r="F153" s="169" t="s">
        <v>2938</v>
      </c>
      <c r="G153" s="170" t="s">
        <v>217</v>
      </c>
      <c r="H153" s="171">
        <v>2</v>
      </c>
      <c r="I153" s="172"/>
      <c r="J153" s="151">
        <v>0</v>
      </c>
      <c r="K153" s="174"/>
      <c r="L153" s="175"/>
      <c r="M153" s="176" t="s">
        <v>1</v>
      </c>
      <c r="N153" s="177" t="s">
        <v>35</v>
      </c>
      <c r="O153" s="58"/>
      <c r="P153" s="163">
        <f t="shared" si="9"/>
        <v>0</v>
      </c>
      <c r="Q153" s="163">
        <v>3.8969999999999998E-2</v>
      </c>
      <c r="R153" s="163">
        <f t="shared" si="10"/>
        <v>7.7939999999999995E-2</v>
      </c>
      <c r="S153" s="163">
        <v>0</v>
      </c>
      <c r="T153" s="164">
        <f t="shared" si="11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5" t="s">
        <v>197</v>
      </c>
      <c r="AT153" s="165" t="s">
        <v>202</v>
      </c>
      <c r="AU153" s="165" t="s">
        <v>82</v>
      </c>
      <c r="AY153" s="14" t="s">
        <v>179</v>
      </c>
      <c r="BE153" s="166">
        <f t="shared" si="12"/>
        <v>0</v>
      </c>
      <c r="BF153" s="166">
        <f t="shared" si="13"/>
        <v>0</v>
      </c>
      <c r="BG153" s="166">
        <f t="shared" si="14"/>
        <v>0</v>
      </c>
      <c r="BH153" s="166">
        <f t="shared" si="15"/>
        <v>0</v>
      </c>
      <c r="BI153" s="166">
        <f t="shared" si="16"/>
        <v>0</v>
      </c>
      <c r="BJ153" s="14" t="s">
        <v>82</v>
      </c>
      <c r="BK153" s="166">
        <f t="shared" si="17"/>
        <v>0</v>
      </c>
      <c r="BL153" s="14" t="s">
        <v>185</v>
      </c>
      <c r="BM153" s="165" t="s">
        <v>254</v>
      </c>
    </row>
    <row r="154" spans="1:65" s="2" customFormat="1" ht="24.2" customHeight="1">
      <c r="A154" s="29"/>
      <c r="B154" s="152"/>
      <c r="C154" s="167" t="s">
        <v>221</v>
      </c>
      <c r="D154" s="167" t="s">
        <v>202</v>
      </c>
      <c r="E154" s="168" t="s">
        <v>2908</v>
      </c>
      <c r="F154" s="169" t="s">
        <v>2939</v>
      </c>
      <c r="G154" s="170" t="s">
        <v>217</v>
      </c>
      <c r="H154" s="171">
        <v>5</v>
      </c>
      <c r="I154" s="172"/>
      <c r="J154" s="151">
        <v>0</v>
      </c>
      <c r="K154" s="174"/>
      <c r="L154" s="175"/>
      <c r="M154" s="176" t="s">
        <v>1</v>
      </c>
      <c r="N154" s="177" t="s">
        <v>35</v>
      </c>
      <c r="O154" s="58"/>
      <c r="P154" s="163">
        <f t="shared" si="9"/>
        <v>0</v>
      </c>
      <c r="Q154" s="163">
        <v>3.8969999999999998E-2</v>
      </c>
      <c r="R154" s="163">
        <f t="shared" si="10"/>
        <v>0.19485</v>
      </c>
      <c r="S154" s="163">
        <v>0</v>
      </c>
      <c r="T154" s="164">
        <f t="shared" si="11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5" t="s">
        <v>197</v>
      </c>
      <c r="AT154" s="165" t="s">
        <v>202</v>
      </c>
      <c r="AU154" s="165" t="s">
        <v>82</v>
      </c>
      <c r="AY154" s="14" t="s">
        <v>179</v>
      </c>
      <c r="BE154" s="166">
        <f t="shared" si="12"/>
        <v>0</v>
      </c>
      <c r="BF154" s="166">
        <f t="shared" si="13"/>
        <v>0</v>
      </c>
      <c r="BG154" s="166">
        <f t="shared" si="14"/>
        <v>0</v>
      </c>
      <c r="BH154" s="166">
        <f t="shared" si="15"/>
        <v>0</v>
      </c>
      <c r="BI154" s="166">
        <f t="shared" si="16"/>
        <v>0</v>
      </c>
      <c r="BJ154" s="14" t="s">
        <v>82</v>
      </c>
      <c r="BK154" s="166">
        <f t="shared" si="17"/>
        <v>0</v>
      </c>
      <c r="BL154" s="14" t="s">
        <v>185</v>
      </c>
      <c r="BM154" s="165" t="s">
        <v>257</v>
      </c>
    </row>
    <row r="155" spans="1:65" s="2" customFormat="1" ht="24.2" customHeight="1">
      <c r="A155" s="29"/>
      <c r="B155" s="152"/>
      <c r="C155" s="167" t="s">
        <v>258</v>
      </c>
      <c r="D155" s="167" t="s">
        <v>202</v>
      </c>
      <c r="E155" s="168" t="s">
        <v>2910</v>
      </c>
      <c r="F155" s="169" t="s">
        <v>2940</v>
      </c>
      <c r="G155" s="170" t="s">
        <v>217</v>
      </c>
      <c r="H155" s="171">
        <v>5</v>
      </c>
      <c r="I155" s="172"/>
      <c r="J155" s="151">
        <v>0</v>
      </c>
      <c r="K155" s="174"/>
      <c r="L155" s="175"/>
      <c r="M155" s="176" t="s">
        <v>1</v>
      </c>
      <c r="N155" s="177" t="s">
        <v>35</v>
      </c>
      <c r="O155" s="58"/>
      <c r="P155" s="163">
        <f t="shared" si="9"/>
        <v>0</v>
      </c>
      <c r="Q155" s="163">
        <v>3.8969999999999998E-2</v>
      </c>
      <c r="R155" s="163">
        <f t="shared" si="10"/>
        <v>0.19485</v>
      </c>
      <c r="S155" s="163">
        <v>0</v>
      </c>
      <c r="T155" s="164">
        <f t="shared" si="11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5" t="s">
        <v>197</v>
      </c>
      <c r="AT155" s="165" t="s">
        <v>202</v>
      </c>
      <c r="AU155" s="165" t="s">
        <v>82</v>
      </c>
      <c r="AY155" s="14" t="s">
        <v>179</v>
      </c>
      <c r="BE155" s="166">
        <f t="shared" si="12"/>
        <v>0</v>
      </c>
      <c r="BF155" s="166">
        <f t="shared" si="13"/>
        <v>0</v>
      </c>
      <c r="BG155" s="166">
        <f t="shared" si="14"/>
        <v>0</v>
      </c>
      <c r="BH155" s="166">
        <f t="shared" si="15"/>
        <v>0</v>
      </c>
      <c r="BI155" s="166">
        <f t="shared" si="16"/>
        <v>0</v>
      </c>
      <c r="BJ155" s="14" t="s">
        <v>82</v>
      </c>
      <c r="BK155" s="166">
        <f t="shared" si="17"/>
        <v>0</v>
      </c>
      <c r="BL155" s="14" t="s">
        <v>185</v>
      </c>
      <c r="BM155" s="165" t="s">
        <v>261</v>
      </c>
    </row>
    <row r="156" spans="1:65" s="2" customFormat="1" ht="24.2" customHeight="1">
      <c r="A156" s="29"/>
      <c r="B156" s="152"/>
      <c r="C156" s="167" t="s">
        <v>225</v>
      </c>
      <c r="D156" s="167" t="s">
        <v>202</v>
      </c>
      <c r="E156" s="168" t="s">
        <v>2870</v>
      </c>
      <c r="F156" s="169" t="s">
        <v>2941</v>
      </c>
      <c r="G156" s="170" t="s">
        <v>217</v>
      </c>
      <c r="H156" s="171">
        <v>4</v>
      </c>
      <c r="I156" s="172"/>
      <c r="J156" s="151">
        <v>0</v>
      </c>
      <c r="K156" s="174"/>
      <c r="L156" s="175"/>
      <c r="M156" s="176" t="s">
        <v>1</v>
      </c>
      <c r="N156" s="177" t="s">
        <v>35</v>
      </c>
      <c r="O156" s="58"/>
      <c r="P156" s="163">
        <f t="shared" si="9"/>
        <v>0</v>
      </c>
      <c r="Q156" s="163">
        <v>3.8969999999999998E-2</v>
      </c>
      <c r="R156" s="163">
        <f t="shared" si="10"/>
        <v>0.15587999999999999</v>
      </c>
      <c r="S156" s="163">
        <v>0</v>
      </c>
      <c r="T156" s="164">
        <f t="shared" si="11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5" t="s">
        <v>197</v>
      </c>
      <c r="AT156" s="165" t="s">
        <v>202</v>
      </c>
      <c r="AU156" s="165" t="s">
        <v>82</v>
      </c>
      <c r="AY156" s="14" t="s">
        <v>179</v>
      </c>
      <c r="BE156" s="166">
        <f t="shared" si="12"/>
        <v>0</v>
      </c>
      <c r="BF156" s="166">
        <f t="shared" si="13"/>
        <v>0</v>
      </c>
      <c r="BG156" s="166">
        <f t="shared" si="14"/>
        <v>0</v>
      </c>
      <c r="BH156" s="166">
        <f t="shared" si="15"/>
        <v>0</v>
      </c>
      <c r="BI156" s="166">
        <f t="shared" si="16"/>
        <v>0</v>
      </c>
      <c r="BJ156" s="14" t="s">
        <v>82</v>
      </c>
      <c r="BK156" s="166">
        <f t="shared" si="17"/>
        <v>0</v>
      </c>
      <c r="BL156" s="14" t="s">
        <v>185</v>
      </c>
      <c r="BM156" s="165" t="s">
        <v>265</v>
      </c>
    </row>
    <row r="157" spans="1:65" s="2" customFormat="1" ht="24.2" customHeight="1">
      <c r="A157" s="29"/>
      <c r="B157" s="152"/>
      <c r="C157" s="167" t="s">
        <v>7</v>
      </c>
      <c r="D157" s="167" t="s">
        <v>202</v>
      </c>
      <c r="E157" s="168" t="s">
        <v>2942</v>
      </c>
      <c r="F157" s="169" t="s">
        <v>2943</v>
      </c>
      <c r="G157" s="170" t="s">
        <v>217</v>
      </c>
      <c r="H157" s="171">
        <v>4</v>
      </c>
      <c r="I157" s="172"/>
      <c r="J157" s="151">
        <v>0</v>
      </c>
      <c r="K157" s="174"/>
      <c r="L157" s="175"/>
      <c r="M157" s="176" t="s">
        <v>1</v>
      </c>
      <c r="N157" s="177" t="s">
        <v>35</v>
      </c>
      <c r="O157" s="58"/>
      <c r="P157" s="163">
        <f t="shared" si="9"/>
        <v>0</v>
      </c>
      <c r="Q157" s="163">
        <v>3.8969999999999998E-2</v>
      </c>
      <c r="R157" s="163">
        <f t="shared" si="10"/>
        <v>0.15587999999999999</v>
      </c>
      <c r="S157" s="163">
        <v>0</v>
      </c>
      <c r="T157" s="164">
        <f t="shared" si="11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5" t="s">
        <v>197</v>
      </c>
      <c r="AT157" s="165" t="s">
        <v>202</v>
      </c>
      <c r="AU157" s="165" t="s">
        <v>82</v>
      </c>
      <c r="AY157" s="14" t="s">
        <v>179</v>
      </c>
      <c r="BE157" s="166">
        <f t="shared" si="12"/>
        <v>0</v>
      </c>
      <c r="BF157" s="166">
        <f t="shared" si="13"/>
        <v>0</v>
      </c>
      <c r="BG157" s="166">
        <f t="shared" si="14"/>
        <v>0</v>
      </c>
      <c r="BH157" s="166">
        <f t="shared" si="15"/>
        <v>0</v>
      </c>
      <c r="BI157" s="166">
        <f t="shared" si="16"/>
        <v>0</v>
      </c>
      <c r="BJ157" s="14" t="s">
        <v>82</v>
      </c>
      <c r="BK157" s="166">
        <f t="shared" si="17"/>
        <v>0</v>
      </c>
      <c r="BL157" s="14" t="s">
        <v>185</v>
      </c>
      <c r="BM157" s="165" t="s">
        <v>268</v>
      </c>
    </row>
    <row r="158" spans="1:65" s="2" customFormat="1" ht="24.2" customHeight="1">
      <c r="A158" s="29"/>
      <c r="B158" s="152"/>
      <c r="C158" s="167" t="s">
        <v>228</v>
      </c>
      <c r="D158" s="167" t="s">
        <v>202</v>
      </c>
      <c r="E158" s="168" t="s">
        <v>2872</v>
      </c>
      <c r="F158" s="169" t="s">
        <v>2944</v>
      </c>
      <c r="G158" s="170" t="s">
        <v>217</v>
      </c>
      <c r="H158" s="171">
        <v>4</v>
      </c>
      <c r="I158" s="172"/>
      <c r="J158" s="151">
        <v>0</v>
      </c>
      <c r="K158" s="174"/>
      <c r="L158" s="175"/>
      <c r="M158" s="176" t="s">
        <v>1</v>
      </c>
      <c r="N158" s="177" t="s">
        <v>35</v>
      </c>
      <c r="O158" s="58"/>
      <c r="P158" s="163">
        <f t="shared" si="9"/>
        <v>0</v>
      </c>
      <c r="Q158" s="163">
        <v>3.8969999999999998E-2</v>
      </c>
      <c r="R158" s="163">
        <f t="shared" si="10"/>
        <v>0.15587999999999999</v>
      </c>
      <c r="S158" s="163">
        <v>0</v>
      </c>
      <c r="T158" s="164">
        <f t="shared" si="11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5" t="s">
        <v>197</v>
      </c>
      <c r="AT158" s="165" t="s">
        <v>202</v>
      </c>
      <c r="AU158" s="165" t="s">
        <v>82</v>
      </c>
      <c r="AY158" s="14" t="s">
        <v>179</v>
      </c>
      <c r="BE158" s="166">
        <f t="shared" si="12"/>
        <v>0</v>
      </c>
      <c r="BF158" s="166">
        <f t="shared" si="13"/>
        <v>0</v>
      </c>
      <c r="BG158" s="166">
        <f t="shared" si="14"/>
        <v>0</v>
      </c>
      <c r="BH158" s="166">
        <f t="shared" si="15"/>
        <v>0</v>
      </c>
      <c r="BI158" s="166">
        <f t="shared" si="16"/>
        <v>0</v>
      </c>
      <c r="BJ158" s="14" t="s">
        <v>82</v>
      </c>
      <c r="BK158" s="166">
        <f t="shared" si="17"/>
        <v>0</v>
      </c>
      <c r="BL158" s="14" t="s">
        <v>185</v>
      </c>
      <c r="BM158" s="165" t="s">
        <v>271</v>
      </c>
    </row>
    <row r="159" spans="1:65" s="2" customFormat="1" ht="24.2" customHeight="1">
      <c r="A159" s="29"/>
      <c r="B159" s="152"/>
      <c r="C159" s="167" t="s">
        <v>272</v>
      </c>
      <c r="D159" s="167" t="s">
        <v>202</v>
      </c>
      <c r="E159" s="168" t="s">
        <v>2874</v>
      </c>
      <c r="F159" s="169" t="s">
        <v>2945</v>
      </c>
      <c r="G159" s="170" t="s">
        <v>217</v>
      </c>
      <c r="H159" s="171">
        <v>38</v>
      </c>
      <c r="I159" s="172"/>
      <c r="J159" s="151">
        <v>0</v>
      </c>
      <c r="K159" s="174"/>
      <c r="L159" s="175"/>
      <c r="M159" s="176" t="s">
        <v>1</v>
      </c>
      <c r="N159" s="177" t="s">
        <v>35</v>
      </c>
      <c r="O159" s="58"/>
      <c r="P159" s="163">
        <f t="shared" si="9"/>
        <v>0</v>
      </c>
      <c r="Q159" s="163">
        <v>3.8969999999999998E-2</v>
      </c>
      <c r="R159" s="163">
        <f t="shared" si="10"/>
        <v>1.4808599999999998</v>
      </c>
      <c r="S159" s="163">
        <v>0</v>
      </c>
      <c r="T159" s="164">
        <f t="shared" si="11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5" t="s">
        <v>197</v>
      </c>
      <c r="AT159" s="165" t="s">
        <v>202</v>
      </c>
      <c r="AU159" s="165" t="s">
        <v>82</v>
      </c>
      <c r="AY159" s="14" t="s">
        <v>179</v>
      </c>
      <c r="BE159" s="166">
        <f t="shared" si="12"/>
        <v>0</v>
      </c>
      <c r="BF159" s="166">
        <f t="shared" si="13"/>
        <v>0</v>
      </c>
      <c r="BG159" s="166">
        <f t="shared" si="14"/>
        <v>0</v>
      </c>
      <c r="BH159" s="166">
        <f t="shared" si="15"/>
        <v>0</v>
      </c>
      <c r="BI159" s="166">
        <f t="shared" si="16"/>
        <v>0</v>
      </c>
      <c r="BJ159" s="14" t="s">
        <v>82</v>
      </c>
      <c r="BK159" s="166">
        <f t="shared" si="17"/>
        <v>0</v>
      </c>
      <c r="BL159" s="14" t="s">
        <v>185</v>
      </c>
      <c r="BM159" s="165" t="s">
        <v>275</v>
      </c>
    </row>
    <row r="160" spans="1:65" s="2" customFormat="1" ht="24.2" customHeight="1">
      <c r="A160" s="29"/>
      <c r="B160" s="152"/>
      <c r="C160" s="167" t="s">
        <v>232</v>
      </c>
      <c r="D160" s="167" t="s">
        <v>202</v>
      </c>
      <c r="E160" s="168" t="s">
        <v>2876</v>
      </c>
      <c r="F160" s="169" t="s">
        <v>2877</v>
      </c>
      <c r="G160" s="170" t="s">
        <v>217</v>
      </c>
      <c r="H160" s="171">
        <v>1</v>
      </c>
      <c r="I160" s="172"/>
      <c r="J160" s="151">
        <v>0</v>
      </c>
      <c r="K160" s="174"/>
      <c r="L160" s="175"/>
      <c r="M160" s="176" t="s">
        <v>1</v>
      </c>
      <c r="N160" s="177" t="s">
        <v>35</v>
      </c>
      <c r="O160" s="58"/>
      <c r="P160" s="163">
        <f t="shared" si="9"/>
        <v>0</v>
      </c>
      <c r="Q160" s="163">
        <v>3.8969999999999998E-2</v>
      </c>
      <c r="R160" s="163">
        <f t="shared" si="10"/>
        <v>3.8969999999999998E-2</v>
      </c>
      <c r="S160" s="163">
        <v>0</v>
      </c>
      <c r="T160" s="164">
        <f t="shared" si="11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5" t="s">
        <v>197</v>
      </c>
      <c r="AT160" s="165" t="s">
        <v>202</v>
      </c>
      <c r="AU160" s="165" t="s">
        <v>82</v>
      </c>
      <c r="AY160" s="14" t="s">
        <v>179</v>
      </c>
      <c r="BE160" s="166">
        <f t="shared" si="12"/>
        <v>0</v>
      </c>
      <c r="BF160" s="166">
        <f t="shared" si="13"/>
        <v>0</v>
      </c>
      <c r="BG160" s="166">
        <f t="shared" si="14"/>
        <v>0</v>
      </c>
      <c r="BH160" s="166">
        <f t="shared" si="15"/>
        <v>0</v>
      </c>
      <c r="BI160" s="166">
        <f t="shared" si="16"/>
        <v>0</v>
      </c>
      <c r="BJ160" s="14" t="s">
        <v>82</v>
      </c>
      <c r="BK160" s="166">
        <f t="shared" si="17"/>
        <v>0</v>
      </c>
      <c r="BL160" s="14" t="s">
        <v>185</v>
      </c>
      <c r="BM160" s="165" t="s">
        <v>279</v>
      </c>
    </row>
    <row r="161" spans="1:65" s="2" customFormat="1" ht="24.2" customHeight="1">
      <c r="A161" s="29"/>
      <c r="B161" s="152"/>
      <c r="C161" s="167" t="s">
        <v>280</v>
      </c>
      <c r="D161" s="167" t="s">
        <v>202</v>
      </c>
      <c r="E161" s="168" t="s">
        <v>2878</v>
      </c>
      <c r="F161" s="169" t="s">
        <v>2879</v>
      </c>
      <c r="G161" s="170" t="s">
        <v>293</v>
      </c>
      <c r="H161" s="171">
        <v>120</v>
      </c>
      <c r="I161" s="172"/>
      <c r="J161" s="151">
        <v>0</v>
      </c>
      <c r="K161" s="174"/>
      <c r="L161" s="175"/>
      <c r="M161" s="176" t="s">
        <v>1</v>
      </c>
      <c r="N161" s="177" t="s">
        <v>35</v>
      </c>
      <c r="O161" s="58"/>
      <c r="P161" s="163">
        <f t="shared" si="9"/>
        <v>0</v>
      </c>
      <c r="Q161" s="163">
        <v>3.8969999999999998E-2</v>
      </c>
      <c r="R161" s="163">
        <f t="shared" si="10"/>
        <v>4.6764000000000001</v>
      </c>
      <c r="S161" s="163">
        <v>0</v>
      </c>
      <c r="T161" s="164">
        <f t="shared" si="11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5" t="s">
        <v>197</v>
      </c>
      <c r="AT161" s="165" t="s">
        <v>202</v>
      </c>
      <c r="AU161" s="165" t="s">
        <v>82</v>
      </c>
      <c r="AY161" s="14" t="s">
        <v>179</v>
      </c>
      <c r="BE161" s="166">
        <f t="shared" si="12"/>
        <v>0</v>
      </c>
      <c r="BF161" s="166">
        <f t="shared" si="13"/>
        <v>0</v>
      </c>
      <c r="BG161" s="166">
        <f t="shared" si="14"/>
        <v>0</v>
      </c>
      <c r="BH161" s="166">
        <f t="shared" si="15"/>
        <v>0</v>
      </c>
      <c r="BI161" s="166">
        <f t="shared" si="16"/>
        <v>0</v>
      </c>
      <c r="BJ161" s="14" t="s">
        <v>82</v>
      </c>
      <c r="BK161" s="166">
        <f t="shared" si="17"/>
        <v>0</v>
      </c>
      <c r="BL161" s="14" t="s">
        <v>185</v>
      </c>
      <c r="BM161" s="165" t="s">
        <v>283</v>
      </c>
    </row>
    <row r="162" spans="1:65" s="12" customFormat="1" ht="22.9" customHeight="1">
      <c r="B162" s="139"/>
      <c r="D162" s="140" t="s">
        <v>68</v>
      </c>
      <c r="E162" s="150" t="s">
        <v>214</v>
      </c>
      <c r="F162" s="150" t="s">
        <v>1010</v>
      </c>
      <c r="I162" s="142"/>
      <c r="J162" s="151">
        <v>0</v>
      </c>
      <c r="L162" s="139"/>
      <c r="M162" s="144"/>
      <c r="N162" s="145"/>
      <c r="O162" s="145"/>
      <c r="P162" s="146">
        <f>SUM(P163:P168)</f>
        <v>0</v>
      </c>
      <c r="Q162" s="145"/>
      <c r="R162" s="146">
        <f>SUM(R163:R168)</f>
        <v>0</v>
      </c>
      <c r="S162" s="145"/>
      <c r="T162" s="147">
        <f>SUM(T163:T168)</f>
        <v>0</v>
      </c>
      <c r="AR162" s="140" t="s">
        <v>76</v>
      </c>
      <c r="AT162" s="148" t="s">
        <v>68</v>
      </c>
      <c r="AU162" s="148" t="s">
        <v>76</v>
      </c>
      <c r="AY162" s="140" t="s">
        <v>179</v>
      </c>
      <c r="BK162" s="149">
        <f>SUM(BK163:BK168)</f>
        <v>0</v>
      </c>
    </row>
    <row r="163" spans="1:65" s="2" customFormat="1" ht="33" customHeight="1">
      <c r="A163" s="29"/>
      <c r="B163" s="152"/>
      <c r="C163" s="153" t="s">
        <v>235</v>
      </c>
      <c r="D163" s="153" t="s">
        <v>181</v>
      </c>
      <c r="E163" s="154" t="s">
        <v>2136</v>
      </c>
      <c r="F163" s="155" t="s">
        <v>2882</v>
      </c>
      <c r="G163" s="156" t="s">
        <v>217</v>
      </c>
      <c r="H163" s="157">
        <v>2</v>
      </c>
      <c r="I163" s="158"/>
      <c r="J163" s="151">
        <v>0</v>
      </c>
      <c r="K163" s="160"/>
      <c r="L163" s="30"/>
      <c r="M163" s="161" t="s">
        <v>1</v>
      </c>
      <c r="N163" s="162" t="s">
        <v>35</v>
      </c>
      <c r="O163" s="58"/>
      <c r="P163" s="163">
        <f t="shared" ref="P163:P168" si="18">O163*H163</f>
        <v>0</v>
      </c>
      <c r="Q163" s="163">
        <v>0</v>
      </c>
      <c r="R163" s="163">
        <f t="shared" ref="R163:R168" si="19">Q163*H163</f>
        <v>0</v>
      </c>
      <c r="S163" s="163">
        <v>0</v>
      </c>
      <c r="T163" s="164">
        <f t="shared" ref="T163:T168" si="20">S163*H163</f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5" t="s">
        <v>185</v>
      </c>
      <c r="AT163" s="165" t="s">
        <v>181</v>
      </c>
      <c r="AU163" s="165" t="s">
        <v>82</v>
      </c>
      <c r="AY163" s="14" t="s">
        <v>179</v>
      </c>
      <c r="BE163" s="166">
        <f t="shared" ref="BE163:BE168" si="21">IF(N163="základná",J163,0)</f>
        <v>0</v>
      </c>
      <c r="BF163" s="166">
        <f t="shared" ref="BF163:BF168" si="22">IF(N163="znížená",J163,0)</f>
        <v>0</v>
      </c>
      <c r="BG163" s="166">
        <f t="shared" ref="BG163:BG168" si="23">IF(N163="zákl. prenesená",J163,0)</f>
        <v>0</v>
      </c>
      <c r="BH163" s="166">
        <f t="shared" ref="BH163:BH168" si="24">IF(N163="zníž. prenesená",J163,0)</f>
        <v>0</v>
      </c>
      <c r="BI163" s="166">
        <f t="shared" ref="BI163:BI168" si="25">IF(N163="nulová",J163,0)</f>
        <v>0</v>
      </c>
      <c r="BJ163" s="14" t="s">
        <v>82</v>
      </c>
      <c r="BK163" s="166">
        <f t="shared" ref="BK163:BK168" si="26">ROUND(I163*H163,2)</f>
        <v>0</v>
      </c>
      <c r="BL163" s="14" t="s">
        <v>185</v>
      </c>
      <c r="BM163" s="165" t="s">
        <v>286</v>
      </c>
    </row>
    <row r="164" spans="1:65" s="2" customFormat="1" ht="21.75" customHeight="1">
      <c r="A164" s="29"/>
      <c r="B164" s="152"/>
      <c r="C164" s="153" t="s">
        <v>287</v>
      </c>
      <c r="D164" s="153" t="s">
        <v>181</v>
      </c>
      <c r="E164" s="154" t="s">
        <v>2138</v>
      </c>
      <c r="F164" s="155" t="s">
        <v>1019</v>
      </c>
      <c r="G164" s="156" t="s">
        <v>191</v>
      </c>
      <c r="H164" s="157">
        <v>15.661</v>
      </c>
      <c r="I164" s="158"/>
      <c r="J164" s="151">
        <v>0</v>
      </c>
      <c r="K164" s="160"/>
      <c r="L164" s="30"/>
      <c r="M164" s="161" t="s">
        <v>1</v>
      </c>
      <c r="N164" s="162" t="s">
        <v>35</v>
      </c>
      <c r="O164" s="58"/>
      <c r="P164" s="163">
        <f t="shared" si="18"/>
        <v>0</v>
      </c>
      <c r="Q164" s="163">
        <v>0</v>
      </c>
      <c r="R164" s="163">
        <f t="shared" si="19"/>
        <v>0</v>
      </c>
      <c r="S164" s="163">
        <v>0</v>
      </c>
      <c r="T164" s="164">
        <f t="shared" si="20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5" t="s">
        <v>185</v>
      </c>
      <c r="AT164" s="165" t="s">
        <v>181</v>
      </c>
      <c r="AU164" s="165" t="s">
        <v>82</v>
      </c>
      <c r="AY164" s="14" t="s">
        <v>179</v>
      </c>
      <c r="BE164" s="166">
        <f t="shared" si="21"/>
        <v>0</v>
      </c>
      <c r="BF164" s="166">
        <f t="shared" si="22"/>
        <v>0</v>
      </c>
      <c r="BG164" s="166">
        <f t="shared" si="23"/>
        <v>0</v>
      </c>
      <c r="BH164" s="166">
        <f t="shared" si="24"/>
        <v>0</v>
      </c>
      <c r="BI164" s="166">
        <f t="shared" si="25"/>
        <v>0</v>
      </c>
      <c r="BJ164" s="14" t="s">
        <v>82</v>
      </c>
      <c r="BK164" s="166">
        <f t="shared" si="26"/>
        <v>0</v>
      </c>
      <c r="BL164" s="14" t="s">
        <v>185</v>
      </c>
      <c r="BM164" s="165" t="s">
        <v>290</v>
      </c>
    </row>
    <row r="165" spans="1:65" s="2" customFormat="1" ht="24.2" customHeight="1">
      <c r="A165" s="29"/>
      <c r="B165" s="152"/>
      <c r="C165" s="153" t="s">
        <v>239</v>
      </c>
      <c r="D165" s="153" t="s">
        <v>181</v>
      </c>
      <c r="E165" s="154" t="s">
        <v>2139</v>
      </c>
      <c r="F165" s="155" t="s">
        <v>2140</v>
      </c>
      <c r="G165" s="156" t="s">
        <v>191</v>
      </c>
      <c r="H165" s="157">
        <v>15.661</v>
      </c>
      <c r="I165" s="158"/>
      <c r="J165" s="151">
        <v>0</v>
      </c>
      <c r="K165" s="160"/>
      <c r="L165" s="30"/>
      <c r="M165" s="161" t="s">
        <v>1</v>
      </c>
      <c r="N165" s="162" t="s">
        <v>35</v>
      </c>
      <c r="O165" s="58"/>
      <c r="P165" s="163">
        <f t="shared" si="18"/>
        <v>0</v>
      </c>
      <c r="Q165" s="163">
        <v>0</v>
      </c>
      <c r="R165" s="163">
        <f t="shared" si="19"/>
        <v>0</v>
      </c>
      <c r="S165" s="163">
        <v>0</v>
      </c>
      <c r="T165" s="164">
        <f t="shared" si="20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5" t="s">
        <v>185</v>
      </c>
      <c r="AT165" s="165" t="s">
        <v>181</v>
      </c>
      <c r="AU165" s="165" t="s">
        <v>82</v>
      </c>
      <c r="AY165" s="14" t="s">
        <v>179</v>
      </c>
      <c r="BE165" s="166">
        <f t="shared" si="21"/>
        <v>0</v>
      </c>
      <c r="BF165" s="166">
        <f t="shared" si="22"/>
        <v>0</v>
      </c>
      <c r="BG165" s="166">
        <f t="shared" si="23"/>
        <v>0</v>
      </c>
      <c r="BH165" s="166">
        <f t="shared" si="24"/>
        <v>0</v>
      </c>
      <c r="BI165" s="166">
        <f t="shared" si="25"/>
        <v>0</v>
      </c>
      <c r="BJ165" s="14" t="s">
        <v>82</v>
      </c>
      <c r="BK165" s="166">
        <f t="shared" si="26"/>
        <v>0</v>
      </c>
      <c r="BL165" s="14" t="s">
        <v>185</v>
      </c>
      <c r="BM165" s="165" t="s">
        <v>294</v>
      </c>
    </row>
    <row r="166" spans="1:65" s="2" customFormat="1" ht="24.2" customHeight="1">
      <c r="A166" s="29"/>
      <c r="B166" s="152"/>
      <c r="C166" s="153" t="s">
        <v>295</v>
      </c>
      <c r="D166" s="153" t="s">
        <v>181</v>
      </c>
      <c r="E166" s="154" t="s">
        <v>525</v>
      </c>
      <c r="F166" s="155" t="s">
        <v>526</v>
      </c>
      <c r="G166" s="156" t="s">
        <v>191</v>
      </c>
      <c r="H166" s="157">
        <v>15.661</v>
      </c>
      <c r="I166" s="158"/>
      <c r="J166" s="151">
        <v>0</v>
      </c>
      <c r="K166" s="160"/>
      <c r="L166" s="30"/>
      <c r="M166" s="161" t="s">
        <v>1</v>
      </c>
      <c r="N166" s="162" t="s">
        <v>35</v>
      </c>
      <c r="O166" s="58"/>
      <c r="P166" s="163">
        <f t="shared" si="18"/>
        <v>0</v>
      </c>
      <c r="Q166" s="163">
        <v>0</v>
      </c>
      <c r="R166" s="163">
        <f t="shared" si="19"/>
        <v>0</v>
      </c>
      <c r="S166" s="163">
        <v>0</v>
      </c>
      <c r="T166" s="164">
        <f t="shared" si="20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5" t="s">
        <v>185</v>
      </c>
      <c r="AT166" s="165" t="s">
        <v>181</v>
      </c>
      <c r="AU166" s="165" t="s">
        <v>82</v>
      </c>
      <c r="AY166" s="14" t="s">
        <v>179</v>
      </c>
      <c r="BE166" s="166">
        <f t="shared" si="21"/>
        <v>0</v>
      </c>
      <c r="BF166" s="166">
        <f t="shared" si="22"/>
        <v>0</v>
      </c>
      <c r="BG166" s="166">
        <f t="shared" si="23"/>
        <v>0</v>
      </c>
      <c r="BH166" s="166">
        <f t="shared" si="24"/>
        <v>0</v>
      </c>
      <c r="BI166" s="166">
        <f t="shared" si="25"/>
        <v>0</v>
      </c>
      <c r="BJ166" s="14" t="s">
        <v>82</v>
      </c>
      <c r="BK166" s="166">
        <f t="shared" si="26"/>
        <v>0</v>
      </c>
      <c r="BL166" s="14" t="s">
        <v>185</v>
      </c>
      <c r="BM166" s="165" t="s">
        <v>298</v>
      </c>
    </row>
    <row r="167" spans="1:65" s="2" customFormat="1" ht="24.2" customHeight="1">
      <c r="A167" s="29"/>
      <c r="B167" s="152"/>
      <c r="C167" s="153" t="s">
        <v>242</v>
      </c>
      <c r="D167" s="153" t="s">
        <v>181</v>
      </c>
      <c r="E167" s="154" t="s">
        <v>1024</v>
      </c>
      <c r="F167" s="155" t="s">
        <v>1025</v>
      </c>
      <c r="G167" s="156" t="s">
        <v>191</v>
      </c>
      <c r="H167" s="157">
        <v>15.397</v>
      </c>
      <c r="I167" s="158"/>
      <c r="J167" s="151">
        <v>0</v>
      </c>
      <c r="K167" s="160"/>
      <c r="L167" s="30"/>
      <c r="M167" s="161" t="s">
        <v>1</v>
      </c>
      <c r="N167" s="162" t="s">
        <v>35</v>
      </c>
      <c r="O167" s="58"/>
      <c r="P167" s="163">
        <f t="shared" si="18"/>
        <v>0</v>
      </c>
      <c r="Q167" s="163">
        <v>0</v>
      </c>
      <c r="R167" s="163">
        <f t="shared" si="19"/>
        <v>0</v>
      </c>
      <c r="S167" s="163">
        <v>0</v>
      </c>
      <c r="T167" s="164">
        <f t="shared" si="20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5" t="s">
        <v>185</v>
      </c>
      <c r="AT167" s="165" t="s">
        <v>181</v>
      </c>
      <c r="AU167" s="165" t="s">
        <v>82</v>
      </c>
      <c r="AY167" s="14" t="s">
        <v>179</v>
      </c>
      <c r="BE167" s="166">
        <f t="shared" si="21"/>
        <v>0</v>
      </c>
      <c r="BF167" s="166">
        <f t="shared" si="22"/>
        <v>0</v>
      </c>
      <c r="BG167" s="166">
        <f t="shared" si="23"/>
        <v>0</v>
      </c>
      <c r="BH167" s="166">
        <f t="shared" si="24"/>
        <v>0</v>
      </c>
      <c r="BI167" s="166">
        <f t="shared" si="25"/>
        <v>0</v>
      </c>
      <c r="BJ167" s="14" t="s">
        <v>82</v>
      </c>
      <c r="BK167" s="166">
        <f t="shared" si="26"/>
        <v>0</v>
      </c>
      <c r="BL167" s="14" t="s">
        <v>185</v>
      </c>
      <c r="BM167" s="165" t="s">
        <v>301</v>
      </c>
    </row>
    <row r="168" spans="1:65" s="2" customFormat="1" ht="37.9" customHeight="1">
      <c r="A168" s="29"/>
      <c r="B168" s="152"/>
      <c r="C168" s="153" t="s">
        <v>302</v>
      </c>
      <c r="D168" s="153" t="s">
        <v>181</v>
      </c>
      <c r="E168" s="154" t="s">
        <v>2141</v>
      </c>
      <c r="F168" s="155" t="s">
        <v>2142</v>
      </c>
      <c r="G168" s="156" t="s">
        <v>191</v>
      </c>
      <c r="H168" s="157">
        <v>0.26400000000000001</v>
      </c>
      <c r="I168" s="158"/>
      <c r="J168" s="151">
        <v>0</v>
      </c>
      <c r="K168" s="160"/>
      <c r="L168" s="30"/>
      <c r="M168" s="161" t="s">
        <v>1</v>
      </c>
      <c r="N168" s="162" t="s">
        <v>35</v>
      </c>
      <c r="O168" s="58"/>
      <c r="P168" s="163">
        <f t="shared" si="18"/>
        <v>0</v>
      </c>
      <c r="Q168" s="163">
        <v>0</v>
      </c>
      <c r="R168" s="163">
        <f t="shared" si="19"/>
        <v>0</v>
      </c>
      <c r="S168" s="163">
        <v>0</v>
      </c>
      <c r="T168" s="164">
        <f t="shared" si="20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5" t="s">
        <v>185</v>
      </c>
      <c r="AT168" s="165" t="s">
        <v>181</v>
      </c>
      <c r="AU168" s="165" t="s">
        <v>82</v>
      </c>
      <c r="AY168" s="14" t="s">
        <v>179</v>
      </c>
      <c r="BE168" s="166">
        <f t="shared" si="21"/>
        <v>0</v>
      </c>
      <c r="BF168" s="166">
        <f t="shared" si="22"/>
        <v>0</v>
      </c>
      <c r="BG168" s="166">
        <f t="shared" si="23"/>
        <v>0</v>
      </c>
      <c r="BH168" s="166">
        <f t="shared" si="24"/>
        <v>0</v>
      </c>
      <c r="BI168" s="166">
        <f t="shared" si="25"/>
        <v>0</v>
      </c>
      <c r="BJ168" s="14" t="s">
        <v>82</v>
      </c>
      <c r="BK168" s="166">
        <f t="shared" si="26"/>
        <v>0</v>
      </c>
      <c r="BL168" s="14" t="s">
        <v>185</v>
      </c>
      <c r="BM168" s="165" t="s">
        <v>305</v>
      </c>
    </row>
    <row r="169" spans="1:65" s="12" customFormat="1" ht="22.9" customHeight="1">
      <c r="B169" s="139"/>
      <c r="D169" s="140" t="s">
        <v>68</v>
      </c>
      <c r="E169" s="150" t="s">
        <v>535</v>
      </c>
      <c r="F169" s="150" t="s">
        <v>2883</v>
      </c>
      <c r="I169" s="142"/>
      <c r="J169" s="151">
        <v>0</v>
      </c>
      <c r="L169" s="139"/>
      <c r="M169" s="144"/>
      <c r="N169" s="145"/>
      <c r="O169" s="145"/>
      <c r="P169" s="146">
        <f>SUM(P170:P171)</f>
        <v>0</v>
      </c>
      <c r="Q169" s="145"/>
      <c r="R169" s="146">
        <f>SUM(R170:R171)</f>
        <v>0</v>
      </c>
      <c r="S169" s="145"/>
      <c r="T169" s="147">
        <f>SUM(T170:T171)</f>
        <v>0</v>
      </c>
      <c r="AR169" s="140" t="s">
        <v>76</v>
      </c>
      <c r="AT169" s="148" t="s">
        <v>68</v>
      </c>
      <c r="AU169" s="148" t="s">
        <v>76</v>
      </c>
      <c r="AY169" s="140" t="s">
        <v>179</v>
      </c>
      <c r="BK169" s="149">
        <f>SUM(BK170:BK171)</f>
        <v>0</v>
      </c>
    </row>
    <row r="170" spans="1:65" s="2" customFormat="1" ht="24.2" customHeight="1">
      <c r="A170" s="29"/>
      <c r="B170" s="152"/>
      <c r="C170" s="153" t="s">
        <v>246</v>
      </c>
      <c r="D170" s="153" t="s">
        <v>181</v>
      </c>
      <c r="E170" s="154" t="s">
        <v>2884</v>
      </c>
      <c r="F170" s="155" t="s">
        <v>2885</v>
      </c>
      <c r="G170" s="156" t="s">
        <v>191</v>
      </c>
      <c r="H170" s="157">
        <v>16.178999999999998</v>
      </c>
      <c r="I170" s="158"/>
      <c r="J170" s="151">
        <v>0</v>
      </c>
      <c r="K170" s="160"/>
      <c r="L170" s="30"/>
      <c r="M170" s="161" t="s">
        <v>1</v>
      </c>
      <c r="N170" s="162" t="s">
        <v>35</v>
      </c>
      <c r="O170" s="58"/>
      <c r="P170" s="163">
        <f>O170*H170</f>
        <v>0</v>
      </c>
      <c r="Q170" s="163">
        <v>0</v>
      </c>
      <c r="R170" s="163">
        <f>Q170*H170</f>
        <v>0</v>
      </c>
      <c r="S170" s="163">
        <v>0</v>
      </c>
      <c r="T170" s="164">
        <f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5" t="s">
        <v>185</v>
      </c>
      <c r="AT170" s="165" t="s">
        <v>181</v>
      </c>
      <c r="AU170" s="165" t="s">
        <v>82</v>
      </c>
      <c r="AY170" s="14" t="s">
        <v>179</v>
      </c>
      <c r="BE170" s="166">
        <f>IF(N170="základná",J170,0)</f>
        <v>0</v>
      </c>
      <c r="BF170" s="166">
        <f>IF(N170="znížená",J170,0)</f>
        <v>0</v>
      </c>
      <c r="BG170" s="166">
        <f>IF(N170="zákl. prenesená",J170,0)</f>
        <v>0</v>
      </c>
      <c r="BH170" s="166">
        <f>IF(N170="zníž. prenesená",J170,0)</f>
        <v>0</v>
      </c>
      <c r="BI170" s="166">
        <f>IF(N170="nulová",J170,0)</f>
        <v>0</v>
      </c>
      <c r="BJ170" s="14" t="s">
        <v>82</v>
      </c>
      <c r="BK170" s="166">
        <f>ROUND(I170*H170,2)</f>
        <v>0</v>
      </c>
      <c r="BL170" s="14" t="s">
        <v>185</v>
      </c>
      <c r="BM170" s="165" t="s">
        <v>308</v>
      </c>
    </row>
    <row r="171" spans="1:65" s="2" customFormat="1" ht="44.25" customHeight="1">
      <c r="A171" s="29"/>
      <c r="B171" s="152"/>
      <c r="C171" s="153" t="s">
        <v>309</v>
      </c>
      <c r="D171" s="153" t="s">
        <v>181</v>
      </c>
      <c r="E171" s="154" t="s">
        <v>2886</v>
      </c>
      <c r="F171" s="155" t="s">
        <v>2887</v>
      </c>
      <c r="G171" s="156" t="s">
        <v>191</v>
      </c>
      <c r="H171" s="157">
        <v>16.178999999999998</v>
      </c>
      <c r="I171" s="158"/>
      <c r="J171" s="151">
        <v>0</v>
      </c>
      <c r="K171" s="160"/>
      <c r="L171" s="30"/>
      <c r="M171" s="161" t="s">
        <v>1</v>
      </c>
      <c r="N171" s="162" t="s">
        <v>35</v>
      </c>
      <c r="O171" s="58"/>
      <c r="P171" s="163">
        <f>O171*H171</f>
        <v>0</v>
      </c>
      <c r="Q171" s="163">
        <v>0</v>
      </c>
      <c r="R171" s="163">
        <f>Q171*H171</f>
        <v>0</v>
      </c>
      <c r="S171" s="163">
        <v>0</v>
      </c>
      <c r="T171" s="164">
        <f>S171*H171</f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5" t="s">
        <v>185</v>
      </c>
      <c r="AT171" s="165" t="s">
        <v>181</v>
      </c>
      <c r="AU171" s="165" t="s">
        <v>82</v>
      </c>
      <c r="AY171" s="14" t="s">
        <v>179</v>
      </c>
      <c r="BE171" s="166">
        <f>IF(N171="základná",J171,0)</f>
        <v>0</v>
      </c>
      <c r="BF171" s="166">
        <f>IF(N171="znížená",J171,0)</f>
        <v>0</v>
      </c>
      <c r="BG171" s="166">
        <f>IF(N171="zákl. prenesená",J171,0)</f>
        <v>0</v>
      </c>
      <c r="BH171" s="166">
        <f>IF(N171="zníž. prenesená",J171,0)</f>
        <v>0</v>
      </c>
      <c r="BI171" s="166">
        <f>IF(N171="nulová",J171,0)</f>
        <v>0</v>
      </c>
      <c r="BJ171" s="14" t="s">
        <v>82</v>
      </c>
      <c r="BK171" s="166">
        <f>ROUND(I171*H171,2)</f>
        <v>0</v>
      </c>
      <c r="BL171" s="14" t="s">
        <v>185</v>
      </c>
      <c r="BM171" s="165" t="s">
        <v>312</v>
      </c>
    </row>
    <row r="172" spans="1:65" s="12" customFormat="1" ht="25.9" customHeight="1">
      <c r="B172" s="139"/>
      <c r="D172" s="140" t="s">
        <v>68</v>
      </c>
      <c r="E172" s="141" t="s">
        <v>554</v>
      </c>
      <c r="F172" s="141" t="s">
        <v>1026</v>
      </c>
      <c r="I172" s="142"/>
      <c r="J172" s="151">
        <v>0</v>
      </c>
      <c r="L172" s="139"/>
      <c r="M172" s="144"/>
      <c r="N172" s="145"/>
      <c r="O172" s="145"/>
      <c r="P172" s="146">
        <f>P173+P178</f>
        <v>0</v>
      </c>
      <c r="Q172" s="145"/>
      <c r="R172" s="146">
        <f>R173+R178</f>
        <v>0.14807999999999988</v>
      </c>
      <c r="S172" s="145"/>
      <c r="T172" s="147">
        <f>T173+T178</f>
        <v>0</v>
      </c>
      <c r="AR172" s="140" t="s">
        <v>82</v>
      </c>
      <c r="AT172" s="148" t="s">
        <v>68</v>
      </c>
      <c r="AU172" s="148" t="s">
        <v>69</v>
      </c>
      <c r="AY172" s="140" t="s">
        <v>179</v>
      </c>
      <c r="BK172" s="149">
        <f>BK173+BK178</f>
        <v>0</v>
      </c>
    </row>
    <row r="173" spans="1:65" s="12" customFormat="1" ht="22.9" customHeight="1">
      <c r="B173" s="139"/>
      <c r="D173" s="140" t="s">
        <v>68</v>
      </c>
      <c r="E173" s="150" t="s">
        <v>600</v>
      </c>
      <c r="F173" s="150" t="s">
        <v>1027</v>
      </c>
      <c r="I173" s="142"/>
      <c r="J173" s="151">
        <v>0</v>
      </c>
      <c r="L173" s="139"/>
      <c r="M173" s="144"/>
      <c r="N173" s="145"/>
      <c r="O173" s="145"/>
      <c r="P173" s="146">
        <f>SUM(P174:P177)</f>
        <v>0</v>
      </c>
      <c r="Q173" s="145"/>
      <c r="R173" s="146">
        <f>SUM(R174:R177)</f>
        <v>8.7540000000000007E-2</v>
      </c>
      <c r="S173" s="145"/>
      <c r="T173" s="147">
        <f>SUM(T174:T177)</f>
        <v>0</v>
      </c>
      <c r="AR173" s="140" t="s">
        <v>82</v>
      </c>
      <c r="AT173" s="148" t="s">
        <v>68</v>
      </c>
      <c r="AU173" s="148" t="s">
        <v>76</v>
      </c>
      <c r="AY173" s="140" t="s">
        <v>179</v>
      </c>
      <c r="BK173" s="149">
        <f>SUM(BK174:BK177)</f>
        <v>0</v>
      </c>
    </row>
    <row r="174" spans="1:65" s="2" customFormat="1" ht="33" customHeight="1">
      <c r="A174" s="29"/>
      <c r="B174" s="152"/>
      <c r="C174" s="153" t="s">
        <v>250</v>
      </c>
      <c r="D174" s="153" t="s">
        <v>181</v>
      </c>
      <c r="E174" s="154" t="s">
        <v>2143</v>
      </c>
      <c r="F174" s="155" t="s">
        <v>2144</v>
      </c>
      <c r="G174" s="156" t="s">
        <v>184</v>
      </c>
      <c r="H174" s="157">
        <v>226.1</v>
      </c>
      <c r="I174" s="158"/>
      <c r="J174" s="151">
        <v>0</v>
      </c>
      <c r="K174" s="160"/>
      <c r="L174" s="30"/>
      <c r="M174" s="161" t="s">
        <v>1</v>
      </c>
      <c r="N174" s="162" t="s">
        <v>35</v>
      </c>
      <c r="O174" s="58"/>
      <c r="P174" s="163">
        <f>O174*H174</f>
        <v>0</v>
      </c>
      <c r="Q174" s="163">
        <v>0</v>
      </c>
      <c r="R174" s="163">
        <f>Q174*H174</f>
        <v>0</v>
      </c>
      <c r="S174" s="163">
        <v>0</v>
      </c>
      <c r="T174" s="164">
        <f>S174*H174</f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5" t="s">
        <v>213</v>
      </c>
      <c r="AT174" s="165" t="s">
        <v>181</v>
      </c>
      <c r="AU174" s="165" t="s">
        <v>82</v>
      </c>
      <c r="AY174" s="14" t="s">
        <v>179</v>
      </c>
      <c r="BE174" s="166">
        <f>IF(N174="základná",J174,0)</f>
        <v>0</v>
      </c>
      <c r="BF174" s="166">
        <f>IF(N174="znížená",J174,0)</f>
        <v>0</v>
      </c>
      <c r="BG174" s="166">
        <f>IF(N174="zákl. prenesená",J174,0)</f>
        <v>0</v>
      </c>
      <c r="BH174" s="166">
        <f>IF(N174="zníž. prenesená",J174,0)</f>
        <v>0</v>
      </c>
      <c r="BI174" s="166">
        <f>IF(N174="nulová",J174,0)</f>
        <v>0</v>
      </c>
      <c r="BJ174" s="14" t="s">
        <v>82</v>
      </c>
      <c r="BK174" s="166">
        <f>ROUND(I174*H174,2)</f>
        <v>0</v>
      </c>
      <c r="BL174" s="14" t="s">
        <v>213</v>
      </c>
      <c r="BM174" s="165" t="s">
        <v>315</v>
      </c>
    </row>
    <row r="175" spans="1:65" s="2" customFormat="1" ht="33" customHeight="1">
      <c r="A175" s="29"/>
      <c r="B175" s="152"/>
      <c r="C175" s="153" t="s">
        <v>316</v>
      </c>
      <c r="D175" s="153" t="s">
        <v>181</v>
      </c>
      <c r="E175" s="154" t="s">
        <v>2888</v>
      </c>
      <c r="F175" s="155" t="s">
        <v>2889</v>
      </c>
      <c r="G175" s="156" t="s">
        <v>184</v>
      </c>
      <c r="H175" s="157">
        <v>12.4</v>
      </c>
      <c r="I175" s="158"/>
      <c r="J175" s="151">
        <v>0</v>
      </c>
      <c r="K175" s="160"/>
      <c r="L175" s="30"/>
      <c r="M175" s="161" t="s">
        <v>1</v>
      </c>
      <c r="N175" s="162" t="s">
        <v>35</v>
      </c>
      <c r="O175" s="58"/>
      <c r="P175" s="163">
        <f>O175*H175</f>
        <v>0</v>
      </c>
      <c r="Q175" s="163">
        <v>7.5967741935483899E-4</v>
      </c>
      <c r="R175" s="163">
        <f>Q175*H175</f>
        <v>9.420000000000003E-3</v>
      </c>
      <c r="S175" s="163">
        <v>0</v>
      </c>
      <c r="T175" s="164">
        <f>S175*H175</f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5" t="s">
        <v>213</v>
      </c>
      <c r="AT175" s="165" t="s">
        <v>181</v>
      </c>
      <c r="AU175" s="165" t="s">
        <v>82</v>
      </c>
      <c r="AY175" s="14" t="s">
        <v>179</v>
      </c>
      <c r="BE175" s="166">
        <f>IF(N175="základná",J175,0)</f>
        <v>0</v>
      </c>
      <c r="BF175" s="166">
        <f>IF(N175="znížená",J175,0)</f>
        <v>0</v>
      </c>
      <c r="BG175" s="166">
        <f>IF(N175="zákl. prenesená",J175,0)</f>
        <v>0</v>
      </c>
      <c r="BH175" s="166">
        <f>IF(N175="zníž. prenesená",J175,0)</f>
        <v>0</v>
      </c>
      <c r="BI175" s="166">
        <f>IF(N175="nulová",J175,0)</f>
        <v>0</v>
      </c>
      <c r="BJ175" s="14" t="s">
        <v>82</v>
      </c>
      <c r="BK175" s="166">
        <f>ROUND(I175*H175,2)</f>
        <v>0</v>
      </c>
      <c r="BL175" s="14" t="s">
        <v>213</v>
      </c>
      <c r="BM175" s="165" t="s">
        <v>319</v>
      </c>
    </row>
    <row r="176" spans="1:65" s="2" customFormat="1" ht="16.5" customHeight="1">
      <c r="A176" s="29"/>
      <c r="B176" s="152"/>
      <c r="C176" s="167" t="s">
        <v>254</v>
      </c>
      <c r="D176" s="167" t="s">
        <v>202</v>
      </c>
      <c r="E176" s="168" t="s">
        <v>2890</v>
      </c>
      <c r="F176" s="169" t="s">
        <v>2891</v>
      </c>
      <c r="G176" s="170" t="s">
        <v>184</v>
      </c>
      <c r="H176" s="171">
        <v>12.4</v>
      </c>
      <c r="I176" s="172"/>
      <c r="J176" s="151">
        <v>0</v>
      </c>
      <c r="K176" s="174"/>
      <c r="L176" s="175"/>
      <c r="M176" s="176" t="s">
        <v>1</v>
      </c>
      <c r="N176" s="177" t="s">
        <v>35</v>
      </c>
      <c r="O176" s="58"/>
      <c r="P176" s="163">
        <f>O176*H176</f>
        <v>0</v>
      </c>
      <c r="Q176" s="163">
        <v>6.3E-3</v>
      </c>
      <c r="R176" s="163">
        <f>Q176*H176</f>
        <v>7.8120000000000009E-2</v>
      </c>
      <c r="S176" s="163">
        <v>0</v>
      </c>
      <c r="T176" s="164">
        <f>S176*H176</f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5" t="s">
        <v>242</v>
      </c>
      <c r="AT176" s="165" t="s">
        <v>202</v>
      </c>
      <c r="AU176" s="165" t="s">
        <v>82</v>
      </c>
      <c r="AY176" s="14" t="s">
        <v>179</v>
      </c>
      <c r="BE176" s="166">
        <f>IF(N176="základná",J176,0)</f>
        <v>0</v>
      </c>
      <c r="BF176" s="166">
        <f>IF(N176="znížená",J176,0)</f>
        <v>0</v>
      </c>
      <c r="BG176" s="166">
        <f>IF(N176="zákl. prenesená",J176,0)</f>
        <v>0</v>
      </c>
      <c r="BH176" s="166">
        <f>IF(N176="zníž. prenesená",J176,0)</f>
        <v>0</v>
      </c>
      <c r="BI176" s="166">
        <f>IF(N176="nulová",J176,0)</f>
        <v>0</v>
      </c>
      <c r="BJ176" s="14" t="s">
        <v>82</v>
      </c>
      <c r="BK176" s="166">
        <f>ROUND(I176*H176,2)</f>
        <v>0</v>
      </c>
      <c r="BL176" s="14" t="s">
        <v>213</v>
      </c>
      <c r="BM176" s="165" t="s">
        <v>322</v>
      </c>
    </row>
    <row r="177" spans="1:65" s="2" customFormat="1" ht="24.2" customHeight="1">
      <c r="A177" s="29"/>
      <c r="B177" s="152"/>
      <c r="C177" s="153" t="s">
        <v>323</v>
      </c>
      <c r="D177" s="153" t="s">
        <v>181</v>
      </c>
      <c r="E177" s="154" t="s">
        <v>609</v>
      </c>
      <c r="F177" s="155" t="s">
        <v>610</v>
      </c>
      <c r="G177" s="156" t="s">
        <v>585</v>
      </c>
      <c r="H177" s="178"/>
      <c r="I177" s="158"/>
      <c r="J177" s="151">
        <v>0</v>
      </c>
      <c r="K177" s="160"/>
      <c r="L177" s="30"/>
      <c r="M177" s="161" t="s">
        <v>1</v>
      </c>
      <c r="N177" s="162" t="s">
        <v>35</v>
      </c>
      <c r="O177" s="58"/>
      <c r="P177" s="163">
        <f>O177*H177</f>
        <v>0</v>
      </c>
      <c r="Q177" s="163">
        <v>0</v>
      </c>
      <c r="R177" s="163">
        <f>Q177*H177</f>
        <v>0</v>
      </c>
      <c r="S177" s="163">
        <v>0</v>
      </c>
      <c r="T177" s="164">
        <f>S177*H177</f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5" t="s">
        <v>213</v>
      </c>
      <c r="AT177" s="165" t="s">
        <v>181</v>
      </c>
      <c r="AU177" s="165" t="s">
        <v>82</v>
      </c>
      <c r="AY177" s="14" t="s">
        <v>179</v>
      </c>
      <c r="BE177" s="166">
        <f>IF(N177="základná",J177,0)</f>
        <v>0</v>
      </c>
      <c r="BF177" s="166">
        <f>IF(N177="znížená",J177,0)</f>
        <v>0</v>
      </c>
      <c r="BG177" s="166">
        <f>IF(N177="zákl. prenesená",J177,0)</f>
        <v>0</v>
      </c>
      <c r="BH177" s="166">
        <f>IF(N177="zníž. prenesená",J177,0)</f>
        <v>0</v>
      </c>
      <c r="BI177" s="166">
        <f>IF(N177="nulová",J177,0)</f>
        <v>0</v>
      </c>
      <c r="BJ177" s="14" t="s">
        <v>82</v>
      </c>
      <c r="BK177" s="166">
        <f>ROUND(I177*H177,2)</f>
        <v>0</v>
      </c>
      <c r="BL177" s="14" t="s">
        <v>213</v>
      </c>
      <c r="BM177" s="165" t="s">
        <v>326</v>
      </c>
    </row>
    <row r="178" spans="1:65" s="12" customFormat="1" ht="22.9" customHeight="1">
      <c r="B178" s="139"/>
      <c r="D178" s="140" t="s">
        <v>68</v>
      </c>
      <c r="E178" s="150" t="s">
        <v>2408</v>
      </c>
      <c r="F178" s="150" t="s">
        <v>2409</v>
      </c>
      <c r="I178" s="142"/>
      <c r="J178" s="151">
        <v>0</v>
      </c>
      <c r="L178" s="139"/>
      <c r="M178" s="144"/>
      <c r="N178" s="145"/>
      <c r="O178" s="145"/>
      <c r="P178" s="146">
        <f>SUM(P179:P184)</f>
        <v>0</v>
      </c>
      <c r="Q178" s="145"/>
      <c r="R178" s="146">
        <f>SUM(R179:R184)</f>
        <v>6.0539999999999886E-2</v>
      </c>
      <c r="S178" s="145"/>
      <c r="T178" s="147">
        <f>SUM(T179:T184)</f>
        <v>0</v>
      </c>
      <c r="AR178" s="140" t="s">
        <v>82</v>
      </c>
      <c r="AT178" s="148" t="s">
        <v>68</v>
      </c>
      <c r="AU178" s="148" t="s">
        <v>76</v>
      </c>
      <c r="AY178" s="140" t="s">
        <v>179</v>
      </c>
      <c r="BK178" s="149">
        <f>SUM(BK179:BK184)</f>
        <v>0</v>
      </c>
    </row>
    <row r="179" spans="1:65" s="2" customFormat="1" ht="24.2" customHeight="1">
      <c r="A179" s="29"/>
      <c r="B179" s="152"/>
      <c r="C179" s="153" t="s">
        <v>257</v>
      </c>
      <c r="D179" s="153" t="s">
        <v>181</v>
      </c>
      <c r="E179" s="154" t="s">
        <v>2416</v>
      </c>
      <c r="F179" s="155" t="s">
        <v>2892</v>
      </c>
      <c r="G179" s="156" t="s">
        <v>293</v>
      </c>
      <c r="H179" s="157">
        <v>552</v>
      </c>
      <c r="I179" s="158"/>
      <c r="J179" s="151">
        <v>0</v>
      </c>
      <c r="K179" s="160"/>
      <c r="L179" s="30"/>
      <c r="M179" s="161" t="s">
        <v>1</v>
      </c>
      <c r="N179" s="162" t="s">
        <v>35</v>
      </c>
      <c r="O179" s="58"/>
      <c r="P179" s="163">
        <f t="shared" ref="P179:P184" si="27">O179*H179</f>
        <v>0</v>
      </c>
      <c r="Q179" s="163">
        <v>1.0099637681159401E-4</v>
      </c>
      <c r="R179" s="163">
        <f t="shared" ref="R179:R184" si="28">Q179*H179</f>
        <v>5.574999999999989E-2</v>
      </c>
      <c r="S179" s="163">
        <v>0</v>
      </c>
      <c r="T179" s="164">
        <f t="shared" ref="T179:T184" si="29">S179*H179</f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5" t="s">
        <v>213</v>
      </c>
      <c r="AT179" s="165" t="s">
        <v>181</v>
      </c>
      <c r="AU179" s="165" t="s">
        <v>82</v>
      </c>
      <c r="AY179" s="14" t="s">
        <v>179</v>
      </c>
      <c r="BE179" s="166">
        <f t="shared" ref="BE179:BE184" si="30">IF(N179="základná",J179,0)</f>
        <v>0</v>
      </c>
      <c r="BF179" s="166">
        <f t="shared" ref="BF179:BF184" si="31">IF(N179="znížená",J179,0)</f>
        <v>0</v>
      </c>
      <c r="BG179" s="166">
        <f t="shared" ref="BG179:BG184" si="32">IF(N179="zákl. prenesená",J179,0)</f>
        <v>0</v>
      </c>
      <c r="BH179" s="166">
        <f t="shared" ref="BH179:BH184" si="33">IF(N179="zníž. prenesená",J179,0)</f>
        <v>0</v>
      </c>
      <c r="BI179" s="166">
        <f t="shared" ref="BI179:BI184" si="34">IF(N179="nulová",J179,0)</f>
        <v>0</v>
      </c>
      <c r="BJ179" s="14" t="s">
        <v>82</v>
      </c>
      <c r="BK179" s="166">
        <f t="shared" ref="BK179:BK184" si="35">ROUND(I179*H179,2)</f>
        <v>0</v>
      </c>
      <c r="BL179" s="14" t="s">
        <v>213</v>
      </c>
      <c r="BM179" s="165" t="s">
        <v>329</v>
      </c>
    </row>
    <row r="180" spans="1:65" s="2" customFormat="1" ht="24.2" customHeight="1">
      <c r="A180" s="29"/>
      <c r="B180" s="152"/>
      <c r="C180" s="153" t="s">
        <v>330</v>
      </c>
      <c r="D180" s="153" t="s">
        <v>181</v>
      </c>
      <c r="E180" s="154" t="s">
        <v>2893</v>
      </c>
      <c r="F180" s="155" t="s">
        <v>2894</v>
      </c>
      <c r="G180" s="156" t="s">
        <v>217</v>
      </c>
      <c r="H180" s="157">
        <v>75</v>
      </c>
      <c r="I180" s="158"/>
      <c r="J180" s="151">
        <v>0</v>
      </c>
      <c r="K180" s="160"/>
      <c r="L180" s="30"/>
      <c r="M180" s="161" t="s">
        <v>1</v>
      </c>
      <c r="N180" s="162" t="s">
        <v>35</v>
      </c>
      <c r="O180" s="58"/>
      <c r="P180" s="163">
        <f t="shared" si="27"/>
        <v>0</v>
      </c>
      <c r="Q180" s="163">
        <v>1.4666666666666701E-6</v>
      </c>
      <c r="R180" s="163">
        <f t="shared" si="28"/>
        <v>1.1000000000000025E-4</v>
      </c>
      <c r="S180" s="163">
        <v>0</v>
      </c>
      <c r="T180" s="164">
        <f t="shared" si="29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5" t="s">
        <v>213</v>
      </c>
      <c r="AT180" s="165" t="s">
        <v>181</v>
      </c>
      <c r="AU180" s="165" t="s">
        <v>82</v>
      </c>
      <c r="AY180" s="14" t="s">
        <v>179</v>
      </c>
      <c r="BE180" s="166">
        <f t="shared" si="30"/>
        <v>0</v>
      </c>
      <c r="BF180" s="166">
        <f t="shared" si="31"/>
        <v>0</v>
      </c>
      <c r="BG180" s="166">
        <f t="shared" si="32"/>
        <v>0</v>
      </c>
      <c r="BH180" s="166">
        <f t="shared" si="33"/>
        <v>0</v>
      </c>
      <c r="BI180" s="166">
        <f t="shared" si="34"/>
        <v>0</v>
      </c>
      <c r="BJ180" s="14" t="s">
        <v>82</v>
      </c>
      <c r="BK180" s="166">
        <f t="shared" si="35"/>
        <v>0</v>
      </c>
      <c r="BL180" s="14" t="s">
        <v>213</v>
      </c>
      <c r="BM180" s="165" t="s">
        <v>333</v>
      </c>
    </row>
    <row r="181" spans="1:65" s="2" customFormat="1" ht="24.2" customHeight="1">
      <c r="A181" s="29"/>
      <c r="B181" s="152"/>
      <c r="C181" s="153" t="s">
        <v>261</v>
      </c>
      <c r="D181" s="153" t="s">
        <v>181</v>
      </c>
      <c r="E181" s="154" t="s">
        <v>2946</v>
      </c>
      <c r="F181" s="155" t="s">
        <v>2947</v>
      </c>
      <c r="G181" s="156" t="s">
        <v>217</v>
      </c>
      <c r="H181" s="157">
        <v>72</v>
      </c>
      <c r="I181" s="158"/>
      <c r="J181" s="151">
        <v>0</v>
      </c>
      <c r="K181" s="160"/>
      <c r="L181" s="30"/>
      <c r="M181" s="161" t="s">
        <v>1</v>
      </c>
      <c r="N181" s="162" t="s">
        <v>35</v>
      </c>
      <c r="O181" s="58"/>
      <c r="P181" s="163">
        <f t="shared" si="27"/>
        <v>0</v>
      </c>
      <c r="Q181" s="163">
        <v>5.0000000000000004E-6</v>
      </c>
      <c r="R181" s="163">
        <f t="shared" si="28"/>
        <v>3.6000000000000002E-4</v>
      </c>
      <c r="S181" s="163">
        <v>0</v>
      </c>
      <c r="T181" s="164">
        <f t="shared" si="29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5" t="s">
        <v>213</v>
      </c>
      <c r="AT181" s="165" t="s">
        <v>181</v>
      </c>
      <c r="AU181" s="165" t="s">
        <v>82</v>
      </c>
      <c r="AY181" s="14" t="s">
        <v>179</v>
      </c>
      <c r="BE181" s="166">
        <f t="shared" si="30"/>
        <v>0</v>
      </c>
      <c r="BF181" s="166">
        <f t="shared" si="31"/>
        <v>0</v>
      </c>
      <c r="BG181" s="166">
        <f t="shared" si="32"/>
        <v>0</v>
      </c>
      <c r="BH181" s="166">
        <f t="shared" si="33"/>
        <v>0</v>
      </c>
      <c r="BI181" s="166">
        <f t="shared" si="34"/>
        <v>0</v>
      </c>
      <c r="BJ181" s="14" t="s">
        <v>82</v>
      </c>
      <c r="BK181" s="166">
        <f t="shared" si="35"/>
        <v>0</v>
      </c>
      <c r="BL181" s="14" t="s">
        <v>213</v>
      </c>
      <c r="BM181" s="165" t="s">
        <v>336</v>
      </c>
    </row>
    <row r="182" spans="1:65" s="2" customFormat="1" ht="33" customHeight="1">
      <c r="A182" s="29"/>
      <c r="B182" s="152"/>
      <c r="C182" s="153" t="s">
        <v>337</v>
      </c>
      <c r="D182" s="153" t="s">
        <v>181</v>
      </c>
      <c r="E182" s="154" t="s">
        <v>2897</v>
      </c>
      <c r="F182" s="155" t="s">
        <v>2898</v>
      </c>
      <c r="G182" s="156" t="s">
        <v>217</v>
      </c>
      <c r="H182" s="157">
        <v>144</v>
      </c>
      <c r="I182" s="158"/>
      <c r="J182" s="151">
        <v>0</v>
      </c>
      <c r="K182" s="160"/>
      <c r="L182" s="30"/>
      <c r="M182" s="161" t="s">
        <v>1</v>
      </c>
      <c r="N182" s="162" t="s">
        <v>35</v>
      </c>
      <c r="O182" s="58"/>
      <c r="P182" s="163">
        <f t="shared" si="27"/>
        <v>0</v>
      </c>
      <c r="Q182" s="163">
        <v>3.0000000000000001E-5</v>
      </c>
      <c r="R182" s="163">
        <f t="shared" si="28"/>
        <v>4.3200000000000001E-3</v>
      </c>
      <c r="S182" s="163">
        <v>0</v>
      </c>
      <c r="T182" s="164">
        <f t="shared" si="29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65" t="s">
        <v>213</v>
      </c>
      <c r="AT182" s="165" t="s">
        <v>181</v>
      </c>
      <c r="AU182" s="165" t="s">
        <v>82</v>
      </c>
      <c r="AY182" s="14" t="s">
        <v>179</v>
      </c>
      <c r="BE182" s="166">
        <f t="shared" si="30"/>
        <v>0</v>
      </c>
      <c r="BF182" s="166">
        <f t="shared" si="31"/>
        <v>0</v>
      </c>
      <c r="BG182" s="166">
        <f t="shared" si="32"/>
        <v>0</v>
      </c>
      <c r="BH182" s="166">
        <f t="shared" si="33"/>
        <v>0</v>
      </c>
      <c r="BI182" s="166">
        <f t="shared" si="34"/>
        <v>0</v>
      </c>
      <c r="BJ182" s="14" t="s">
        <v>82</v>
      </c>
      <c r="BK182" s="166">
        <f t="shared" si="35"/>
        <v>0</v>
      </c>
      <c r="BL182" s="14" t="s">
        <v>213</v>
      </c>
      <c r="BM182" s="165" t="s">
        <v>340</v>
      </c>
    </row>
    <row r="183" spans="1:65" s="2" customFormat="1" ht="33" customHeight="1">
      <c r="A183" s="29"/>
      <c r="B183" s="152"/>
      <c r="C183" s="153" t="s">
        <v>265</v>
      </c>
      <c r="D183" s="153" t="s">
        <v>181</v>
      </c>
      <c r="E183" s="154" t="s">
        <v>2456</v>
      </c>
      <c r="F183" s="155" t="s">
        <v>2457</v>
      </c>
      <c r="G183" s="156" t="s">
        <v>191</v>
      </c>
      <c r="H183" s="157">
        <v>11.183999999999999</v>
      </c>
      <c r="I183" s="158"/>
      <c r="J183" s="151">
        <v>0</v>
      </c>
      <c r="K183" s="160"/>
      <c r="L183" s="30"/>
      <c r="M183" s="161" t="s">
        <v>1</v>
      </c>
      <c r="N183" s="162" t="s">
        <v>35</v>
      </c>
      <c r="O183" s="58"/>
      <c r="P183" s="163">
        <f t="shared" si="27"/>
        <v>0</v>
      </c>
      <c r="Q183" s="163">
        <v>0</v>
      </c>
      <c r="R183" s="163">
        <f t="shared" si="28"/>
        <v>0</v>
      </c>
      <c r="S183" s="163">
        <v>0</v>
      </c>
      <c r="T183" s="164">
        <f t="shared" si="29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5" t="s">
        <v>213</v>
      </c>
      <c r="AT183" s="165" t="s">
        <v>181</v>
      </c>
      <c r="AU183" s="165" t="s">
        <v>82</v>
      </c>
      <c r="AY183" s="14" t="s">
        <v>179</v>
      </c>
      <c r="BE183" s="166">
        <f t="shared" si="30"/>
        <v>0</v>
      </c>
      <c r="BF183" s="166">
        <f t="shared" si="31"/>
        <v>0</v>
      </c>
      <c r="BG183" s="166">
        <f t="shared" si="32"/>
        <v>0</v>
      </c>
      <c r="BH183" s="166">
        <f t="shared" si="33"/>
        <v>0</v>
      </c>
      <c r="BI183" s="166">
        <f t="shared" si="34"/>
        <v>0</v>
      </c>
      <c r="BJ183" s="14" t="s">
        <v>82</v>
      </c>
      <c r="BK183" s="166">
        <f t="shared" si="35"/>
        <v>0</v>
      </c>
      <c r="BL183" s="14" t="s">
        <v>213</v>
      </c>
      <c r="BM183" s="165" t="s">
        <v>343</v>
      </c>
    </row>
    <row r="184" spans="1:65" s="2" customFormat="1" ht="24.2" customHeight="1">
      <c r="A184" s="29"/>
      <c r="B184" s="152"/>
      <c r="C184" s="153" t="s">
        <v>344</v>
      </c>
      <c r="D184" s="153" t="s">
        <v>181</v>
      </c>
      <c r="E184" s="154" t="s">
        <v>2458</v>
      </c>
      <c r="F184" s="155" t="s">
        <v>2459</v>
      </c>
      <c r="G184" s="156" t="s">
        <v>585</v>
      </c>
      <c r="H184" s="178"/>
      <c r="I184" s="158"/>
      <c r="J184" s="151">
        <v>0</v>
      </c>
      <c r="K184" s="160"/>
      <c r="L184" s="30"/>
      <c r="M184" s="161" t="s">
        <v>1</v>
      </c>
      <c r="N184" s="162" t="s">
        <v>35</v>
      </c>
      <c r="O184" s="58"/>
      <c r="P184" s="163">
        <f t="shared" si="27"/>
        <v>0</v>
      </c>
      <c r="Q184" s="163">
        <v>0</v>
      </c>
      <c r="R184" s="163">
        <f t="shared" si="28"/>
        <v>0</v>
      </c>
      <c r="S184" s="163">
        <v>0</v>
      </c>
      <c r="T184" s="164">
        <f t="shared" si="29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5" t="s">
        <v>213</v>
      </c>
      <c r="AT184" s="165" t="s">
        <v>181</v>
      </c>
      <c r="AU184" s="165" t="s">
        <v>82</v>
      </c>
      <c r="AY184" s="14" t="s">
        <v>179</v>
      </c>
      <c r="BE184" s="166">
        <f t="shared" si="30"/>
        <v>0</v>
      </c>
      <c r="BF184" s="166">
        <f t="shared" si="31"/>
        <v>0</v>
      </c>
      <c r="BG184" s="166">
        <f t="shared" si="32"/>
        <v>0</v>
      </c>
      <c r="BH184" s="166">
        <f t="shared" si="33"/>
        <v>0</v>
      </c>
      <c r="BI184" s="166">
        <f t="shared" si="34"/>
        <v>0</v>
      </c>
      <c r="BJ184" s="14" t="s">
        <v>82</v>
      </c>
      <c r="BK184" s="166">
        <f t="shared" si="35"/>
        <v>0</v>
      </c>
      <c r="BL184" s="14" t="s">
        <v>213</v>
      </c>
      <c r="BM184" s="165" t="s">
        <v>354</v>
      </c>
    </row>
    <row r="185" spans="1:65" s="12" customFormat="1" ht="25.9" customHeight="1">
      <c r="B185" s="139"/>
      <c r="D185" s="140" t="s">
        <v>68</v>
      </c>
      <c r="E185" s="141" t="s">
        <v>1346</v>
      </c>
      <c r="F185" s="141" t="s">
        <v>1347</v>
      </c>
      <c r="I185" s="142"/>
      <c r="J185" s="151">
        <v>0</v>
      </c>
      <c r="L185" s="139"/>
      <c r="M185" s="144"/>
      <c r="N185" s="145"/>
      <c r="O185" s="145"/>
      <c r="P185" s="146">
        <f>P186</f>
        <v>0</v>
      </c>
      <c r="Q185" s="145"/>
      <c r="R185" s="146">
        <f>R186</f>
        <v>0</v>
      </c>
      <c r="S185" s="145"/>
      <c r="T185" s="147">
        <f>T186</f>
        <v>0</v>
      </c>
      <c r="AR185" s="140" t="s">
        <v>185</v>
      </c>
      <c r="AT185" s="148" t="s">
        <v>68</v>
      </c>
      <c r="AU185" s="148" t="s">
        <v>69</v>
      </c>
      <c r="AY185" s="140" t="s">
        <v>179</v>
      </c>
      <c r="BK185" s="149">
        <f>BK186</f>
        <v>0</v>
      </c>
    </row>
    <row r="186" spans="1:65" s="2" customFormat="1" ht="24.2" customHeight="1">
      <c r="A186" s="29"/>
      <c r="B186" s="152"/>
      <c r="C186" s="153" t="s">
        <v>268</v>
      </c>
      <c r="D186" s="153" t="s">
        <v>181</v>
      </c>
      <c r="E186" s="154" t="s">
        <v>1348</v>
      </c>
      <c r="F186" s="155" t="s">
        <v>2799</v>
      </c>
      <c r="G186" s="156" t="s">
        <v>1350</v>
      </c>
      <c r="H186" s="157">
        <v>10</v>
      </c>
      <c r="I186" s="158"/>
      <c r="J186" s="151">
        <v>0</v>
      </c>
      <c r="K186" s="160"/>
      <c r="L186" s="30"/>
      <c r="M186" s="179" t="s">
        <v>1</v>
      </c>
      <c r="N186" s="180" t="s">
        <v>35</v>
      </c>
      <c r="O186" s="181"/>
      <c r="P186" s="182">
        <f>O186*H186</f>
        <v>0</v>
      </c>
      <c r="Q186" s="182">
        <v>0</v>
      </c>
      <c r="R186" s="182">
        <f>Q186*H186</f>
        <v>0</v>
      </c>
      <c r="S186" s="182">
        <v>0</v>
      </c>
      <c r="T186" s="183">
        <f>S186*H186</f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5" t="s">
        <v>1351</v>
      </c>
      <c r="AT186" s="165" t="s">
        <v>181</v>
      </c>
      <c r="AU186" s="165" t="s">
        <v>76</v>
      </c>
      <c r="AY186" s="14" t="s">
        <v>179</v>
      </c>
      <c r="BE186" s="166">
        <f>IF(N186="základná",J186,0)</f>
        <v>0</v>
      </c>
      <c r="BF186" s="166">
        <f>IF(N186="znížená",J186,0)</f>
        <v>0</v>
      </c>
      <c r="BG186" s="166">
        <f>IF(N186="zákl. prenesená",J186,0)</f>
        <v>0</v>
      </c>
      <c r="BH186" s="166">
        <f>IF(N186="zníž. prenesená",J186,0)</f>
        <v>0</v>
      </c>
      <c r="BI186" s="166">
        <f>IF(N186="nulová",J186,0)</f>
        <v>0</v>
      </c>
      <c r="BJ186" s="14" t="s">
        <v>82</v>
      </c>
      <c r="BK186" s="166">
        <f>ROUND(I186*H186,2)</f>
        <v>0</v>
      </c>
      <c r="BL186" s="14" t="s">
        <v>1351</v>
      </c>
      <c r="BM186" s="165" t="s">
        <v>357</v>
      </c>
    </row>
    <row r="187" spans="1:65" s="2" customFormat="1" ht="6.95" customHeight="1">
      <c r="A187" s="29"/>
      <c r="B187" s="47"/>
      <c r="C187" s="48"/>
      <c r="D187" s="48"/>
      <c r="E187" s="48"/>
      <c r="F187" s="48"/>
      <c r="G187" s="48"/>
      <c r="H187" s="48"/>
      <c r="I187" s="48"/>
      <c r="J187" s="151">
        <v>0</v>
      </c>
      <c r="K187" s="48"/>
      <c r="L187" s="30"/>
      <c r="M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</row>
  </sheetData>
  <autoFilter ref="C129:K186"/>
  <mergeCells count="12">
    <mergeCell ref="E122:H122"/>
    <mergeCell ref="L2:V2"/>
    <mergeCell ref="E85:H85"/>
    <mergeCell ref="E87:H87"/>
    <mergeCell ref="E89:H89"/>
    <mergeCell ref="E118:H118"/>
    <mergeCell ref="E120:H12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BM204"/>
  <sheetViews>
    <sheetView showGridLines="0" topLeftCell="A27" workbookViewId="0">
      <selection activeCell="L47" sqref="L47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0" t="s">
        <v>5</v>
      </c>
      <c r="M2" s="351"/>
      <c r="N2" s="351"/>
      <c r="O2" s="351"/>
      <c r="P2" s="351"/>
      <c r="Q2" s="351"/>
      <c r="R2" s="351"/>
      <c r="S2" s="351"/>
      <c r="T2" s="351"/>
      <c r="U2" s="351"/>
      <c r="V2" s="351"/>
      <c r="AT2" s="14" t="s">
        <v>125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5" customHeight="1">
      <c r="B4" s="17"/>
      <c r="D4" s="18" t="s">
        <v>129</v>
      </c>
      <c r="L4" s="17"/>
      <c r="M4" s="98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387" t="str">
        <f>'Rekapitulácia stavby'!K6</f>
        <v>Topoľčianky, Centrálny logistický sklad - rekonštrukcia tepelného hospodárstva</v>
      </c>
      <c r="F7" s="388"/>
      <c r="G7" s="388"/>
      <c r="H7" s="388"/>
      <c r="L7" s="17"/>
    </row>
    <row r="8" spans="1:46" s="1" customFormat="1" ht="12" customHeight="1">
      <c r="B8" s="17"/>
      <c r="D8" s="24" t="s">
        <v>130</v>
      </c>
      <c r="L8" s="17"/>
    </row>
    <row r="9" spans="1:46" s="2" customFormat="1" ht="16.5" customHeight="1">
      <c r="A9" s="29"/>
      <c r="B9" s="30"/>
      <c r="C9" s="29"/>
      <c r="D9" s="29"/>
      <c r="E9" s="387" t="s">
        <v>2801</v>
      </c>
      <c r="F9" s="386"/>
      <c r="G9" s="386"/>
      <c r="H9" s="386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>
      <c r="A10" s="29"/>
      <c r="B10" s="30"/>
      <c r="C10" s="29"/>
      <c r="D10" s="24" t="s">
        <v>132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30" customHeight="1">
      <c r="A11" s="29"/>
      <c r="B11" s="30"/>
      <c r="C11" s="29"/>
      <c r="D11" s="29"/>
      <c r="E11" s="382" t="s">
        <v>2948</v>
      </c>
      <c r="F11" s="386"/>
      <c r="G11" s="386"/>
      <c r="H11" s="386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>
      <c r="A13" s="29"/>
      <c r="B13" s="30"/>
      <c r="C13" s="29"/>
      <c r="D13" s="24" t="s">
        <v>15</v>
      </c>
      <c r="E13" s="29"/>
      <c r="F13" s="22" t="s">
        <v>1</v>
      </c>
      <c r="G13" s="29"/>
      <c r="H13" s="29"/>
      <c r="I13" s="24" t="s">
        <v>16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17</v>
      </c>
      <c r="E14" s="29"/>
      <c r="F14" s="22" t="s">
        <v>18</v>
      </c>
      <c r="G14" s="29"/>
      <c r="H14" s="29"/>
      <c r="I14" s="24" t="s">
        <v>19</v>
      </c>
      <c r="J14" s="55">
        <f>'Rekapitulácia stavby'!AN8</f>
        <v>45945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>
      <c r="A16" s="29"/>
      <c r="B16" s="30"/>
      <c r="C16" s="29"/>
      <c r="D16" s="24" t="s">
        <v>20</v>
      </c>
      <c r="E16" s="29"/>
      <c r="F16" s="29"/>
      <c r="G16" s="29"/>
      <c r="H16" s="29"/>
      <c r="I16" s="24" t="s">
        <v>21</v>
      </c>
      <c r="J16" s="22" t="str">
        <f>IF('Rekapitulácia stavby'!AN10="","",'Rekapitulácia stavby'!AN10)</f>
        <v/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>
      <c r="A17" s="29"/>
      <c r="B17" s="30"/>
      <c r="C17" s="29"/>
      <c r="D17" s="29"/>
      <c r="E17" s="22" t="str">
        <f>IF('Rekapitulácia stavby'!E11="","",'Rekapitulácia stavby'!E11)</f>
        <v xml:space="preserve"> </v>
      </c>
      <c r="F17" s="29"/>
      <c r="G17" s="29"/>
      <c r="H17" s="29"/>
      <c r="I17" s="24" t="s">
        <v>22</v>
      </c>
      <c r="J17" s="22" t="str">
        <f>IF('Rekapitulácia stavby'!AN11="","",'Rekapitulácia stavby'!AN11)</f>
        <v/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customHeight="1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>
      <c r="A19" s="29"/>
      <c r="B19" s="30"/>
      <c r="C19" s="29"/>
      <c r="D19" s="24" t="s">
        <v>23</v>
      </c>
      <c r="E19" s="29"/>
      <c r="F19" s="29"/>
      <c r="G19" s="29"/>
      <c r="H19" s="29"/>
      <c r="I19" s="24" t="s">
        <v>21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>
      <c r="A20" s="29"/>
      <c r="B20" s="30"/>
      <c r="C20" s="29"/>
      <c r="D20" s="29"/>
      <c r="E20" s="389" t="str">
        <f>'Rekapitulácia stavby'!E14</f>
        <v>Vyplň údaj</v>
      </c>
      <c r="F20" s="390"/>
      <c r="G20" s="390"/>
      <c r="H20" s="390"/>
      <c r="I20" s="24" t="s">
        <v>22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customHeight="1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>
      <c r="A22" s="29"/>
      <c r="B22" s="30"/>
      <c r="C22" s="29"/>
      <c r="D22" s="24" t="s">
        <v>25</v>
      </c>
      <c r="E22" s="29"/>
      <c r="F22" s="29"/>
      <c r="G22" s="29"/>
      <c r="H22" s="29"/>
      <c r="I22" s="24" t="s">
        <v>21</v>
      </c>
      <c r="J22" s="22" t="str">
        <f>IF('Rekapitulácia stavby'!AN16="","",'Rekapitulácia stavby'!AN16)</f>
        <v/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>
      <c r="A23" s="29"/>
      <c r="B23" s="30"/>
      <c r="C23" s="29"/>
      <c r="D23" s="29"/>
      <c r="E23" s="22" t="str">
        <f>IF('Rekapitulácia stavby'!E17="","",'Rekapitulácia stavby'!E17)</f>
        <v xml:space="preserve"> </v>
      </c>
      <c r="F23" s="29"/>
      <c r="G23" s="29"/>
      <c r="H23" s="29"/>
      <c r="I23" s="24" t="s">
        <v>22</v>
      </c>
      <c r="J23" s="22" t="str">
        <f>IF('Rekapitulácia stavby'!AN17="","",'Rekapitulácia stavby'!AN17)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customHeight="1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>
      <c r="A25" s="29"/>
      <c r="B25" s="30"/>
      <c r="C25" s="29"/>
      <c r="D25" s="24" t="s">
        <v>26</v>
      </c>
      <c r="E25" s="29"/>
      <c r="F25" s="29"/>
      <c r="G25" s="29"/>
      <c r="H25" s="29"/>
      <c r="I25" s="24" t="s">
        <v>21</v>
      </c>
      <c r="J25" s="22" t="str">
        <f>IF('Rekapitulácia stavby'!AN19="","",'Rekapitulácia stavby'!AN19)</f>
        <v/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24" t="s">
        <v>22</v>
      </c>
      <c r="J26" s="22" t="str">
        <f>IF('Rekapitulácia stavby'!AN20="","",'Rekapitulácia stavby'!AN20)</f>
        <v/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>
      <c r="A28" s="29"/>
      <c r="B28" s="30"/>
      <c r="C28" s="29"/>
      <c r="D28" s="24" t="s">
        <v>28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>
      <c r="A29" s="99"/>
      <c r="B29" s="100"/>
      <c r="C29" s="99"/>
      <c r="D29" s="99"/>
      <c r="E29" s="378" t="s">
        <v>1</v>
      </c>
      <c r="F29" s="378"/>
      <c r="G29" s="378"/>
      <c r="H29" s="378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102" t="s">
        <v>29</v>
      </c>
      <c r="E32" s="29"/>
      <c r="F32" s="29"/>
      <c r="G32" s="29"/>
      <c r="H32" s="29"/>
      <c r="I32" s="29"/>
      <c r="J32" s="71"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31</v>
      </c>
      <c r="G34" s="29"/>
      <c r="H34" s="29"/>
      <c r="I34" s="33" t="s">
        <v>30</v>
      </c>
      <c r="J34" s="33" t="s">
        <v>32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3" t="s">
        <v>33</v>
      </c>
      <c r="E35" s="35" t="s">
        <v>34</v>
      </c>
      <c r="F35" s="104">
        <f>ROUND((SUM(BE133:BE203)),  2)</f>
        <v>0</v>
      </c>
      <c r="G35" s="105"/>
      <c r="H35" s="105"/>
      <c r="I35" s="106">
        <v>0.23</v>
      </c>
      <c r="J35" s="104">
        <f>ROUND(((SUM(BE133:BE203))*I35),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35</v>
      </c>
      <c r="F36" s="104">
        <f>ROUND((SUM(BF133:BF203)),  2)</f>
        <v>0</v>
      </c>
      <c r="G36" s="105"/>
      <c r="H36" s="105"/>
      <c r="I36" s="106">
        <v>0.23</v>
      </c>
      <c r="J36" s="104">
        <f>ROUND(((SUM(BF133:BF203))*I36),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36</v>
      </c>
      <c r="F37" s="107">
        <f>ROUND((SUM(BG133:BG203)),  2)</f>
        <v>0</v>
      </c>
      <c r="G37" s="29"/>
      <c r="H37" s="29"/>
      <c r="I37" s="108">
        <v>0.23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37</v>
      </c>
      <c r="F38" s="107">
        <f>ROUND((SUM(BH133:BH203)),  2)</f>
        <v>0</v>
      </c>
      <c r="G38" s="29"/>
      <c r="H38" s="29"/>
      <c r="I38" s="108">
        <v>0.23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38</v>
      </c>
      <c r="F39" s="104">
        <f>ROUND((SUM(BI133:BI203)), 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9"/>
      <c r="D41" s="110" t="s">
        <v>39</v>
      </c>
      <c r="E41" s="60"/>
      <c r="F41" s="60"/>
      <c r="G41" s="111" t="s">
        <v>40</v>
      </c>
      <c r="H41" s="112" t="s">
        <v>41</v>
      </c>
      <c r="I41" s="60"/>
      <c r="J41" s="113"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42</v>
      </c>
      <c r="E50" s="44"/>
      <c r="F50" s="44"/>
      <c r="G50" s="43" t="s">
        <v>43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44</v>
      </c>
      <c r="E61" s="32"/>
      <c r="F61" s="115" t="s">
        <v>45</v>
      </c>
      <c r="G61" s="45" t="s">
        <v>44</v>
      </c>
      <c r="H61" s="32"/>
      <c r="I61" s="32"/>
      <c r="J61" s="116" t="s">
        <v>45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46</v>
      </c>
      <c r="E65" s="46"/>
      <c r="F65" s="46"/>
      <c r="G65" s="43" t="s">
        <v>47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44</v>
      </c>
      <c r="E76" s="32"/>
      <c r="F76" s="115" t="s">
        <v>45</v>
      </c>
      <c r="G76" s="45" t="s">
        <v>44</v>
      </c>
      <c r="H76" s="32"/>
      <c r="I76" s="32"/>
      <c r="J76" s="116" t="s">
        <v>45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hidden="1" customHeight="1">
      <c r="A82" s="29"/>
      <c r="B82" s="30"/>
      <c r="C82" s="18" t="s">
        <v>134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hidden="1" customHeight="1">
      <c r="A85" s="29"/>
      <c r="B85" s="30"/>
      <c r="C85" s="29"/>
      <c r="D85" s="29"/>
      <c r="E85" s="387" t="str">
        <f>E7</f>
        <v>Topoľčianky, Centrálny logistický sklad - rekonštrukcia tepelného hospodárstva</v>
      </c>
      <c r="F85" s="388"/>
      <c r="G85" s="388"/>
      <c r="H85" s="388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hidden="1" customHeight="1">
      <c r="B86" s="17"/>
      <c r="C86" s="24" t="s">
        <v>130</v>
      </c>
      <c r="L86" s="17"/>
    </row>
    <row r="87" spans="1:31" s="2" customFormat="1" ht="16.5" hidden="1" customHeight="1">
      <c r="A87" s="29"/>
      <c r="B87" s="30"/>
      <c r="C87" s="29"/>
      <c r="D87" s="29"/>
      <c r="E87" s="387" t="s">
        <v>2801</v>
      </c>
      <c r="F87" s="386"/>
      <c r="G87" s="386"/>
      <c r="H87" s="386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hidden="1" customHeight="1">
      <c r="A88" s="29"/>
      <c r="B88" s="30"/>
      <c r="C88" s="24" t="s">
        <v>132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30" hidden="1" customHeight="1">
      <c r="A89" s="29"/>
      <c r="B89" s="30"/>
      <c r="C89" s="29"/>
      <c r="D89" s="29"/>
      <c r="E89" s="382" t="str">
        <f>E11</f>
        <v>E2.1-Cz - Teplovod pre obj.02A-02B Sklady časť obj. 01 Sklad záloha</v>
      </c>
      <c r="F89" s="386"/>
      <c r="G89" s="386"/>
      <c r="H89" s="386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hidden="1" customHeight="1">
      <c r="A91" s="29"/>
      <c r="B91" s="30"/>
      <c r="C91" s="24" t="s">
        <v>17</v>
      </c>
      <c r="D91" s="29"/>
      <c r="E91" s="29"/>
      <c r="F91" s="22" t="str">
        <f>F14</f>
        <v xml:space="preserve"> </v>
      </c>
      <c r="G91" s="29"/>
      <c r="H91" s="29"/>
      <c r="I91" s="24" t="s">
        <v>19</v>
      </c>
      <c r="J91" s="55">
        <f>IF(J14="","",J14)</f>
        <v>45945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hidden="1" customHeight="1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hidden="1" customHeight="1">
      <c r="A93" s="29"/>
      <c r="B93" s="30"/>
      <c r="C93" s="24" t="s">
        <v>20</v>
      </c>
      <c r="D93" s="29"/>
      <c r="E93" s="29"/>
      <c r="F93" s="22" t="str">
        <f>E17</f>
        <v xml:space="preserve"> </v>
      </c>
      <c r="G93" s="29"/>
      <c r="H93" s="29"/>
      <c r="I93" s="24" t="s">
        <v>25</v>
      </c>
      <c r="J93" s="27" t="str">
        <f>E23</f>
        <v xml:space="preserve">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hidden="1" customHeight="1">
      <c r="A94" s="29"/>
      <c r="B94" s="30"/>
      <c r="C94" s="24" t="s">
        <v>23</v>
      </c>
      <c r="D94" s="29"/>
      <c r="E94" s="29"/>
      <c r="F94" s="22" t="str">
        <f>IF(E20="","",E20)</f>
        <v>Vyplň údaj</v>
      </c>
      <c r="G94" s="29"/>
      <c r="H94" s="29"/>
      <c r="I94" s="24" t="s">
        <v>26</v>
      </c>
      <c r="J94" s="27" t="str">
        <f>E26</f>
        <v xml:space="preserve">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hidden="1" customHeight="1">
      <c r="A96" s="29"/>
      <c r="B96" s="30"/>
      <c r="C96" s="117" t="s">
        <v>135</v>
      </c>
      <c r="D96" s="109"/>
      <c r="E96" s="109"/>
      <c r="F96" s="109"/>
      <c r="G96" s="109"/>
      <c r="H96" s="109"/>
      <c r="I96" s="109"/>
      <c r="J96" s="118" t="s">
        <v>136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hidden="1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hidden="1" customHeight="1">
      <c r="A98" s="29"/>
      <c r="B98" s="30"/>
      <c r="C98" s="119" t="s">
        <v>137</v>
      </c>
      <c r="D98" s="29"/>
      <c r="E98" s="29"/>
      <c r="F98" s="29"/>
      <c r="G98" s="29"/>
      <c r="H98" s="29"/>
      <c r="I98" s="29"/>
      <c r="J98" s="71">
        <f>J133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138</v>
      </c>
    </row>
    <row r="99" spans="1:47" s="9" customFormat="1" ht="24.95" hidden="1" customHeight="1">
      <c r="B99" s="120"/>
      <c r="D99" s="121" t="s">
        <v>975</v>
      </c>
      <c r="E99" s="122"/>
      <c r="F99" s="122"/>
      <c r="G99" s="122"/>
      <c r="H99" s="122"/>
      <c r="I99" s="122"/>
      <c r="J99" s="123">
        <f>J134</f>
        <v>0</v>
      </c>
      <c r="L99" s="120"/>
    </row>
    <row r="100" spans="1:47" s="10" customFormat="1" ht="19.899999999999999" hidden="1" customHeight="1">
      <c r="B100" s="124"/>
      <c r="D100" s="125" t="s">
        <v>976</v>
      </c>
      <c r="E100" s="126"/>
      <c r="F100" s="126"/>
      <c r="G100" s="126"/>
      <c r="H100" s="126"/>
      <c r="I100" s="126"/>
      <c r="J100" s="127">
        <f>J135</f>
        <v>0</v>
      </c>
      <c r="L100" s="124"/>
    </row>
    <row r="101" spans="1:47" s="10" customFormat="1" ht="19.899999999999999" hidden="1" customHeight="1">
      <c r="B101" s="124"/>
      <c r="D101" s="125" t="s">
        <v>977</v>
      </c>
      <c r="E101" s="126"/>
      <c r="F101" s="126"/>
      <c r="G101" s="126"/>
      <c r="H101" s="126"/>
      <c r="I101" s="126"/>
      <c r="J101" s="127">
        <f>J147</f>
        <v>0</v>
      </c>
      <c r="L101" s="124"/>
    </row>
    <row r="102" spans="1:47" s="10" customFormat="1" ht="19.899999999999999" hidden="1" customHeight="1">
      <c r="B102" s="124"/>
      <c r="D102" s="125" t="s">
        <v>2825</v>
      </c>
      <c r="E102" s="126"/>
      <c r="F102" s="126"/>
      <c r="G102" s="126"/>
      <c r="H102" s="126"/>
      <c r="I102" s="126"/>
      <c r="J102" s="127">
        <f>J150</f>
        <v>0</v>
      </c>
      <c r="L102" s="124"/>
    </row>
    <row r="103" spans="1:47" s="10" customFormat="1" ht="19.899999999999999" hidden="1" customHeight="1">
      <c r="B103" s="124"/>
      <c r="D103" s="125" t="s">
        <v>978</v>
      </c>
      <c r="E103" s="126"/>
      <c r="F103" s="126"/>
      <c r="G103" s="126"/>
      <c r="H103" s="126"/>
      <c r="I103" s="126"/>
      <c r="J103" s="127">
        <f>J157</f>
        <v>0</v>
      </c>
      <c r="L103" s="124"/>
    </row>
    <row r="104" spans="1:47" s="10" customFormat="1" ht="19.899999999999999" hidden="1" customHeight="1">
      <c r="B104" s="124"/>
      <c r="D104" s="125" t="s">
        <v>2826</v>
      </c>
      <c r="E104" s="126"/>
      <c r="F104" s="126"/>
      <c r="G104" s="126"/>
      <c r="H104" s="126"/>
      <c r="I104" s="126"/>
      <c r="J104" s="127">
        <f>J165</f>
        <v>0</v>
      </c>
      <c r="L104" s="124"/>
    </row>
    <row r="105" spans="1:47" s="9" customFormat="1" ht="24.95" hidden="1" customHeight="1">
      <c r="B105" s="120"/>
      <c r="D105" s="121" t="s">
        <v>979</v>
      </c>
      <c r="E105" s="122"/>
      <c r="F105" s="122"/>
      <c r="G105" s="122"/>
      <c r="H105" s="122"/>
      <c r="I105" s="122"/>
      <c r="J105" s="123">
        <f>J168</f>
        <v>0</v>
      </c>
      <c r="L105" s="120"/>
    </row>
    <row r="106" spans="1:47" s="10" customFormat="1" ht="19.899999999999999" hidden="1" customHeight="1">
      <c r="B106" s="124"/>
      <c r="D106" s="125" t="s">
        <v>980</v>
      </c>
      <c r="E106" s="126"/>
      <c r="F106" s="126"/>
      <c r="G106" s="126"/>
      <c r="H106" s="126"/>
      <c r="I106" s="126"/>
      <c r="J106" s="127">
        <f>J169</f>
        <v>0</v>
      </c>
      <c r="L106" s="124"/>
    </row>
    <row r="107" spans="1:47" s="10" customFormat="1" ht="19.899999999999999" hidden="1" customHeight="1">
      <c r="B107" s="124"/>
      <c r="D107" s="125" t="s">
        <v>2130</v>
      </c>
      <c r="E107" s="126"/>
      <c r="F107" s="126"/>
      <c r="G107" s="126"/>
      <c r="H107" s="126"/>
      <c r="I107" s="126"/>
      <c r="J107" s="127">
        <f>J176</f>
        <v>0</v>
      </c>
      <c r="L107" s="124"/>
    </row>
    <row r="108" spans="1:47" s="10" customFormat="1" ht="19.899999999999999" hidden="1" customHeight="1">
      <c r="B108" s="124"/>
      <c r="D108" s="125" t="s">
        <v>2131</v>
      </c>
      <c r="E108" s="126"/>
      <c r="F108" s="126"/>
      <c r="G108" s="126"/>
      <c r="H108" s="126"/>
      <c r="I108" s="126"/>
      <c r="J108" s="127">
        <f>J185</f>
        <v>0</v>
      </c>
      <c r="L108" s="124"/>
    </row>
    <row r="109" spans="1:47" s="10" customFormat="1" ht="19.899999999999999" hidden="1" customHeight="1">
      <c r="B109" s="124"/>
      <c r="D109" s="125" t="s">
        <v>984</v>
      </c>
      <c r="E109" s="126"/>
      <c r="F109" s="126"/>
      <c r="G109" s="126"/>
      <c r="H109" s="126"/>
      <c r="I109" s="126"/>
      <c r="J109" s="127">
        <f>J194</f>
        <v>0</v>
      </c>
      <c r="L109" s="124"/>
    </row>
    <row r="110" spans="1:47" s="10" customFormat="1" ht="19.899999999999999" hidden="1" customHeight="1">
      <c r="B110" s="124"/>
      <c r="D110" s="125" t="s">
        <v>1296</v>
      </c>
      <c r="E110" s="126"/>
      <c r="F110" s="126"/>
      <c r="G110" s="126"/>
      <c r="H110" s="126"/>
      <c r="I110" s="126"/>
      <c r="J110" s="127">
        <f>J199</f>
        <v>0</v>
      </c>
      <c r="L110" s="124"/>
    </row>
    <row r="111" spans="1:47" s="9" customFormat="1" ht="24.95" hidden="1" customHeight="1">
      <c r="B111" s="120"/>
      <c r="D111" s="121" t="s">
        <v>1297</v>
      </c>
      <c r="E111" s="122"/>
      <c r="F111" s="122"/>
      <c r="G111" s="122"/>
      <c r="H111" s="122"/>
      <c r="I111" s="122"/>
      <c r="J111" s="123">
        <f>J202</f>
        <v>0</v>
      </c>
      <c r="L111" s="120"/>
    </row>
    <row r="112" spans="1:47" s="2" customFormat="1" ht="21.75" hidden="1" customHeight="1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31" s="2" customFormat="1" ht="6.95" hidden="1" customHeight="1">
      <c r="A113" s="29"/>
      <c r="B113" s="47"/>
      <c r="C113" s="48"/>
      <c r="D113" s="48"/>
      <c r="E113" s="48"/>
      <c r="F113" s="48"/>
      <c r="G113" s="48"/>
      <c r="H113" s="48"/>
      <c r="I113" s="48"/>
      <c r="J113" s="48"/>
      <c r="K113" s="48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31" hidden="1"/>
    <row r="115" spans="1:31" hidden="1"/>
    <row r="116" spans="1:31" hidden="1"/>
    <row r="117" spans="1:31" s="2" customFormat="1" ht="6.95" customHeight="1">
      <c r="A117" s="29"/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24.95" customHeight="1">
      <c r="A118" s="29"/>
      <c r="B118" s="30"/>
      <c r="C118" s="18" t="s">
        <v>165</v>
      </c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2" customHeight="1">
      <c r="A120" s="29"/>
      <c r="B120" s="30"/>
      <c r="C120" s="24" t="s">
        <v>14</v>
      </c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6.5" customHeight="1">
      <c r="A121" s="29"/>
      <c r="B121" s="30"/>
      <c r="C121" s="29"/>
      <c r="D121" s="29"/>
      <c r="E121" s="387" t="str">
        <f>E7</f>
        <v>Topoľčianky, Centrálny logistický sklad - rekonštrukcia tepelného hospodárstva</v>
      </c>
      <c r="F121" s="388"/>
      <c r="G121" s="388"/>
      <c r="H121" s="388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1" customFormat="1" ht="12" customHeight="1">
      <c r="B122" s="17"/>
      <c r="C122" s="24" t="s">
        <v>130</v>
      </c>
      <c r="L122" s="17"/>
    </row>
    <row r="123" spans="1:31" s="2" customFormat="1" ht="16.5" customHeight="1">
      <c r="A123" s="29"/>
      <c r="B123" s="30"/>
      <c r="C123" s="29"/>
      <c r="D123" s="29"/>
      <c r="E123" s="387" t="s">
        <v>2801</v>
      </c>
      <c r="F123" s="386"/>
      <c r="G123" s="386"/>
      <c r="H123" s="386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2" customHeight="1">
      <c r="A124" s="29"/>
      <c r="B124" s="30"/>
      <c r="C124" s="24" t="s">
        <v>132</v>
      </c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30" customHeight="1">
      <c r="A125" s="29"/>
      <c r="B125" s="30"/>
      <c r="C125" s="29"/>
      <c r="D125" s="29"/>
      <c r="E125" s="382" t="str">
        <f>E11</f>
        <v>E2.1-Cz - Teplovod pre obj.02A-02B Sklady časť obj. 01 Sklad záloha</v>
      </c>
      <c r="F125" s="386"/>
      <c r="G125" s="386"/>
      <c r="H125" s="386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6.9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2" customHeight="1">
      <c r="A127" s="29"/>
      <c r="B127" s="30"/>
      <c r="C127" s="24" t="s">
        <v>17</v>
      </c>
      <c r="D127" s="29"/>
      <c r="E127" s="29"/>
      <c r="F127" s="22" t="str">
        <f>F14</f>
        <v xml:space="preserve"> </v>
      </c>
      <c r="G127" s="29"/>
      <c r="H127" s="29"/>
      <c r="I127" s="24" t="s">
        <v>19</v>
      </c>
      <c r="J127" s="55">
        <f>IF(J14="","",J14)</f>
        <v>45945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6.9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5.2" customHeight="1">
      <c r="A129" s="29"/>
      <c r="B129" s="30"/>
      <c r="C129" s="24" t="s">
        <v>20</v>
      </c>
      <c r="D129" s="29"/>
      <c r="E129" s="29"/>
      <c r="F129" s="22" t="str">
        <f>E17</f>
        <v xml:space="preserve"> </v>
      </c>
      <c r="G129" s="29"/>
      <c r="H129" s="29"/>
      <c r="I129" s="24" t="s">
        <v>25</v>
      </c>
      <c r="J129" s="27" t="str">
        <f>E23</f>
        <v xml:space="preserve"> </v>
      </c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5.2" customHeight="1">
      <c r="A130" s="29"/>
      <c r="B130" s="30"/>
      <c r="C130" s="24" t="s">
        <v>23</v>
      </c>
      <c r="D130" s="29"/>
      <c r="E130" s="29"/>
      <c r="F130" s="22" t="str">
        <f>IF(E20="","",E20)</f>
        <v>Vyplň údaj</v>
      </c>
      <c r="G130" s="29"/>
      <c r="H130" s="29"/>
      <c r="I130" s="24" t="s">
        <v>26</v>
      </c>
      <c r="J130" s="27" t="str">
        <f>E26</f>
        <v xml:space="preserve"> </v>
      </c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0.35" customHeight="1">
      <c r="A131" s="29"/>
      <c r="B131" s="30"/>
      <c r="C131" s="29"/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11" customFormat="1" ht="29.25" customHeight="1">
      <c r="A132" s="128"/>
      <c r="B132" s="129"/>
      <c r="C132" s="130" t="s">
        <v>166</v>
      </c>
      <c r="D132" s="131" t="s">
        <v>54</v>
      </c>
      <c r="E132" s="131" t="s">
        <v>50</v>
      </c>
      <c r="F132" s="131" t="s">
        <v>51</v>
      </c>
      <c r="G132" s="131" t="s">
        <v>167</v>
      </c>
      <c r="H132" s="131" t="s">
        <v>168</v>
      </c>
      <c r="I132" s="131" t="s">
        <v>169</v>
      </c>
      <c r="J132" s="132" t="s">
        <v>136</v>
      </c>
      <c r="K132" s="133" t="s">
        <v>170</v>
      </c>
      <c r="L132" s="134"/>
      <c r="M132" s="62" t="s">
        <v>1</v>
      </c>
      <c r="N132" s="63" t="s">
        <v>33</v>
      </c>
      <c r="O132" s="63" t="s">
        <v>171</v>
      </c>
      <c r="P132" s="63" t="s">
        <v>172</v>
      </c>
      <c r="Q132" s="63" t="s">
        <v>173</v>
      </c>
      <c r="R132" s="63" t="s">
        <v>174</v>
      </c>
      <c r="S132" s="63" t="s">
        <v>175</v>
      </c>
      <c r="T132" s="64" t="s">
        <v>176</v>
      </c>
      <c r="U132" s="128"/>
      <c r="V132" s="128"/>
      <c r="W132" s="128"/>
      <c r="X132" s="128"/>
      <c r="Y132" s="128"/>
      <c r="Z132" s="128"/>
      <c r="AA132" s="128"/>
      <c r="AB132" s="128"/>
      <c r="AC132" s="128"/>
      <c r="AD132" s="128"/>
      <c r="AE132" s="128"/>
    </row>
    <row r="133" spans="1:65" s="2" customFormat="1" ht="22.9" customHeight="1">
      <c r="A133" s="29"/>
      <c r="B133" s="30"/>
      <c r="C133" s="69" t="s">
        <v>137</v>
      </c>
      <c r="D133" s="29"/>
      <c r="E133" s="29"/>
      <c r="F133" s="29"/>
      <c r="G133" s="29"/>
      <c r="H133" s="29"/>
      <c r="I133" s="29"/>
      <c r="J133" s="135">
        <v>0</v>
      </c>
      <c r="K133" s="29"/>
      <c r="L133" s="30"/>
      <c r="M133" s="65"/>
      <c r="N133" s="56"/>
      <c r="O133" s="66"/>
      <c r="P133" s="136">
        <f>P134+P168+P202</f>
        <v>0</v>
      </c>
      <c r="Q133" s="66"/>
      <c r="R133" s="136">
        <f>R134+R168+R202</f>
        <v>1.4815799999999999</v>
      </c>
      <c r="S133" s="66"/>
      <c r="T133" s="137">
        <f>T134+T168+T202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T133" s="14" t="s">
        <v>68</v>
      </c>
      <c r="AU133" s="14" t="s">
        <v>138</v>
      </c>
      <c r="BK133" s="138">
        <f>BK134+BK168+BK202</f>
        <v>0</v>
      </c>
    </row>
    <row r="134" spans="1:65" s="12" customFormat="1" ht="25.9" customHeight="1">
      <c r="B134" s="139"/>
      <c r="D134" s="140" t="s">
        <v>68</v>
      </c>
      <c r="E134" s="141" t="s">
        <v>177</v>
      </c>
      <c r="F134" s="141" t="s">
        <v>985</v>
      </c>
      <c r="I134" s="142"/>
      <c r="J134" s="135">
        <v>0</v>
      </c>
      <c r="L134" s="139"/>
      <c r="M134" s="144"/>
      <c r="N134" s="145"/>
      <c r="O134" s="145"/>
      <c r="P134" s="146">
        <f>P135+P147+P150+P157+P165</f>
        <v>0</v>
      </c>
      <c r="Q134" s="145"/>
      <c r="R134" s="146">
        <f>R135+R147+R150+R157+R165</f>
        <v>1.3457699999999999</v>
      </c>
      <c r="S134" s="145"/>
      <c r="T134" s="147">
        <f>T135+T147+T150+T157+T165</f>
        <v>0</v>
      </c>
      <c r="AR134" s="140" t="s">
        <v>76</v>
      </c>
      <c r="AT134" s="148" t="s">
        <v>68</v>
      </c>
      <c r="AU134" s="148" t="s">
        <v>69</v>
      </c>
      <c r="AY134" s="140" t="s">
        <v>179</v>
      </c>
      <c r="BK134" s="149">
        <f>BK135+BK147+BK150+BK157+BK165</f>
        <v>0</v>
      </c>
    </row>
    <row r="135" spans="1:65" s="12" customFormat="1" ht="22.9" customHeight="1">
      <c r="B135" s="139"/>
      <c r="D135" s="140" t="s">
        <v>68</v>
      </c>
      <c r="E135" s="150" t="s">
        <v>76</v>
      </c>
      <c r="F135" s="150" t="s">
        <v>986</v>
      </c>
      <c r="I135" s="142"/>
      <c r="J135" s="135">
        <v>0</v>
      </c>
      <c r="L135" s="139"/>
      <c r="M135" s="144"/>
      <c r="N135" s="145"/>
      <c r="O135" s="145"/>
      <c r="P135" s="146">
        <f>SUM(P136:P146)</f>
        <v>0</v>
      </c>
      <c r="Q135" s="145"/>
      <c r="R135" s="146">
        <f>SUM(R136:R146)</f>
        <v>0</v>
      </c>
      <c r="S135" s="145"/>
      <c r="T135" s="147">
        <f>SUM(T136:T146)</f>
        <v>0</v>
      </c>
      <c r="AR135" s="140" t="s">
        <v>76</v>
      </c>
      <c r="AT135" s="148" t="s">
        <v>68</v>
      </c>
      <c r="AU135" s="148" t="s">
        <v>76</v>
      </c>
      <c r="AY135" s="140" t="s">
        <v>179</v>
      </c>
      <c r="BK135" s="149">
        <f>SUM(BK136:BK146)</f>
        <v>0</v>
      </c>
    </row>
    <row r="136" spans="1:65" s="2" customFormat="1" ht="21.75" customHeight="1">
      <c r="A136" s="29"/>
      <c r="B136" s="152"/>
      <c r="C136" s="153" t="s">
        <v>76</v>
      </c>
      <c r="D136" s="153" t="s">
        <v>181</v>
      </c>
      <c r="E136" s="154" t="s">
        <v>2833</v>
      </c>
      <c r="F136" s="155" t="s">
        <v>2834</v>
      </c>
      <c r="G136" s="156" t="s">
        <v>196</v>
      </c>
      <c r="H136" s="157">
        <v>27.44</v>
      </c>
      <c r="I136" s="158"/>
      <c r="J136" s="159">
        <v>0</v>
      </c>
      <c r="K136" s="160"/>
      <c r="L136" s="30"/>
      <c r="M136" s="161" t="s">
        <v>1</v>
      </c>
      <c r="N136" s="162" t="s">
        <v>35</v>
      </c>
      <c r="O136" s="58"/>
      <c r="P136" s="163">
        <f t="shared" ref="P136:P146" si="0">O136*H136</f>
        <v>0</v>
      </c>
      <c r="Q136" s="163">
        <v>0</v>
      </c>
      <c r="R136" s="163">
        <f t="shared" ref="R136:R146" si="1">Q136*H136</f>
        <v>0</v>
      </c>
      <c r="S136" s="163">
        <v>0</v>
      </c>
      <c r="T136" s="164">
        <f t="shared" ref="T136:T146" si="2"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5" t="s">
        <v>185</v>
      </c>
      <c r="AT136" s="165" t="s">
        <v>181</v>
      </c>
      <c r="AU136" s="165" t="s">
        <v>82</v>
      </c>
      <c r="AY136" s="14" t="s">
        <v>179</v>
      </c>
      <c r="BE136" s="166">
        <f t="shared" ref="BE136:BE146" si="3">IF(N136="základná",J136,0)</f>
        <v>0</v>
      </c>
      <c r="BF136" s="166">
        <f t="shared" ref="BF136:BF146" si="4">IF(N136="znížená",J136,0)</f>
        <v>0</v>
      </c>
      <c r="BG136" s="166">
        <f t="shared" ref="BG136:BG146" si="5">IF(N136="zákl. prenesená",J136,0)</f>
        <v>0</v>
      </c>
      <c r="BH136" s="166">
        <f t="shared" ref="BH136:BH146" si="6">IF(N136="zníž. prenesená",J136,0)</f>
        <v>0</v>
      </c>
      <c r="BI136" s="166">
        <f t="shared" ref="BI136:BI146" si="7">IF(N136="nulová",J136,0)</f>
        <v>0</v>
      </c>
      <c r="BJ136" s="14" t="s">
        <v>82</v>
      </c>
      <c r="BK136" s="166">
        <f t="shared" ref="BK136:BK146" si="8">ROUND(I136*H136,2)</f>
        <v>0</v>
      </c>
      <c r="BL136" s="14" t="s">
        <v>185</v>
      </c>
      <c r="BM136" s="165" t="s">
        <v>82</v>
      </c>
    </row>
    <row r="137" spans="1:65" s="2" customFormat="1" ht="37.9" customHeight="1">
      <c r="A137" s="29"/>
      <c r="B137" s="152"/>
      <c r="C137" s="153" t="s">
        <v>82</v>
      </c>
      <c r="D137" s="153" t="s">
        <v>181</v>
      </c>
      <c r="E137" s="154" t="s">
        <v>2835</v>
      </c>
      <c r="F137" s="155" t="s">
        <v>2836</v>
      </c>
      <c r="G137" s="156" t="s">
        <v>196</v>
      </c>
      <c r="H137" s="157">
        <v>27.44</v>
      </c>
      <c r="I137" s="158"/>
      <c r="J137" s="159">
        <v>0</v>
      </c>
      <c r="K137" s="160"/>
      <c r="L137" s="30"/>
      <c r="M137" s="161" t="s">
        <v>1</v>
      </c>
      <c r="N137" s="162" t="s">
        <v>35</v>
      </c>
      <c r="O137" s="58"/>
      <c r="P137" s="163">
        <f t="shared" si="0"/>
        <v>0</v>
      </c>
      <c r="Q137" s="163">
        <v>0</v>
      </c>
      <c r="R137" s="163">
        <f t="shared" si="1"/>
        <v>0</v>
      </c>
      <c r="S137" s="163">
        <v>0</v>
      </c>
      <c r="T137" s="164">
        <f t="shared" si="2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185</v>
      </c>
      <c r="AT137" s="165" t="s">
        <v>181</v>
      </c>
      <c r="AU137" s="165" t="s">
        <v>82</v>
      </c>
      <c r="AY137" s="14" t="s">
        <v>179</v>
      </c>
      <c r="BE137" s="166">
        <f t="shared" si="3"/>
        <v>0</v>
      </c>
      <c r="BF137" s="166">
        <f t="shared" si="4"/>
        <v>0</v>
      </c>
      <c r="BG137" s="166">
        <f t="shared" si="5"/>
        <v>0</v>
      </c>
      <c r="BH137" s="166">
        <f t="shared" si="6"/>
        <v>0</v>
      </c>
      <c r="BI137" s="166">
        <f t="shared" si="7"/>
        <v>0</v>
      </c>
      <c r="BJ137" s="14" t="s">
        <v>82</v>
      </c>
      <c r="BK137" s="166">
        <f t="shared" si="8"/>
        <v>0</v>
      </c>
      <c r="BL137" s="14" t="s">
        <v>185</v>
      </c>
      <c r="BM137" s="165" t="s">
        <v>185</v>
      </c>
    </row>
    <row r="138" spans="1:65" s="2" customFormat="1" ht="33" customHeight="1">
      <c r="A138" s="29"/>
      <c r="B138" s="152"/>
      <c r="C138" s="153" t="s">
        <v>188</v>
      </c>
      <c r="D138" s="153" t="s">
        <v>181</v>
      </c>
      <c r="E138" s="154" t="s">
        <v>991</v>
      </c>
      <c r="F138" s="155" t="s">
        <v>992</v>
      </c>
      <c r="G138" s="156" t="s">
        <v>196</v>
      </c>
      <c r="H138" s="157">
        <v>2.94</v>
      </c>
      <c r="I138" s="158"/>
      <c r="J138" s="159">
        <v>0</v>
      </c>
      <c r="K138" s="160"/>
      <c r="L138" s="30"/>
      <c r="M138" s="161" t="s">
        <v>1</v>
      </c>
      <c r="N138" s="162" t="s">
        <v>35</v>
      </c>
      <c r="O138" s="58"/>
      <c r="P138" s="163">
        <f t="shared" si="0"/>
        <v>0</v>
      </c>
      <c r="Q138" s="163">
        <v>0</v>
      </c>
      <c r="R138" s="163">
        <f t="shared" si="1"/>
        <v>0</v>
      </c>
      <c r="S138" s="163">
        <v>0</v>
      </c>
      <c r="T138" s="164">
        <f t="shared" si="2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185</v>
      </c>
      <c r="AT138" s="165" t="s">
        <v>181</v>
      </c>
      <c r="AU138" s="165" t="s">
        <v>82</v>
      </c>
      <c r="AY138" s="14" t="s">
        <v>179</v>
      </c>
      <c r="BE138" s="166">
        <f t="shared" si="3"/>
        <v>0</v>
      </c>
      <c r="BF138" s="166">
        <f t="shared" si="4"/>
        <v>0</v>
      </c>
      <c r="BG138" s="166">
        <f t="shared" si="5"/>
        <v>0</v>
      </c>
      <c r="BH138" s="166">
        <f t="shared" si="6"/>
        <v>0</v>
      </c>
      <c r="BI138" s="166">
        <f t="shared" si="7"/>
        <v>0</v>
      </c>
      <c r="BJ138" s="14" t="s">
        <v>82</v>
      </c>
      <c r="BK138" s="166">
        <f t="shared" si="8"/>
        <v>0</v>
      </c>
      <c r="BL138" s="14" t="s">
        <v>185</v>
      </c>
      <c r="BM138" s="165" t="s">
        <v>192</v>
      </c>
    </row>
    <row r="139" spans="1:65" s="2" customFormat="1" ht="33" customHeight="1">
      <c r="A139" s="29"/>
      <c r="B139" s="152"/>
      <c r="C139" s="153" t="s">
        <v>185</v>
      </c>
      <c r="D139" s="153" t="s">
        <v>181</v>
      </c>
      <c r="E139" s="154" t="s">
        <v>995</v>
      </c>
      <c r="F139" s="155" t="s">
        <v>996</v>
      </c>
      <c r="G139" s="156" t="s">
        <v>196</v>
      </c>
      <c r="H139" s="157">
        <v>2.94</v>
      </c>
      <c r="I139" s="158"/>
      <c r="J139" s="159">
        <v>0</v>
      </c>
      <c r="K139" s="160"/>
      <c r="L139" s="30"/>
      <c r="M139" s="161" t="s">
        <v>1</v>
      </c>
      <c r="N139" s="162" t="s">
        <v>35</v>
      </c>
      <c r="O139" s="58"/>
      <c r="P139" s="163">
        <f t="shared" si="0"/>
        <v>0</v>
      </c>
      <c r="Q139" s="163">
        <v>0</v>
      </c>
      <c r="R139" s="163">
        <f t="shared" si="1"/>
        <v>0</v>
      </c>
      <c r="S139" s="163">
        <v>0</v>
      </c>
      <c r="T139" s="164">
        <f t="shared" si="2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185</v>
      </c>
      <c r="AT139" s="165" t="s">
        <v>181</v>
      </c>
      <c r="AU139" s="165" t="s">
        <v>82</v>
      </c>
      <c r="AY139" s="14" t="s">
        <v>179</v>
      </c>
      <c r="BE139" s="166">
        <f t="shared" si="3"/>
        <v>0</v>
      </c>
      <c r="BF139" s="166">
        <f t="shared" si="4"/>
        <v>0</v>
      </c>
      <c r="BG139" s="166">
        <f t="shared" si="5"/>
        <v>0</v>
      </c>
      <c r="BH139" s="166">
        <f t="shared" si="6"/>
        <v>0</v>
      </c>
      <c r="BI139" s="166">
        <f t="shared" si="7"/>
        <v>0</v>
      </c>
      <c r="BJ139" s="14" t="s">
        <v>82</v>
      </c>
      <c r="BK139" s="166">
        <f t="shared" si="8"/>
        <v>0</v>
      </c>
      <c r="BL139" s="14" t="s">
        <v>185</v>
      </c>
      <c r="BM139" s="165" t="s">
        <v>197</v>
      </c>
    </row>
    <row r="140" spans="1:65" s="2" customFormat="1" ht="24.2" customHeight="1">
      <c r="A140" s="29"/>
      <c r="B140" s="152"/>
      <c r="C140" s="153" t="s">
        <v>198</v>
      </c>
      <c r="D140" s="153" t="s">
        <v>181</v>
      </c>
      <c r="E140" s="154" t="s">
        <v>2837</v>
      </c>
      <c r="F140" s="155" t="s">
        <v>2838</v>
      </c>
      <c r="G140" s="156" t="s">
        <v>196</v>
      </c>
      <c r="H140" s="157">
        <v>2.94</v>
      </c>
      <c r="I140" s="158"/>
      <c r="J140" s="159">
        <v>0</v>
      </c>
      <c r="K140" s="160"/>
      <c r="L140" s="30"/>
      <c r="M140" s="161" t="s">
        <v>1</v>
      </c>
      <c r="N140" s="162" t="s">
        <v>35</v>
      </c>
      <c r="O140" s="58"/>
      <c r="P140" s="163">
        <f t="shared" si="0"/>
        <v>0</v>
      </c>
      <c r="Q140" s="163">
        <v>0</v>
      </c>
      <c r="R140" s="163">
        <f t="shared" si="1"/>
        <v>0</v>
      </c>
      <c r="S140" s="163">
        <v>0</v>
      </c>
      <c r="T140" s="164">
        <f t="shared" si="2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185</v>
      </c>
      <c r="AT140" s="165" t="s">
        <v>181</v>
      </c>
      <c r="AU140" s="165" t="s">
        <v>82</v>
      </c>
      <c r="AY140" s="14" t="s">
        <v>179</v>
      </c>
      <c r="BE140" s="166">
        <f t="shared" si="3"/>
        <v>0</v>
      </c>
      <c r="BF140" s="166">
        <f t="shared" si="4"/>
        <v>0</v>
      </c>
      <c r="BG140" s="166">
        <f t="shared" si="5"/>
        <v>0</v>
      </c>
      <c r="BH140" s="166">
        <f t="shared" si="6"/>
        <v>0</v>
      </c>
      <c r="BI140" s="166">
        <f t="shared" si="7"/>
        <v>0</v>
      </c>
      <c r="BJ140" s="14" t="s">
        <v>82</v>
      </c>
      <c r="BK140" s="166">
        <f t="shared" si="8"/>
        <v>0</v>
      </c>
      <c r="BL140" s="14" t="s">
        <v>185</v>
      </c>
      <c r="BM140" s="165" t="s">
        <v>201</v>
      </c>
    </row>
    <row r="141" spans="1:65" s="2" customFormat="1" ht="24.2" customHeight="1">
      <c r="A141" s="29"/>
      <c r="B141" s="152"/>
      <c r="C141" s="153" t="s">
        <v>192</v>
      </c>
      <c r="D141" s="153" t="s">
        <v>181</v>
      </c>
      <c r="E141" s="154" t="s">
        <v>999</v>
      </c>
      <c r="F141" s="155" t="s">
        <v>1000</v>
      </c>
      <c r="G141" s="156" t="s">
        <v>196</v>
      </c>
      <c r="H141" s="157">
        <v>2.94</v>
      </c>
      <c r="I141" s="158"/>
      <c r="J141" s="159">
        <v>0</v>
      </c>
      <c r="K141" s="160"/>
      <c r="L141" s="30"/>
      <c r="M141" s="161" t="s">
        <v>1</v>
      </c>
      <c r="N141" s="162" t="s">
        <v>35</v>
      </c>
      <c r="O141" s="58"/>
      <c r="P141" s="163">
        <f t="shared" si="0"/>
        <v>0</v>
      </c>
      <c r="Q141" s="163">
        <v>0</v>
      </c>
      <c r="R141" s="163">
        <f t="shared" si="1"/>
        <v>0</v>
      </c>
      <c r="S141" s="163">
        <v>0</v>
      </c>
      <c r="T141" s="164">
        <f t="shared" si="2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5" t="s">
        <v>185</v>
      </c>
      <c r="AT141" s="165" t="s">
        <v>181</v>
      </c>
      <c r="AU141" s="165" t="s">
        <v>82</v>
      </c>
      <c r="AY141" s="14" t="s">
        <v>179</v>
      </c>
      <c r="BE141" s="166">
        <f t="shared" si="3"/>
        <v>0</v>
      </c>
      <c r="BF141" s="166">
        <f t="shared" si="4"/>
        <v>0</v>
      </c>
      <c r="BG141" s="166">
        <f t="shared" si="5"/>
        <v>0</v>
      </c>
      <c r="BH141" s="166">
        <f t="shared" si="6"/>
        <v>0</v>
      </c>
      <c r="BI141" s="166">
        <f t="shared" si="7"/>
        <v>0</v>
      </c>
      <c r="BJ141" s="14" t="s">
        <v>82</v>
      </c>
      <c r="BK141" s="166">
        <f t="shared" si="8"/>
        <v>0</v>
      </c>
      <c r="BL141" s="14" t="s">
        <v>185</v>
      </c>
      <c r="BM141" s="165" t="s">
        <v>205</v>
      </c>
    </row>
    <row r="142" spans="1:65" s="2" customFormat="1" ht="16.5" customHeight="1">
      <c r="A142" s="29"/>
      <c r="B142" s="152"/>
      <c r="C142" s="153" t="s">
        <v>207</v>
      </c>
      <c r="D142" s="153" t="s">
        <v>181</v>
      </c>
      <c r="E142" s="154" t="s">
        <v>993</v>
      </c>
      <c r="F142" s="155" t="s">
        <v>994</v>
      </c>
      <c r="G142" s="156" t="s">
        <v>196</v>
      </c>
      <c r="H142" s="157">
        <v>2.94</v>
      </c>
      <c r="I142" s="158"/>
      <c r="J142" s="159">
        <v>0</v>
      </c>
      <c r="K142" s="160"/>
      <c r="L142" s="30"/>
      <c r="M142" s="161" t="s">
        <v>1</v>
      </c>
      <c r="N142" s="162" t="s">
        <v>35</v>
      </c>
      <c r="O142" s="58"/>
      <c r="P142" s="163">
        <f t="shared" si="0"/>
        <v>0</v>
      </c>
      <c r="Q142" s="163">
        <v>0</v>
      </c>
      <c r="R142" s="163">
        <f t="shared" si="1"/>
        <v>0</v>
      </c>
      <c r="S142" s="163">
        <v>0</v>
      </c>
      <c r="T142" s="164">
        <f t="shared" si="2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5" t="s">
        <v>185</v>
      </c>
      <c r="AT142" s="165" t="s">
        <v>181</v>
      </c>
      <c r="AU142" s="165" t="s">
        <v>82</v>
      </c>
      <c r="AY142" s="14" t="s">
        <v>179</v>
      </c>
      <c r="BE142" s="166">
        <f t="shared" si="3"/>
        <v>0</v>
      </c>
      <c r="BF142" s="166">
        <f t="shared" si="4"/>
        <v>0</v>
      </c>
      <c r="BG142" s="166">
        <f t="shared" si="5"/>
        <v>0</v>
      </c>
      <c r="BH142" s="166">
        <f t="shared" si="6"/>
        <v>0</v>
      </c>
      <c r="BI142" s="166">
        <f t="shared" si="7"/>
        <v>0</v>
      </c>
      <c r="BJ142" s="14" t="s">
        <v>82</v>
      </c>
      <c r="BK142" s="166">
        <f t="shared" si="8"/>
        <v>0</v>
      </c>
      <c r="BL142" s="14" t="s">
        <v>185</v>
      </c>
      <c r="BM142" s="165" t="s">
        <v>210</v>
      </c>
    </row>
    <row r="143" spans="1:65" s="2" customFormat="1" ht="24.2" customHeight="1">
      <c r="A143" s="29"/>
      <c r="B143" s="152"/>
      <c r="C143" s="153" t="s">
        <v>197</v>
      </c>
      <c r="D143" s="153" t="s">
        <v>181</v>
      </c>
      <c r="E143" s="154" t="s">
        <v>189</v>
      </c>
      <c r="F143" s="155" t="s">
        <v>2839</v>
      </c>
      <c r="G143" s="156" t="s">
        <v>191</v>
      </c>
      <c r="H143" s="157">
        <v>4.91</v>
      </c>
      <c r="I143" s="158"/>
      <c r="J143" s="159">
        <v>0</v>
      </c>
      <c r="K143" s="160"/>
      <c r="L143" s="30"/>
      <c r="M143" s="161" t="s">
        <v>1</v>
      </c>
      <c r="N143" s="162" t="s">
        <v>35</v>
      </c>
      <c r="O143" s="58"/>
      <c r="P143" s="163">
        <f t="shared" si="0"/>
        <v>0</v>
      </c>
      <c r="Q143" s="163">
        <v>0</v>
      </c>
      <c r="R143" s="163">
        <f t="shared" si="1"/>
        <v>0</v>
      </c>
      <c r="S143" s="163">
        <v>0</v>
      </c>
      <c r="T143" s="164">
        <f t="shared" si="2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185</v>
      </c>
      <c r="AT143" s="165" t="s">
        <v>181</v>
      </c>
      <c r="AU143" s="165" t="s">
        <v>82</v>
      </c>
      <c r="AY143" s="14" t="s">
        <v>179</v>
      </c>
      <c r="BE143" s="166">
        <f t="shared" si="3"/>
        <v>0</v>
      </c>
      <c r="BF143" s="166">
        <f t="shared" si="4"/>
        <v>0</v>
      </c>
      <c r="BG143" s="166">
        <f t="shared" si="5"/>
        <v>0</v>
      </c>
      <c r="BH143" s="166">
        <f t="shared" si="6"/>
        <v>0</v>
      </c>
      <c r="BI143" s="166">
        <f t="shared" si="7"/>
        <v>0</v>
      </c>
      <c r="BJ143" s="14" t="s">
        <v>82</v>
      </c>
      <c r="BK143" s="166">
        <f t="shared" si="8"/>
        <v>0</v>
      </c>
      <c r="BL143" s="14" t="s">
        <v>185</v>
      </c>
      <c r="BM143" s="165" t="s">
        <v>213</v>
      </c>
    </row>
    <row r="144" spans="1:65" s="2" customFormat="1" ht="24.2" customHeight="1">
      <c r="A144" s="29"/>
      <c r="B144" s="152"/>
      <c r="C144" s="153" t="s">
        <v>214</v>
      </c>
      <c r="D144" s="153" t="s">
        <v>181</v>
      </c>
      <c r="E144" s="154" t="s">
        <v>2840</v>
      </c>
      <c r="F144" s="155" t="s">
        <v>2841</v>
      </c>
      <c r="G144" s="156" t="s">
        <v>196</v>
      </c>
      <c r="H144" s="157">
        <v>26.88</v>
      </c>
      <c r="I144" s="158"/>
      <c r="J144" s="159">
        <v>0</v>
      </c>
      <c r="K144" s="160"/>
      <c r="L144" s="30"/>
      <c r="M144" s="161" t="s">
        <v>1</v>
      </c>
      <c r="N144" s="162" t="s">
        <v>35</v>
      </c>
      <c r="O144" s="58"/>
      <c r="P144" s="163">
        <f t="shared" si="0"/>
        <v>0</v>
      </c>
      <c r="Q144" s="163">
        <v>0</v>
      </c>
      <c r="R144" s="163">
        <f t="shared" si="1"/>
        <v>0</v>
      </c>
      <c r="S144" s="163">
        <v>0</v>
      </c>
      <c r="T144" s="164">
        <f t="shared" si="2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5" t="s">
        <v>185</v>
      </c>
      <c r="AT144" s="165" t="s">
        <v>181</v>
      </c>
      <c r="AU144" s="165" t="s">
        <v>82</v>
      </c>
      <c r="AY144" s="14" t="s">
        <v>179</v>
      </c>
      <c r="BE144" s="166">
        <f t="shared" si="3"/>
        <v>0</v>
      </c>
      <c r="BF144" s="166">
        <f t="shared" si="4"/>
        <v>0</v>
      </c>
      <c r="BG144" s="166">
        <f t="shared" si="5"/>
        <v>0</v>
      </c>
      <c r="BH144" s="166">
        <f t="shared" si="6"/>
        <v>0</v>
      </c>
      <c r="BI144" s="166">
        <f t="shared" si="7"/>
        <v>0</v>
      </c>
      <c r="BJ144" s="14" t="s">
        <v>82</v>
      </c>
      <c r="BK144" s="166">
        <f t="shared" si="8"/>
        <v>0</v>
      </c>
      <c r="BL144" s="14" t="s">
        <v>185</v>
      </c>
      <c r="BM144" s="165" t="s">
        <v>218</v>
      </c>
    </row>
    <row r="145" spans="1:65" s="2" customFormat="1" ht="24.2" customHeight="1">
      <c r="A145" s="29"/>
      <c r="B145" s="152"/>
      <c r="C145" s="153" t="s">
        <v>201</v>
      </c>
      <c r="D145" s="153" t="s">
        <v>181</v>
      </c>
      <c r="E145" s="154" t="s">
        <v>2842</v>
      </c>
      <c r="F145" s="155" t="s">
        <v>1004</v>
      </c>
      <c r="G145" s="156" t="s">
        <v>196</v>
      </c>
      <c r="H145" s="157">
        <v>8.4</v>
      </c>
      <c r="I145" s="158"/>
      <c r="J145" s="159">
        <v>0</v>
      </c>
      <c r="K145" s="160"/>
      <c r="L145" s="30"/>
      <c r="M145" s="161" t="s">
        <v>1</v>
      </c>
      <c r="N145" s="162" t="s">
        <v>35</v>
      </c>
      <c r="O145" s="58"/>
      <c r="P145" s="163">
        <f t="shared" si="0"/>
        <v>0</v>
      </c>
      <c r="Q145" s="163">
        <v>0</v>
      </c>
      <c r="R145" s="163">
        <f t="shared" si="1"/>
        <v>0</v>
      </c>
      <c r="S145" s="163">
        <v>0</v>
      </c>
      <c r="T145" s="164">
        <f t="shared" si="2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5" t="s">
        <v>185</v>
      </c>
      <c r="AT145" s="165" t="s">
        <v>181</v>
      </c>
      <c r="AU145" s="165" t="s">
        <v>82</v>
      </c>
      <c r="AY145" s="14" t="s">
        <v>179</v>
      </c>
      <c r="BE145" s="166">
        <f t="shared" si="3"/>
        <v>0</v>
      </c>
      <c r="BF145" s="166">
        <f t="shared" si="4"/>
        <v>0</v>
      </c>
      <c r="BG145" s="166">
        <f t="shared" si="5"/>
        <v>0</v>
      </c>
      <c r="BH145" s="166">
        <f t="shared" si="6"/>
        <v>0</v>
      </c>
      <c r="BI145" s="166">
        <f t="shared" si="7"/>
        <v>0</v>
      </c>
      <c r="BJ145" s="14" t="s">
        <v>82</v>
      </c>
      <c r="BK145" s="166">
        <f t="shared" si="8"/>
        <v>0</v>
      </c>
      <c r="BL145" s="14" t="s">
        <v>185</v>
      </c>
      <c r="BM145" s="165" t="s">
        <v>221</v>
      </c>
    </row>
    <row r="146" spans="1:65" s="2" customFormat="1" ht="16.5" customHeight="1">
      <c r="A146" s="29"/>
      <c r="B146" s="152"/>
      <c r="C146" s="167" t="s">
        <v>222</v>
      </c>
      <c r="D146" s="167" t="s">
        <v>202</v>
      </c>
      <c r="E146" s="168" t="s">
        <v>2843</v>
      </c>
      <c r="F146" s="169" t="s">
        <v>2844</v>
      </c>
      <c r="G146" s="170" t="s">
        <v>191</v>
      </c>
      <c r="H146" s="171">
        <v>29.414999999999999</v>
      </c>
      <c r="I146" s="172"/>
      <c r="J146" s="159">
        <v>0</v>
      </c>
      <c r="K146" s="174"/>
      <c r="L146" s="175"/>
      <c r="M146" s="176" t="s">
        <v>1</v>
      </c>
      <c r="N146" s="177" t="s">
        <v>35</v>
      </c>
      <c r="O146" s="58"/>
      <c r="P146" s="163">
        <f t="shared" si="0"/>
        <v>0</v>
      </c>
      <c r="Q146" s="163">
        <v>0</v>
      </c>
      <c r="R146" s="163">
        <f t="shared" si="1"/>
        <v>0</v>
      </c>
      <c r="S146" s="163">
        <v>0</v>
      </c>
      <c r="T146" s="164">
        <f t="shared" si="2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5" t="s">
        <v>197</v>
      </c>
      <c r="AT146" s="165" t="s">
        <v>202</v>
      </c>
      <c r="AU146" s="165" t="s">
        <v>82</v>
      </c>
      <c r="AY146" s="14" t="s">
        <v>179</v>
      </c>
      <c r="BE146" s="166">
        <f t="shared" si="3"/>
        <v>0</v>
      </c>
      <c r="BF146" s="166">
        <f t="shared" si="4"/>
        <v>0</v>
      </c>
      <c r="BG146" s="166">
        <f t="shared" si="5"/>
        <v>0</v>
      </c>
      <c r="BH146" s="166">
        <f t="shared" si="6"/>
        <v>0</v>
      </c>
      <c r="BI146" s="166">
        <f t="shared" si="7"/>
        <v>0</v>
      </c>
      <c r="BJ146" s="14" t="s">
        <v>82</v>
      </c>
      <c r="BK146" s="166">
        <f t="shared" si="8"/>
        <v>0</v>
      </c>
      <c r="BL146" s="14" t="s">
        <v>185</v>
      </c>
      <c r="BM146" s="165" t="s">
        <v>225</v>
      </c>
    </row>
    <row r="147" spans="1:65" s="12" customFormat="1" ht="22.9" customHeight="1">
      <c r="B147" s="139"/>
      <c r="D147" s="140" t="s">
        <v>68</v>
      </c>
      <c r="E147" s="150" t="s">
        <v>185</v>
      </c>
      <c r="F147" s="150" t="s">
        <v>1007</v>
      </c>
      <c r="I147" s="142"/>
      <c r="J147" s="159">
        <v>0</v>
      </c>
      <c r="L147" s="139"/>
      <c r="M147" s="144"/>
      <c r="N147" s="145"/>
      <c r="O147" s="145"/>
      <c r="P147" s="146">
        <f>SUM(P148:P149)</f>
        <v>0</v>
      </c>
      <c r="Q147" s="145"/>
      <c r="R147" s="146">
        <f>SUM(R148:R149)</f>
        <v>9.1039999999999996E-2</v>
      </c>
      <c r="S147" s="145"/>
      <c r="T147" s="147">
        <f>SUM(T148:T149)</f>
        <v>0</v>
      </c>
      <c r="AR147" s="140" t="s">
        <v>76</v>
      </c>
      <c r="AT147" s="148" t="s">
        <v>68</v>
      </c>
      <c r="AU147" s="148" t="s">
        <v>76</v>
      </c>
      <c r="AY147" s="140" t="s">
        <v>179</v>
      </c>
      <c r="BK147" s="149">
        <f>SUM(BK148:BK149)</f>
        <v>0</v>
      </c>
    </row>
    <row r="148" spans="1:65" s="2" customFormat="1" ht="37.9" customHeight="1">
      <c r="A148" s="29"/>
      <c r="B148" s="152"/>
      <c r="C148" s="153" t="s">
        <v>205</v>
      </c>
      <c r="D148" s="153" t="s">
        <v>181</v>
      </c>
      <c r="E148" s="154" t="s">
        <v>2949</v>
      </c>
      <c r="F148" s="155" t="s">
        <v>2950</v>
      </c>
      <c r="G148" s="156" t="s">
        <v>217</v>
      </c>
      <c r="H148" s="157">
        <v>2</v>
      </c>
      <c r="I148" s="158"/>
      <c r="J148" s="159">
        <v>0</v>
      </c>
      <c r="K148" s="160"/>
      <c r="L148" s="30"/>
      <c r="M148" s="161" t="s">
        <v>1</v>
      </c>
      <c r="N148" s="162" t="s">
        <v>35</v>
      </c>
      <c r="O148" s="58"/>
      <c r="P148" s="163">
        <f>O148*H148</f>
        <v>0</v>
      </c>
      <c r="Q148" s="163">
        <v>4.5519999999999998E-2</v>
      </c>
      <c r="R148" s="163">
        <f>Q148*H148</f>
        <v>9.1039999999999996E-2</v>
      </c>
      <c r="S148" s="163">
        <v>0</v>
      </c>
      <c r="T148" s="164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5" t="s">
        <v>185</v>
      </c>
      <c r="AT148" s="165" t="s">
        <v>181</v>
      </c>
      <c r="AU148" s="165" t="s">
        <v>82</v>
      </c>
      <c r="AY148" s="14" t="s">
        <v>179</v>
      </c>
      <c r="BE148" s="166">
        <f>IF(N148="základná",J148,0)</f>
        <v>0</v>
      </c>
      <c r="BF148" s="166">
        <f>IF(N148="znížená",J148,0)</f>
        <v>0</v>
      </c>
      <c r="BG148" s="166">
        <f>IF(N148="zákl. prenesená",J148,0)</f>
        <v>0</v>
      </c>
      <c r="BH148" s="166">
        <f>IF(N148="zníž. prenesená",J148,0)</f>
        <v>0</v>
      </c>
      <c r="BI148" s="166">
        <f>IF(N148="nulová",J148,0)</f>
        <v>0</v>
      </c>
      <c r="BJ148" s="14" t="s">
        <v>82</v>
      </c>
      <c r="BK148" s="166">
        <f>ROUND(I148*H148,2)</f>
        <v>0</v>
      </c>
      <c r="BL148" s="14" t="s">
        <v>185</v>
      </c>
      <c r="BM148" s="165" t="s">
        <v>228</v>
      </c>
    </row>
    <row r="149" spans="1:65" s="2" customFormat="1" ht="33" customHeight="1">
      <c r="A149" s="29"/>
      <c r="B149" s="152"/>
      <c r="C149" s="153" t="s">
        <v>229</v>
      </c>
      <c r="D149" s="153" t="s">
        <v>181</v>
      </c>
      <c r="E149" s="154" t="s">
        <v>2845</v>
      </c>
      <c r="F149" s="155" t="s">
        <v>2846</v>
      </c>
      <c r="G149" s="156" t="s">
        <v>196</v>
      </c>
      <c r="H149" s="157">
        <v>2.66</v>
      </c>
      <c r="I149" s="158"/>
      <c r="J149" s="159">
        <v>0</v>
      </c>
      <c r="K149" s="160"/>
      <c r="L149" s="30"/>
      <c r="M149" s="161" t="s">
        <v>1</v>
      </c>
      <c r="N149" s="162" t="s">
        <v>35</v>
      </c>
      <c r="O149" s="58"/>
      <c r="P149" s="163">
        <f>O149*H149</f>
        <v>0</v>
      </c>
      <c r="Q149" s="163">
        <v>0</v>
      </c>
      <c r="R149" s="163">
        <f>Q149*H149</f>
        <v>0</v>
      </c>
      <c r="S149" s="163">
        <v>0</v>
      </c>
      <c r="T149" s="164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5" t="s">
        <v>185</v>
      </c>
      <c r="AT149" s="165" t="s">
        <v>181</v>
      </c>
      <c r="AU149" s="165" t="s">
        <v>82</v>
      </c>
      <c r="AY149" s="14" t="s">
        <v>179</v>
      </c>
      <c r="BE149" s="166">
        <f>IF(N149="základná",J149,0)</f>
        <v>0</v>
      </c>
      <c r="BF149" s="166">
        <f>IF(N149="znížená",J149,0)</f>
        <v>0</v>
      </c>
      <c r="BG149" s="166">
        <f>IF(N149="zákl. prenesená",J149,0)</f>
        <v>0</v>
      </c>
      <c r="BH149" s="166">
        <f>IF(N149="zníž. prenesená",J149,0)</f>
        <v>0</v>
      </c>
      <c r="BI149" s="166">
        <f>IF(N149="nulová",J149,0)</f>
        <v>0</v>
      </c>
      <c r="BJ149" s="14" t="s">
        <v>82</v>
      </c>
      <c r="BK149" s="166">
        <f>ROUND(I149*H149,2)</f>
        <v>0</v>
      </c>
      <c r="BL149" s="14" t="s">
        <v>185</v>
      </c>
      <c r="BM149" s="165" t="s">
        <v>232</v>
      </c>
    </row>
    <row r="150" spans="1:65" s="12" customFormat="1" ht="22.9" customHeight="1">
      <c r="B150" s="139"/>
      <c r="D150" s="140" t="s">
        <v>68</v>
      </c>
      <c r="E150" s="150" t="s">
        <v>197</v>
      </c>
      <c r="F150" s="150" t="s">
        <v>2856</v>
      </c>
      <c r="I150" s="142"/>
      <c r="J150" s="159">
        <v>0</v>
      </c>
      <c r="L150" s="139"/>
      <c r="M150" s="144"/>
      <c r="N150" s="145"/>
      <c r="O150" s="145"/>
      <c r="P150" s="146">
        <f>SUM(P151:P156)</f>
        <v>0</v>
      </c>
      <c r="Q150" s="145"/>
      <c r="R150" s="146">
        <f>SUM(R151:R156)</f>
        <v>1.2547299999999999</v>
      </c>
      <c r="S150" s="145"/>
      <c r="T150" s="147">
        <f>SUM(T151:T156)</f>
        <v>0</v>
      </c>
      <c r="AR150" s="140" t="s">
        <v>76</v>
      </c>
      <c r="AT150" s="148" t="s">
        <v>68</v>
      </c>
      <c r="AU150" s="148" t="s">
        <v>76</v>
      </c>
      <c r="AY150" s="140" t="s">
        <v>179</v>
      </c>
      <c r="BK150" s="149">
        <f>SUM(BK151:BK156)</f>
        <v>0</v>
      </c>
    </row>
    <row r="151" spans="1:65" s="2" customFormat="1" ht="37.9" customHeight="1">
      <c r="A151" s="29"/>
      <c r="B151" s="152"/>
      <c r="C151" s="153" t="s">
        <v>210</v>
      </c>
      <c r="D151" s="153" t="s">
        <v>181</v>
      </c>
      <c r="E151" s="154" t="s">
        <v>2901</v>
      </c>
      <c r="F151" s="155" t="s">
        <v>2902</v>
      </c>
      <c r="G151" s="156" t="s">
        <v>293</v>
      </c>
      <c r="H151" s="157">
        <v>32</v>
      </c>
      <c r="I151" s="158"/>
      <c r="J151" s="159">
        <v>0</v>
      </c>
      <c r="K151" s="160"/>
      <c r="L151" s="30"/>
      <c r="M151" s="161" t="s">
        <v>1</v>
      </c>
      <c r="N151" s="162" t="s">
        <v>35</v>
      </c>
      <c r="O151" s="58"/>
      <c r="P151" s="163">
        <f t="shared" ref="P151:P156" si="9">O151*H151</f>
        <v>0</v>
      </c>
      <c r="Q151" s="163">
        <v>2.6700000000000001E-3</v>
      </c>
      <c r="R151" s="163">
        <f t="shared" ref="R151:R156" si="10">Q151*H151</f>
        <v>8.5440000000000002E-2</v>
      </c>
      <c r="S151" s="163">
        <v>0</v>
      </c>
      <c r="T151" s="164">
        <f t="shared" ref="T151:T156" si="11"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5" t="s">
        <v>185</v>
      </c>
      <c r="AT151" s="165" t="s">
        <v>181</v>
      </c>
      <c r="AU151" s="165" t="s">
        <v>82</v>
      </c>
      <c r="AY151" s="14" t="s">
        <v>179</v>
      </c>
      <c r="BE151" s="166">
        <f t="shared" ref="BE151:BE156" si="12">IF(N151="základná",J151,0)</f>
        <v>0</v>
      </c>
      <c r="BF151" s="166">
        <f t="shared" ref="BF151:BF156" si="13">IF(N151="znížená",J151,0)</f>
        <v>0</v>
      </c>
      <c r="BG151" s="166">
        <f t="shared" ref="BG151:BG156" si="14">IF(N151="zákl. prenesená",J151,0)</f>
        <v>0</v>
      </c>
      <c r="BH151" s="166">
        <f t="shared" ref="BH151:BH156" si="15">IF(N151="zníž. prenesená",J151,0)</f>
        <v>0</v>
      </c>
      <c r="BI151" s="166">
        <f t="shared" ref="BI151:BI156" si="16">IF(N151="nulová",J151,0)</f>
        <v>0</v>
      </c>
      <c r="BJ151" s="14" t="s">
        <v>82</v>
      </c>
      <c r="BK151" s="166">
        <f t="shared" ref="BK151:BK156" si="17">ROUND(I151*H151,2)</f>
        <v>0</v>
      </c>
      <c r="BL151" s="14" t="s">
        <v>185</v>
      </c>
      <c r="BM151" s="165" t="s">
        <v>235</v>
      </c>
    </row>
    <row r="152" spans="1:65" s="2" customFormat="1" ht="49.15" customHeight="1">
      <c r="A152" s="29"/>
      <c r="B152" s="152"/>
      <c r="C152" s="167" t="s">
        <v>236</v>
      </c>
      <c r="D152" s="167" t="s">
        <v>202</v>
      </c>
      <c r="E152" s="168" t="s">
        <v>2903</v>
      </c>
      <c r="F152" s="338" t="s">
        <v>3480</v>
      </c>
      <c r="G152" s="170" t="s">
        <v>293</v>
      </c>
      <c r="H152" s="171">
        <v>32</v>
      </c>
      <c r="I152" s="172"/>
      <c r="J152" s="159">
        <v>0</v>
      </c>
      <c r="K152" s="174"/>
      <c r="L152" s="175"/>
      <c r="M152" s="176" t="s">
        <v>1</v>
      </c>
      <c r="N152" s="177" t="s">
        <v>35</v>
      </c>
      <c r="O152" s="58"/>
      <c r="P152" s="163">
        <f t="shared" si="9"/>
        <v>0</v>
      </c>
      <c r="Q152" s="163">
        <v>6.3099999999999996E-3</v>
      </c>
      <c r="R152" s="163">
        <f t="shared" si="10"/>
        <v>0.20191999999999999</v>
      </c>
      <c r="S152" s="163">
        <v>0</v>
      </c>
      <c r="T152" s="164">
        <f t="shared" si="11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5" t="s">
        <v>197</v>
      </c>
      <c r="AT152" s="165" t="s">
        <v>202</v>
      </c>
      <c r="AU152" s="165" t="s">
        <v>82</v>
      </c>
      <c r="AY152" s="14" t="s">
        <v>179</v>
      </c>
      <c r="BE152" s="166">
        <f t="shared" si="12"/>
        <v>0</v>
      </c>
      <c r="BF152" s="166">
        <f t="shared" si="13"/>
        <v>0</v>
      </c>
      <c r="BG152" s="166">
        <f t="shared" si="14"/>
        <v>0</v>
      </c>
      <c r="BH152" s="166">
        <f t="shared" si="15"/>
        <v>0</v>
      </c>
      <c r="BI152" s="166">
        <f t="shared" si="16"/>
        <v>0</v>
      </c>
      <c r="BJ152" s="14" t="s">
        <v>82</v>
      </c>
      <c r="BK152" s="166">
        <f t="shared" si="17"/>
        <v>0</v>
      </c>
      <c r="BL152" s="14" t="s">
        <v>185</v>
      </c>
      <c r="BM152" s="165" t="s">
        <v>239</v>
      </c>
    </row>
    <row r="153" spans="1:65" s="2" customFormat="1" ht="44.25" customHeight="1">
      <c r="A153" s="29"/>
      <c r="B153" s="152"/>
      <c r="C153" s="153" t="s">
        <v>213</v>
      </c>
      <c r="D153" s="153" t="s">
        <v>181</v>
      </c>
      <c r="E153" s="154" t="s">
        <v>2860</v>
      </c>
      <c r="F153" s="155" t="s">
        <v>2951</v>
      </c>
      <c r="G153" s="156" t="s">
        <v>217</v>
      </c>
      <c r="H153" s="157">
        <v>2</v>
      </c>
      <c r="I153" s="158"/>
      <c r="J153" s="159">
        <v>0</v>
      </c>
      <c r="K153" s="160"/>
      <c r="L153" s="30"/>
      <c r="M153" s="161" t="s">
        <v>1</v>
      </c>
      <c r="N153" s="162" t="s">
        <v>35</v>
      </c>
      <c r="O153" s="58"/>
      <c r="P153" s="163">
        <f t="shared" si="9"/>
        <v>0</v>
      </c>
      <c r="Q153" s="163">
        <v>1.6045E-2</v>
      </c>
      <c r="R153" s="163">
        <f t="shared" si="10"/>
        <v>3.209E-2</v>
      </c>
      <c r="S153" s="163">
        <v>0</v>
      </c>
      <c r="T153" s="164">
        <f t="shared" si="11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5" t="s">
        <v>185</v>
      </c>
      <c r="AT153" s="165" t="s">
        <v>181</v>
      </c>
      <c r="AU153" s="165" t="s">
        <v>82</v>
      </c>
      <c r="AY153" s="14" t="s">
        <v>179</v>
      </c>
      <c r="BE153" s="166">
        <f t="shared" si="12"/>
        <v>0</v>
      </c>
      <c r="BF153" s="166">
        <f t="shared" si="13"/>
        <v>0</v>
      </c>
      <c r="BG153" s="166">
        <f t="shared" si="14"/>
        <v>0</v>
      </c>
      <c r="BH153" s="166">
        <f t="shared" si="15"/>
        <v>0</v>
      </c>
      <c r="BI153" s="166">
        <f t="shared" si="16"/>
        <v>0</v>
      </c>
      <c r="BJ153" s="14" t="s">
        <v>82</v>
      </c>
      <c r="BK153" s="166">
        <f t="shared" si="17"/>
        <v>0</v>
      </c>
      <c r="BL153" s="14" t="s">
        <v>185</v>
      </c>
      <c r="BM153" s="165" t="s">
        <v>242</v>
      </c>
    </row>
    <row r="154" spans="1:65" s="2" customFormat="1" ht="24.2" customHeight="1">
      <c r="A154" s="29"/>
      <c r="B154" s="152"/>
      <c r="C154" s="167" t="s">
        <v>243</v>
      </c>
      <c r="D154" s="167" t="s">
        <v>202</v>
      </c>
      <c r="E154" s="168" t="s">
        <v>2870</v>
      </c>
      <c r="F154" s="169" t="s">
        <v>2915</v>
      </c>
      <c r="G154" s="170" t="s">
        <v>217</v>
      </c>
      <c r="H154" s="171">
        <v>4</v>
      </c>
      <c r="I154" s="172"/>
      <c r="J154" s="159">
        <v>0</v>
      </c>
      <c r="K154" s="174"/>
      <c r="L154" s="175"/>
      <c r="M154" s="176" t="s">
        <v>1</v>
      </c>
      <c r="N154" s="177" t="s">
        <v>35</v>
      </c>
      <c r="O154" s="58"/>
      <c r="P154" s="163">
        <f t="shared" si="9"/>
        <v>0</v>
      </c>
      <c r="Q154" s="163">
        <v>3.8969999999999998E-2</v>
      </c>
      <c r="R154" s="163">
        <f t="shared" si="10"/>
        <v>0.15587999999999999</v>
      </c>
      <c r="S154" s="163">
        <v>0</v>
      </c>
      <c r="T154" s="164">
        <f t="shared" si="11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5" t="s">
        <v>197</v>
      </c>
      <c r="AT154" s="165" t="s">
        <v>202</v>
      </c>
      <c r="AU154" s="165" t="s">
        <v>82</v>
      </c>
      <c r="AY154" s="14" t="s">
        <v>179</v>
      </c>
      <c r="BE154" s="166">
        <f t="shared" si="12"/>
        <v>0</v>
      </c>
      <c r="BF154" s="166">
        <f t="shared" si="13"/>
        <v>0</v>
      </c>
      <c r="BG154" s="166">
        <f t="shared" si="14"/>
        <v>0</v>
      </c>
      <c r="BH154" s="166">
        <f t="shared" si="15"/>
        <v>0</v>
      </c>
      <c r="BI154" s="166">
        <f t="shared" si="16"/>
        <v>0</v>
      </c>
      <c r="BJ154" s="14" t="s">
        <v>82</v>
      </c>
      <c r="BK154" s="166">
        <f t="shared" si="17"/>
        <v>0</v>
      </c>
      <c r="BL154" s="14" t="s">
        <v>185</v>
      </c>
      <c r="BM154" s="165" t="s">
        <v>246</v>
      </c>
    </row>
    <row r="155" spans="1:65" s="2" customFormat="1" ht="24.2" customHeight="1">
      <c r="A155" s="29"/>
      <c r="B155" s="152"/>
      <c r="C155" s="167" t="s">
        <v>218</v>
      </c>
      <c r="D155" s="167" t="s">
        <v>202</v>
      </c>
      <c r="E155" s="168" t="s">
        <v>2872</v>
      </c>
      <c r="F155" s="169" t="s">
        <v>2916</v>
      </c>
      <c r="G155" s="170" t="s">
        <v>217</v>
      </c>
      <c r="H155" s="171">
        <v>4</v>
      </c>
      <c r="I155" s="172"/>
      <c r="J155" s="159">
        <v>0</v>
      </c>
      <c r="K155" s="174"/>
      <c r="L155" s="175"/>
      <c r="M155" s="176" t="s">
        <v>1</v>
      </c>
      <c r="N155" s="177" t="s">
        <v>35</v>
      </c>
      <c r="O155" s="58"/>
      <c r="P155" s="163">
        <f t="shared" si="9"/>
        <v>0</v>
      </c>
      <c r="Q155" s="163">
        <v>3.8969999999999998E-2</v>
      </c>
      <c r="R155" s="163">
        <f t="shared" si="10"/>
        <v>0.15587999999999999</v>
      </c>
      <c r="S155" s="163">
        <v>0</v>
      </c>
      <c r="T155" s="164">
        <f t="shared" si="11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5" t="s">
        <v>197</v>
      </c>
      <c r="AT155" s="165" t="s">
        <v>202</v>
      </c>
      <c r="AU155" s="165" t="s">
        <v>82</v>
      </c>
      <c r="AY155" s="14" t="s">
        <v>179</v>
      </c>
      <c r="BE155" s="166">
        <f t="shared" si="12"/>
        <v>0</v>
      </c>
      <c r="BF155" s="166">
        <f t="shared" si="13"/>
        <v>0</v>
      </c>
      <c r="BG155" s="166">
        <f t="shared" si="14"/>
        <v>0</v>
      </c>
      <c r="BH155" s="166">
        <f t="shared" si="15"/>
        <v>0</v>
      </c>
      <c r="BI155" s="166">
        <f t="shared" si="16"/>
        <v>0</v>
      </c>
      <c r="BJ155" s="14" t="s">
        <v>82</v>
      </c>
      <c r="BK155" s="166">
        <f t="shared" si="17"/>
        <v>0</v>
      </c>
      <c r="BL155" s="14" t="s">
        <v>185</v>
      </c>
      <c r="BM155" s="165" t="s">
        <v>250</v>
      </c>
    </row>
    <row r="156" spans="1:65" s="2" customFormat="1" ht="24.2" customHeight="1">
      <c r="A156" s="29"/>
      <c r="B156" s="152"/>
      <c r="C156" s="167" t="s">
        <v>251</v>
      </c>
      <c r="D156" s="167" t="s">
        <v>202</v>
      </c>
      <c r="E156" s="168" t="s">
        <v>2876</v>
      </c>
      <c r="F156" s="169" t="s">
        <v>2879</v>
      </c>
      <c r="G156" s="170" t="s">
        <v>293</v>
      </c>
      <c r="H156" s="171">
        <v>16</v>
      </c>
      <c r="I156" s="172"/>
      <c r="J156" s="159">
        <v>0</v>
      </c>
      <c r="K156" s="174"/>
      <c r="L156" s="175"/>
      <c r="M156" s="176" t="s">
        <v>1</v>
      </c>
      <c r="N156" s="177" t="s">
        <v>35</v>
      </c>
      <c r="O156" s="58"/>
      <c r="P156" s="163">
        <f t="shared" si="9"/>
        <v>0</v>
      </c>
      <c r="Q156" s="163">
        <v>3.8969999999999998E-2</v>
      </c>
      <c r="R156" s="163">
        <f t="shared" si="10"/>
        <v>0.62351999999999996</v>
      </c>
      <c r="S156" s="163">
        <v>0</v>
      </c>
      <c r="T156" s="164">
        <f t="shared" si="11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5" t="s">
        <v>197</v>
      </c>
      <c r="AT156" s="165" t="s">
        <v>202</v>
      </c>
      <c r="AU156" s="165" t="s">
        <v>82</v>
      </c>
      <c r="AY156" s="14" t="s">
        <v>179</v>
      </c>
      <c r="BE156" s="166">
        <f t="shared" si="12"/>
        <v>0</v>
      </c>
      <c r="BF156" s="166">
        <f t="shared" si="13"/>
        <v>0</v>
      </c>
      <c r="BG156" s="166">
        <f t="shared" si="14"/>
        <v>0</v>
      </c>
      <c r="BH156" s="166">
        <f t="shared" si="15"/>
        <v>0</v>
      </c>
      <c r="BI156" s="166">
        <f t="shared" si="16"/>
        <v>0</v>
      </c>
      <c r="BJ156" s="14" t="s">
        <v>82</v>
      </c>
      <c r="BK156" s="166">
        <f t="shared" si="17"/>
        <v>0</v>
      </c>
      <c r="BL156" s="14" t="s">
        <v>185</v>
      </c>
      <c r="BM156" s="165" t="s">
        <v>254</v>
      </c>
    </row>
    <row r="157" spans="1:65" s="12" customFormat="1" ht="22.9" customHeight="1">
      <c r="B157" s="139"/>
      <c r="D157" s="140" t="s">
        <v>68</v>
      </c>
      <c r="E157" s="150" t="s">
        <v>214</v>
      </c>
      <c r="F157" s="150" t="s">
        <v>1010</v>
      </c>
      <c r="I157" s="142"/>
      <c r="J157" s="159">
        <v>0</v>
      </c>
      <c r="L157" s="139"/>
      <c r="M157" s="144"/>
      <c r="N157" s="145"/>
      <c r="O157" s="145"/>
      <c r="P157" s="146">
        <f>SUM(P158:P164)</f>
        <v>0</v>
      </c>
      <c r="Q157" s="145"/>
      <c r="R157" s="146">
        <f>SUM(R158:R164)</f>
        <v>0</v>
      </c>
      <c r="S157" s="145"/>
      <c r="T157" s="147">
        <f>SUM(T158:T164)</f>
        <v>0</v>
      </c>
      <c r="AR157" s="140" t="s">
        <v>76</v>
      </c>
      <c r="AT157" s="148" t="s">
        <v>68</v>
      </c>
      <c r="AU157" s="148" t="s">
        <v>76</v>
      </c>
      <c r="AY157" s="140" t="s">
        <v>179</v>
      </c>
      <c r="BK157" s="149">
        <f>SUM(BK158:BK164)</f>
        <v>0</v>
      </c>
    </row>
    <row r="158" spans="1:65" s="2" customFormat="1" ht="33" customHeight="1">
      <c r="A158" s="29"/>
      <c r="B158" s="152"/>
      <c r="C158" s="153" t="s">
        <v>221</v>
      </c>
      <c r="D158" s="153" t="s">
        <v>181</v>
      </c>
      <c r="E158" s="154" t="s">
        <v>2136</v>
      </c>
      <c r="F158" s="155" t="s">
        <v>2882</v>
      </c>
      <c r="G158" s="156" t="s">
        <v>217</v>
      </c>
      <c r="H158" s="157">
        <v>2</v>
      </c>
      <c r="I158" s="158"/>
      <c r="J158" s="159">
        <v>0</v>
      </c>
      <c r="K158" s="160"/>
      <c r="L158" s="30"/>
      <c r="M158" s="161" t="s">
        <v>1</v>
      </c>
      <c r="N158" s="162" t="s">
        <v>35</v>
      </c>
      <c r="O158" s="58"/>
      <c r="P158" s="163">
        <f t="shared" ref="P158:P164" si="18">O158*H158</f>
        <v>0</v>
      </c>
      <c r="Q158" s="163">
        <v>0</v>
      </c>
      <c r="R158" s="163">
        <f t="shared" ref="R158:R164" si="19">Q158*H158</f>
        <v>0</v>
      </c>
      <c r="S158" s="163">
        <v>0</v>
      </c>
      <c r="T158" s="164">
        <f t="shared" ref="T158:T164" si="20"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5" t="s">
        <v>185</v>
      </c>
      <c r="AT158" s="165" t="s">
        <v>181</v>
      </c>
      <c r="AU158" s="165" t="s">
        <v>82</v>
      </c>
      <c r="AY158" s="14" t="s">
        <v>179</v>
      </c>
      <c r="BE158" s="166">
        <f t="shared" ref="BE158:BE164" si="21">IF(N158="základná",J158,0)</f>
        <v>0</v>
      </c>
      <c r="BF158" s="166">
        <f t="shared" ref="BF158:BF164" si="22">IF(N158="znížená",J158,0)</f>
        <v>0</v>
      </c>
      <c r="BG158" s="166">
        <f t="shared" ref="BG158:BG164" si="23">IF(N158="zákl. prenesená",J158,0)</f>
        <v>0</v>
      </c>
      <c r="BH158" s="166">
        <f t="shared" ref="BH158:BH164" si="24">IF(N158="zníž. prenesená",J158,0)</f>
        <v>0</v>
      </c>
      <c r="BI158" s="166">
        <f t="shared" ref="BI158:BI164" si="25">IF(N158="nulová",J158,0)</f>
        <v>0</v>
      </c>
      <c r="BJ158" s="14" t="s">
        <v>82</v>
      </c>
      <c r="BK158" s="166">
        <f t="shared" ref="BK158:BK164" si="26">ROUND(I158*H158,2)</f>
        <v>0</v>
      </c>
      <c r="BL158" s="14" t="s">
        <v>185</v>
      </c>
      <c r="BM158" s="165" t="s">
        <v>257</v>
      </c>
    </row>
    <row r="159" spans="1:65" s="2" customFormat="1" ht="21.75" customHeight="1">
      <c r="A159" s="29"/>
      <c r="B159" s="152"/>
      <c r="C159" s="153" t="s">
        <v>258</v>
      </c>
      <c r="D159" s="153" t="s">
        <v>181</v>
      </c>
      <c r="E159" s="154" t="s">
        <v>2138</v>
      </c>
      <c r="F159" s="155" t="s">
        <v>1019</v>
      </c>
      <c r="G159" s="156" t="s">
        <v>191</v>
      </c>
      <c r="H159" s="157">
        <v>4.7640000000000002</v>
      </c>
      <c r="I159" s="158"/>
      <c r="J159" s="159">
        <v>0</v>
      </c>
      <c r="K159" s="160"/>
      <c r="L159" s="30"/>
      <c r="M159" s="161" t="s">
        <v>1</v>
      </c>
      <c r="N159" s="162" t="s">
        <v>35</v>
      </c>
      <c r="O159" s="58"/>
      <c r="P159" s="163">
        <f t="shared" si="18"/>
        <v>0</v>
      </c>
      <c r="Q159" s="163">
        <v>0</v>
      </c>
      <c r="R159" s="163">
        <f t="shared" si="19"/>
        <v>0</v>
      </c>
      <c r="S159" s="163">
        <v>0</v>
      </c>
      <c r="T159" s="164">
        <f t="shared" si="20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5" t="s">
        <v>185</v>
      </c>
      <c r="AT159" s="165" t="s">
        <v>181</v>
      </c>
      <c r="AU159" s="165" t="s">
        <v>82</v>
      </c>
      <c r="AY159" s="14" t="s">
        <v>179</v>
      </c>
      <c r="BE159" s="166">
        <f t="shared" si="21"/>
        <v>0</v>
      </c>
      <c r="BF159" s="166">
        <f t="shared" si="22"/>
        <v>0</v>
      </c>
      <c r="BG159" s="166">
        <f t="shared" si="23"/>
        <v>0</v>
      </c>
      <c r="BH159" s="166">
        <f t="shared" si="24"/>
        <v>0</v>
      </c>
      <c r="BI159" s="166">
        <f t="shared" si="25"/>
        <v>0</v>
      </c>
      <c r="BJ159" s="14" t="s">
        <v>82</v>
      </c>
      <c r="BK159" s="166">
        <f t="shared" si="26"/>
        <v>0</v>
      </c>
      <c r="BL159" s="14" t="s">
        <v>185</v>
      </c>
      <c r="BM159" s="165" t="s">
        <v>261</v>
      </c>
    </row>
    <row r="160" spans="1:65" s="2" customFormat="1" ht="24.2" customHeight="1">
      <c r="A160" s="29"/>
      <c r="B160" s="152"/>
      <c r="C160" s="153" t="s">
        <v>225</v>
      </c>
      <c r="D160" s="153" t="s">
        <v>181</v>
      </c>
      <c r="E160" s="154" t="s">
        <v>2917</v>
      </c>
      <c r="F160" s="155" t="s">
        <v>2918</v>
      </c>
      <c r="G160" s="156" t="s">
        <v>217</v>
      </c>
      <c r="H160" s="157">
        <v>5</v>
      </c>
      <c r="I160" s="158"/>
      <c r="J160" s="159">
        <v>0</v>
      </c>
      <c r="K160" s="160"/>
      <c r="L160" s="30"/>
      <c r="M160" s="161" t="s">
        <v>1</v>
      </c>
      <c r="N160" s="162" t="s">
        <v>35</v>
      </c>
      <c r="O160" s="58"/>
      <c r="P160" s="163">
        <f t="shared" si="18"/>
        <v>0</v>
      </c>
      <c r="Q160" s="163">
        <v>0</v>
      </c>
      <c r="R160" s="163">
        <f t="shared" si="19"/>
        <v>0</v>
      </c>
      <c r="S160" s="163">
        <v>0</v>
      </c>
      <c r="T160" s="164">
        <f t="shared" si="20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5" t="s">
        <v>185</v>
      </c>
      <c r="AT160" s="165" t="s">
        <v>181</v>
      </c>
      <c r="AU160" s="165" t="s">
        <v>82</v>
      </c>
      <c r="AY160" s="14" t="s">
        <v>179</v>
      </c>
      <c r="BE160" s="166">
        <f t="shared" si="21"/>
        <v>0</v>
      </c>
      <c r="BF160" s="166">
        <f t="shared" si="22"/>
        <v>0</v>
      </c>
      <c r="BG160" s="166">
        <f t="shared" si="23"/>
        <v>0</v>
      </c>
      <c r="BH160" s="166">
        <f t="shared" si="24"/>
        <v>0</v>
      </c>
      <c r="BI160" s="166">
        <f t="shared" si="25"/>
        <v>0</v>
      </c>
      <c r="BJ160" s="14" t="s">
        <v>82</v>
      </c>
      <c r="BK160" s="166">
        <f t="shared" si="26"/>
        <v>0</v>
      </c>
      <c r="BL160" s="14" t="s">
        <v>185</v>
      </c>
      <c r="BM160" s="165" t="s">
        <v>265</v>
      </c>
    </row>
    <row r="161" spans="1:65" s="2" customFormat="1" ht="24.2" customHeight="1">
      <c r="A161" s="29"/>
      <c r="B161" s="152"/>
      <c r="C161" s="153" t="s">
        <v>7</v>
      </c>
      <c r="D161" s="153" t="s">
        <v>181</v>
      </c>
      <c r="E161" s="154" t="s">
        <v>2139</v>
      </c>
      <c r="F161" s="155" t="s">
        <v>2140</v>
      </c>
      <c r="G161" s="156" t="s">
        <v>191</v>
      </c>
      <c r="H161" s="157">
        <v>5.2750000000000004</v>
      </c>
      <c r="I161" s="158"/>
      <c r="J161" s="159">
        <v>0</v>
      </c>
      <c r="K161" s="160"/>
      <c r="L161" s="30"/>
      <c r="M161" s="161" t="s">
        <v>1</v>
      </c>
      <c r="N161" s="162" t="s">
        <v>35</v>
      </c>
      <c r="O161" s="58"/>
      <c r="P161" s="163">
        <f t="shared" si="18"/>
        <v>0</v>
      </c>
      <c r="Q161" s="163">
        <v>0</v>
      </c>
      <c r="R161" s="163">
        <f t="shared" si="19"/>
        <v>0</v>
      </c>
      <c r="S161" s="163">
        <v>0</v>
      </c>
      <c r="T161" s="164">
        <f t="shared" si="20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5" t="s">
        <v>185</v>
      </c>
      <c r="AT161" s="165" t="s">
        <v>181</v>
      </c>
      <c r="AU161" s="165" t="s">
        <v>82</v>
      </c>
      <c r="AY161" s="14" t="s">
        <v>179</v>
      </c>
      <c r="BE161" s="166">
        <f t="shared" si="21"/>
        <v>0</v>
      </c>
      <c r="BF161" s="166">
        <f t="shared" si="22"/>
        <v>0</v>
      </c>
      <c r="BG161" s="166">
        <f t="shared" si="23"/>
        <v>0</v>
      </c>
      <c r="BH161" s="166">
        <f t="shared" si="24"/>
        <v>0</v>
      </c>
      <c r="BI161" s="166">
        <f t="shared" si="25"/>
        <v>0</v>
      </c>
      <c r="BJ161" s="14" t="s">
        <v>82</v>
      </c>
      <c r="BK161" s="166">
        <f t="shared" si="26"/>
        <v>0</v>
      </c>
      <c r="BL161" s="14" t="s">
        <v>185</v>
      </c>
      <c r="BM161" s="165" t="s">
        <v>268</v>
      </c>
    </row>
    <row r="162" spans="1:65" s="2" customFormat="1" ht="24.2" customHeight="1">
      <c r="A162" s="29"/>
      <c r="B162" s="152"/>
      <c r="C162" s="153" t="s">
        <v>228</v>
      </c>
      <c r="D162" s="153" t="s">
        <v>181</v>
      </c>
      <c r="E162" s="154" t="s">
        <v>525</v>
      </c>
      <c r="F162" s="155" t="s">
        <v>526</v>
      </c>
      <c r="G162" s="156" t="s">
        <v>191</v>
      </c>
      <c r="H162" s="157">
        <v>5.2750000000000004</v>
      </c>
      <c r="I162" s="158"/>
      <c r="J162" s="159">
        <v>0</v>
      </c>
      <c r="K162" s="160"/>
      <c r="L162" s="30"/>
      <c r="M162" s="161" t="s">
        <v>1</v>
      </c>
      <c r="N162" s="162" t="s">
        <v>35</v>
      </c>
      <c r="O162" s="58"/>
      <c r="P162" s="163">
        <f t="shared" si="18"/>
        <v>0</v>
      </c>
      <c r="Q162" s="163">
        <v>0</v>
      </c>
      <c r="R162" s="163">
        <f t="shared" si="19"/>
        <v>0</v>
      </c>
      <c r="S162" s="163">
        <v>0</v>
      </c>
      <c r="T162" s="164">
        <f t="shared" si="20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5" t="s">
        <v>185</v>
      </c>
      <c r="AT162" s="165" t="s">
        <v>181</v>
      </c>
      <c r="AU162" s="165" t="s">
        <v>82</v>
      </c>
      <c r="AY162" s="14" t="s">
        <v>179</v>
      </c>
      <c r="BE162" s="166">
        <f t="shared" si="21"/>
        <v>0</v>
      </c>
      <c r="BF162" s="166">
        <f t="shared" si="22"/>
        <v>0</v>
      </c>
      <c r="BG162" s="166">
        <f t="shared" si="23"/>
        <v>0</v>
      </c>
      <c r="BH162" s="166">
        <f t="shared" si="24"/>
        <v>0</v>
      </c>
      <c r="BI162" s="166">
        <f t="shared" si="25"/>
        <v>0</v>
      </c>
      <c r="BJ162" s="14" t="s">
        <v>82</v>
      </c>
      <c r="BK162" s="166">
        <f t="shared" si="26"/>
        <v>0</v>
      </c>
      <c r="BL162" s="14" t="s">
        <v>185</v>
      </c>
      <c r="BM162" s="165" t="s">
        <v>271</v>
      </c>
    </row>
    <row r="163" spans="1:65" s="2" customFormat="1" ht="24.2" customHeight="1">
      <c r="A163" s="29"/>
      <c r="B163" s="152"/>
      <c r="C163" s="153" t="s">
        <v>272</v>
      </c>
      <c r="D163" s="153" t="s">
        <v>181</v>
      </c>
      <c r="E163" s="154" t="s">
        <v>1024</v>
      </c>
      <c r="F163" s="155" t="s">
        <v>1025</v>
      </c>
      <c r="G163" s="156" t="s">
        <v>191</v>
      </c>
      <c r="H163" s="157">
        <v>0.51100000000000001</v>
      </c>
      <c r="I163" s="158"/>
      <c r="J163" s="159">
        <v>0</v>
      </c>
      <c r="K163" s="160"/>
      <c r="L163" s="30"/>
      <c r="M163" s="161" t="s">
        <v>1</v>
      </c>
      <c r="N163" s="162" t="s">
        <v>35</v>
      </c>
      <c r="O163" s="58"/>
      <c r="P163" s="163">
        <f t="shared" si="18"/>
        <v>0</v>
      </c>
      <c r="Q163" s="163">
        <v>0</v>
      </c>
      <c r="R163" s="163">
        <f t="shared" si="19"/>
        <v>0</v>
      </c>
      <c r="S163" s="163">
        <v>0</v>
      </c>
      <c r="T163" s="164">
        <f t="shared" si="20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5" t="s">
        <v>185</v>
      </c>
      <c r="AT163" s="165" t="s">
        <v>181</v>
      </c>
      <c r="AU163" s="165" t="s">
        <v>82</v>
      </c>
      <c r="AY163" s="14" t="s">
        <v>179</v>
      </c>
      <c r="BE163" s="166">
        <f t="shared" si="21"/>
        <v>0</v>
      </c>
      <c r="BF163" s="166">
        <f t="shared" si="22"/>
        <v>0</v>
      </c>
      <c r="BG163" s="166">
        <f t="shared" si="23"/>
        <v>0</v>
      </c>
      <c r="BH163" s="166">
        <f t="shared" si="24"/>
        <v>0</v>
      </c>
      <c r="BI163" s="166">
        <f t="shared" si="25"/>
        <v>0</v>
      </c>
      <c r="BJ163" s="14" t="s">
        <v>82</v>
      </c>
      <c r="BK163" s="166">
        <f t="shared" si="26"/>
        <v>0</v>
      </c>
      <c r="BL163" s="14" t="s">
        <v>185</v>
      </c>
      <c r="BM163" s="165" t="s">
        <v>275</v>
      </c>
    </row>
    <row r="164" spans="1:65" s="2" customFormat="1" ht="37.9" customHeight="1">
      <c r="A164" s="29"/>
      <c r="B164" s="152"/>
      <c r="C164" s="153" t="s">
        <v>232</v>
      </c>
      <c r="D164" s="153" t="s">
        <v>181</v>
      </c>
      <c r="E164" s="154" t="s">
        <v>2141</v>
      </c>
      <c r="F164" s="155" t="s">
        <v>2142</v>
      </c>
      <c r="G164" s="156" t="s">
        <v>191</v>
      </c>
      <c r="H164" s="157">
        <v>4.7640000000000002</v>
      </c>
      <c r="I164" s="158"/>
      <c r="J164" s="159">
        <v>0</v>
      </c>
      <c r="K164" s="160"/>
      <c r="L164" s="30"/>
      <c r="M164" s="161" t="s">
        <v>1</v>
      </c>
      <c r="N164" s="162" t="s">
        <v>35</v>
      </c>
      <c r="O164" s="58"/>
      <c r="P164" s="163">
        <f t="shared" si="18"/>
        <v>0</v>
      </c>
      <c r="Q164" s="163">
        <v>0</v>
      </c>
      <c r="R164" s="163">
        <f t="shared" si="19"/>
        <v>0</v>
      </c>
      <c r="S164" s="163">
        <v>0</v>
      </c>
      <c r="T164" s="164">
        <f t="shared" si="20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5" t="s">
        <v>185</v>
      </c>
      <c r="AT164" s="165" t="s">
        <v>181</v>
      </c>
      <c r="AU164" s="165" t="s">
        <v>82</v>
      </c>
      <c r="AY164" s="14" t="s">
        <v>179</v>
      </c>
      <c r="BE164" s="166">
        <f t="shared" si="21"/>
        <v>0</v>
      </c>
      <c r="BF164" s="166">
        <f t="shared" si="22"/>
        <v>0</v>
      </c>
      <c r="BG164" s="166">
        <f t="shared" si="23"/>
        <v>0</v>
      </c>
      <c r="BH164" s="166">
        <f t="shared" si="24"/>
        <v>0</v>
      </c>
      <c r="BI164" s="166">
        <f t="shared" si="25"/>
        <v>0</v>
      </c>
      <c r="BJ164" s="14" t="s">
        <v>82</v>
      </c>
      <c r="BK164" s="166">
        <f t="shared" si="26"/>
        <v>0</v>
      </c>
      <c r="BL164" s="14" t="s">
        <v>185</v>
      </c>
      <c r="BM164" s="165" t="s">
        <v>279</v>
      </c>
    </row>
    <row r="165" spans="1:65" s="12" customFormat="1" ht="22.9" customHeight="1">
      <c r="B165" s="139"/>
      <c r="D165" s="140" t="s">
        <v>68</v>
      </c>
      <c r="E165" s="150" t="s">
        <v>535</v>
      </c>
      <c r="F165" s="150" t="s">
        <v>2883</v>
      </c>
      <c r="I165" s="142"/>
      <c r="J165" s="159">
        <v>0</v>
      </c>
      <c r="L165" s="139"/>
      <c r="M165" s="144"/>
      <c r="N165" s="145"/>
      <c r="O165" s="145"/>
      <c r="P165" s="146">
        <f>SUM(P166:P167)</f>
        <v>0</v>
      </c>
      <c r="Q165" s="145"/>
      <c r="R165" s="146">
        <f>SUM(R166:R167)</f>
        <v>0</v>
      </c>
      <c r="S165" s="145"/>
      <c r="T165" s="147">
        <f>SUM(T166:T167)</f>
        <v>0</v>
      </c>
      <c r="AR165" s="140" t="s">
        <v>76</v>
      </c>
      <c r="AT165" s="148" t="s">
        <v>68</v>
      </c>
      <c r="AU165" s="148" t="s">
        <v>76</v>
      </c>
      <c r="AY165" s="140" t="s">
        <v>179</v>
      </c>
      <c r="BK165" s="149">
        <f>SUM(BK166:BK167)</f>
        <v>0</v>
      </c>
    </row>
    <row r="166" spans="1:65" s="2" customFormat="1" ht="24.2" customHeight="1">
      <c r="A166" s="29"/>
      <c r="B166" s="152"/>
      <c r="C166" s="153" t="s">
        <v>280</v>
      </c>
      <c r="D166" s="153" t="s">
        <v>181</v>
      </c>
      <c r="E166" s="154" t="s">
        <v>2884</v>
      </c>
      <c r="F166" s="155" t="s">
        <v>2885</v>
      </c>
      <c r="G166" s="156" t="s">
        <v>191</v>
      </c>
      <c r="H166" s="157">
        <v>1.3460000000000001</v>
      </c>
      <c r="I166" s="158"/>
      <c r="J166" s="159">
        <v>0</v>
      </c>
      <c r="K166" s="160"/>
      <c r="L166" s="30"/>
      <c r="M166" s="161" t="s">
        <v>1</v>
      </c>
      <c r="N166" s="162" t="s">
        <v>35</v>
      </c>
      <c r="O166" s="58"/>
      <c r="P166" s="163">
        <f>O166*H166</f>
        <v>0</v>
      </c>
      <c r="Q166" s="163">
        <v>0</v>
      </c>
      <c r="R166" s="163">
        <f>Q166*H166</f>
        <v>0</v>
      </c>
      <c r="S166" s="163">
        <v>0</v>
      </c>
      <c r="T166" s="164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5" t="s">
        <v>185</v>
      </c>
      <c r="AT166" s="165" t="s">
        <v>181</v>
      </c>
      <c r="AU166" s="165" t="s">
        <v>82</v>
      </c>
      <c r="AY166" s="14" t="s">
        <v>179</v>
      </c>
      <c r="BE166" s="166">
        <f>IF(N166="základná",J166,0)</f>
        <v>0</v>
      </c>
      <c r="BF166" s="166">
        <f>IF(N166="znížená",J166,0)</f>
        <v>0</v>
      </c>
      <c r="BG166" s="166">
        <f>IF(N166="zákl. prenesená",J166,0)</f>
        <v>0</v>
      </c>
      <c r="BH166" s="166">
        <f>IF(N166="zníž. prenesená",J166,0)</f>
        <v>0</v>
      </c>
      <c r="BI166" s="166">
        <f>IF(N166="nulová",J166,0)</f>
        <v>0</v>
      </c>
      <c r="BJ166" s="14" t="s">
        <v>82</v>
      </c>
      <c r="BK166" s="166">
        <f>ROUND(I166*H166,2)</f>
        <v>0</v>
      </c>
      <c r="BL166" s="14" t="s">
        <v>185</v>
      </c>
      <c r="BM166" s="165" t="s">
        <v>283</v>
      </c>
    </row>
    <row r="167" spans="1:65" s="2" customFormat="1" ht="44.25" customHeight="1">
      <c r="A167" s="29"/>
      <c r="B167" s="152"/>
      <c r="C167" s="153" t="s">
        <v>235</v>
      </c>
      <c r="D167" s="153" t="s">
        <v>181</v>
      </c>
      <c r="E167" s="154" t="s">
        <v>2886</v>
      </c>
      <c r="F167" s="155" t="s">
        <v>2887</v>
      </c>
      <c r="G167" s="156" t="s">
        <v>191</v>
      </c>
      <c r="H167" s="157">
        <v>1.3460000000000001</v>
      </c>
      <c r="I167" s="158"/>
      <c r="J167" s="159">
        <v>0</v>
      </c>
      <c r="K167" s="160"/>
      <c r="L167" s="30"/>
      <c r="M167" s="161" t="s">
        <v>1</v>
      </c>
      <c r="N167" s="162" t="s">
        <v>35</v>
      </c>
      <c r="O167" s="58"/>
      <c r="P167" s="163">
        <f>O167*H167</f>
        <v>0</v>
      </c>
      <c r="Q167" s="163">
        <v>0</v>
      </c>
      <c r="R167" s="163">
        <f>Q167*H167</f>
        <v>0</v>
      </c>
      <c r="S167" s="163">
        <v>0</v>
      </c>
      <c r="T167" s="164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5" t="s">
        <v>185</v>
      </c>
      <c r="AT167" s="165" t="s">
        <v>181</v>
      </c>
      <c r="AU167" s="165" t="s">
        <v>82</v>
      </c>
      <c r="AY167" s="14" t="s">
        <v>179</v>
      </c>
      <c r="BE167" s="166">
        <f>IF(N167="základná",J167,0)</f>
        <v>0</v>
      </c>
      <c r="BF167" s="166">
        <f>IF(N167="znížená",J167,0)</f>
        <v>0</v>
      </c>
      <c r="BG167" s="166">
        <f>IF(N167="zákl. prenesená",J167,0)</f>
        <v>0</v>
      </c>
      <c r="BH167" s="166">
        <f>IF(N167="zníž. prenesená",J167,0)</f>
        <v>0</v>
      </c>
      <c r="BI167" s="166">
        <f>IF(N167="nulová",J167,0)</f>
        <v>0</v>
      </c>
      <c r="BJ167" s="14" t="s">
        <v>82</v>
      </c>
      <c r="BK167" s="166">
        <f>ROUND(I167*H167,2)</f>
        <v>0</v>
      </c>
      <c r="BL167" s="14" t="s">
        <v>185</v>
      </c>
      <c r="BM167" s="165" t="s">
        <v>286</v>
      </c>
    </row>
    <row r="168" spans="1:65" s="12" customFormat="1" ht="25.9" customHeight="1">
      <c r="B168" s="139"/>
      <c r="D168" s="140" t="s">
        <v>68</v>
      </c>
      <c r="E168" s="141" t="s">
        <v>554</v>
      </c>
      <c r="F168" s="141" t="s">
        <v>1026</v>
      </c>
      <c r="I168" s="142"/>
      <c r="J168" s="159">
        <v>0</v>
      </c>
      <c r="L168" s="139"/>
      <c r="M168" s="144"/>
      <c r="N168" s="145"/>
      <c r="O168" s="145"/>
      <c r="P168" s="146">
        <f>P169+P176+P185+P194+P199</f>
        <v>0</v>
      </c>
      <c r="Q168" s="145"/>
      <c r="R168" s="146">
        <f>R169+R176+R185+R194+R199</f>
        <v>0.13580999999999999</v>
      </c>
      <c r="S168" s="145"/>
      <c r="T168" s="147">
        <f>T169+T176+T185+T194+T199</f>
        <v>0</v>
      </c>
      <c r="AR168" s="140" t="s">
        <v>82</v>
      </c>
      <c r="AT168" s="148" t="s">
        <v>68</v>
      </c>
      <c r="AU168" s="148" t="s">
        <v>69</v>
      </c>
      <c r="AY168" s="140" t="s">
        <v>179</v>
      </c>
      <c r="BK168" s="149">
        <f>BK169+BK176+BK185+BK194+BK199</f>
        <v>0</v>
      </c>
    </row>
    <row r="169" spans="1:65" s="12" customFormat="1" ht="22.9" customHeight="1">
      <c r="B169" s="139"/>
      <c r="D169" s="140" t="s">
        <v>68</v>
      </c>
      <c r="E169" s="150" t="s">
        <v>600</v>
      </c>
      <c r="F169" s="150" t="s">
        <v>1027</v>
      </c>
      <c r="I169" s="142"/>
      <c r="J169" s="159">
        <v>0</v>
      </c>
      <c r="L169" s="139"/>
      <c r="M169" s="144"/>
      <c r="N169" s="145"/>
      <c r="O169" s="145"/>
      <c r="P169" s="146">
        <f>SUM(P170:P175)</f>
        <v>0</v>
      </c>
      <c r="Q169" s="145"/>
      <c r="R169" s="146">
        <f>SUM(R170:R175)</f>
        <v>6.0999999999999987E-4</v>
      </c>
      <c r="S169" s="145"/>
      <c r="T169" s="147">
        <f>SUM(T170:T175)</f>
        <v>0</v>
      </c>
      <c r="AR169" s="140" t="s">
        <v>82</v>
      </c>
      <c r="AT169" s="148" t="s">
        <v>68</v>
      </c>
      <c r="AU169" s="148" t="s">
        <v>76</v>
      </c>
      <c r="AY169" s="140" t="s">
        <v>179</v>
      </c>
      <c r="BK169" s="149">
        <f>SUM(BK170:BK175)</f>
        <v>0</v>
      </c>
    </row>
    <row r="170" spans="1:65" s="2" customFormat="1" ht="33" customHeight="1">
      <c r="A170" s="29"/>
      <c r="B170" s="152"/>
      <c r="C170" s="153" t="s">
        <v>287</v>
      </c>
      <c r="D170" s="153" t="s">
        <v>181</v>
      </c>
      <c r="E170" s="154" t="s">
        <v>2143</v>
      </c>
      <c r="F170" s="155" t="s">
        <v>2144</v>
      </c>
      <c r="G170" s="156" t="s">
        <v>184</v>
      </c>
      <c r="H170" s="157">
        <v>7.5</v>
      </c>
      <c r="I170" s="158"/>
      <c r="J170" s="159">
        <v>0</v>
      </c>
      <c r="K170" s="160"/>
      <c r="L170" s="30"/>
      <c r="M170" s="161" t="s">
        <v>1</v>
      </c>
      <c r="N170" s="162" t="s">
        <v>35</v>
      </c>
      <c r="O170" s="58"/>
      <c r="P170" s="163">
        <f t="shared" ref="P170:P175" si="27">O170*H170</f>
        <v>0</v>
      </c>
      <c r="Q170" s="163">
        <v>0</v>
      </c>
      <c r="R170" s="163">
        <f t="shared" ref="R170:R175" si="28">Q170*H170</f>
        <v>0</v>
      </c>
      <c r="S170" s="163">
        <v>0</v>
      </c>
      <c r="T170" s="164">
        <f t="shared" ref="T170:T175" si="29"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5" t="s">
        <v>213</v>
      </c>
      <c r="AT170" s="165" t="s">
        <v>181</v>
      </c>
      <c r="AU170" s="165" t="s">
        <v>82</v>
      </c>
      <c r="AY170" s="14" t="s">
        <v>179</v>
      </c>
      <c r="BE170" s="166">
        <f t="shared" ref="BE170:BE175" si="30">IF(N170="základná",J170,0)</f>
        <v>0</v>
      </c>
      <c r="BF170" s="166">
        <f t="shared" ref="BF170:BF175" si="31">IF(N170="znížená",J170,0)</f>
        <v>0</v>
      </c>
      <c r="BG170" s="166">
        <f t="shared" ref="BG170:BG175" si="32">IF(N170="zákl. prenesená",J170,0)</f>
        <v>0</v>
      </c>
      <c r="BH170" s="166">
        <f t="shared" ref="BH170:BH175" si="33">IF(N170="zníž. prenesená",J170,0)</f>
        <v>0</v>
      </c>
      <c r="BI170" s="166">
        <f t="shared" ref="BI170:BI175" si="34">IF(N170="nulová",J170,0)</f>
        <v>0</v>
      </c>
      <c r="BJ170" s="14" t="s">
        <v>82</v>
      </c>
      <c r="BK170" s="166">
        <f t="shared" ref="BK170:BK175" si="35">ROUND(I170*H170,2)</f>
        <v>0</v>
      </c>
      <c r="BL170" s="14" t="s">
        <v>213</v>
      </c>
      <c r="BM170" s="165" t="s">
        <v>290</v>
      </c>
    </row>
    <row r="171" spans="1:65" s="2" customFormat="1" ht="16.5" customHeight="1">
      <c r="A171" s="29"/>
      <c r="B171" s="152"/>
      <c r="C171" s="153" t="s">
        <v>239</v>
      </c>
      <c r="D171" s="153" t="s">
        <v>181</v>
      </c>
      <c r="E171" s="154" t="s">
        <v>1038</v>
      </c>
      <c r="F171" s="155" t="s">
        <v>2919</v>
      </c>
      <c r="G171" s="156" t="s">
        <v>293</v>
      </c>
      <c r="H171" s="157">
        <v>4</v>
      </c>
      <c r="I171" s="158"/>
      <c r="J171" s="159">
        <v>0</v>
      </c>
      <c r="K171" s="160"/>
      <c r="L171" s="30"/>
      <c r="M171" s="161" t="s">
        <v>1</v>
      </c>
      <c r="N171" s="162" t="s">
        <v>35</v>
      </c>
      <c r="O171" s="58"/>
      <c r="P171" s="163">
        <f t="shared" si="27"/>
        <v>0</v>
      </c>
      <c r="Q171" s="163">
        <v>1.0000000000000001E-5</v>
      </c>
      <c r="R171" s="163">
        <f t="shared" si="28"/>
        <v>4.0000000000000003E-5</v>
      </c>
      <c r="S171" s="163">
        <v>0</v>
      </c>
      <c r="T171" s="164">
        <f t="shared" si="29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5" t="s">
        <v>213</v>
      </c>
      <c r="AT171" s="165" t="s">
        <v>181</v>
      </c>
      <c r="AU171" s="165" t="s">
        <v>82</v>
      </c>
      <c r="AY171" s="14" t="s">
        <v>179</v>
      </c>
      <c r="BE171" s="166">
        <f t="shared" si="30"/>
        <v>0</v>
      </c>
      <c r="BF171" s="166">
        <f t="shared" si="31"/>
        <v>0</v>
      </c>
      <c r="BG171" s="166">
        <f t="shared" si="32"/>
        <v>0</v>
      </c>
      <c r="BH171" s="166">
        <f t="shared" si="33"/>
        <v>0</v>
      </c>
      <c r="BI171" s="166">
        <f t="shared" si="34"/>
        <v>0</v>
      </c>
      <c r="BJ171" s="14" t="s">
        <v>82</v>
      </c>
      <c r="BK171" s="166">
        <f t="shared" si="35"/>
        <v>0</v>
      </c>
      <c r="BL171" s="14" t="s">
        <v>213</v>
      </c>
      <c r="BM171" s="165" t="s">
        <v>294</v>
      </c>
    </row>
    <row r="172" spans="1:65" s="2" customFormat="1" ht="33" customHeight="1">
      <c r="A172" s="29"/>
      <c r="B172" s="152"/>
      <c r="C172" s="167" t="s">
        <v>295</v>
      </c>
      <c r="D172" s="167" t="s">
        <v>202</v>
      </c>
      <c r="E172" s="168" t="s">
        <v>2146</v>
      </c>
      <c r="F172" s="338" t="s">
        <v>3428</v>
      </c>
      <c r="G172" s="170" t="s">
        <v>293</v>
      </c>
      <c r="H172" s="171">
        <v>4</v>
      </c>
      <c r="I172" s="172"/>
      <c r="J172" s="159">
        <v>0</v>
      </c>
      <c r="K172" s="174"/>
      <c r="L172" s="175"/>
      <c r="M172" s="176" t="s">
        <v>1</v>
      </c>
      <c r="N172" s="177" t="s">
        <v>35</v>
      </c>
      <c r="O172" s="58"/>
      <c r="P172" s="163">
        <f t="shared" si="27"/>
        <v>0</v>
      </c>
      <c r="Q172" s="163">
        <v>6.9999999999999994E-5</v>
      </c>
      <c r="R172" s="163">
        <f t="shared" si="28"/>
        <v>2.7999999999999998E-4</v>
      </c>
      <c r="S172" s="163">
        <v>0</v>
      </c>
      <c r="T172" s="164">
        <f t="shared" si="29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5" t="s">
        <v>242</v>
      </c>
      <c r="AT172" s="165" t="s">
        <v>202</v>
      </c>
      <c r="AU172" s="165" t="s">
        <v>82</v>
      </c>
      <c r="AY172" s="14" t="s">
        <v>179</v>
      </c>
      <c r="BE172" s="166">
        <f t="shared" si="30"/>
        <v>0</v>
      </c>
      <c r="BF172" s="166">
        <f t="shared" si="31"/>
        <v>0</v>
      </c>
      <c r="BG172" s="166">
        <f t="shared" si="32"/>
        <v>0</v>
      </c>
      <c r="BH172" s="166">
        <f t="shared" si="33"/>
        <v>0</v>
      </c>
      <c r="BI172" s="166">
        <f t="shared" si="34"/>
        <v>0</v>
      </c>
      <c r="BJ172" s="14" t="s">
        <v>82</v>
      </c>
      <c r="BK172" s="166">
        <f t="shared" si="35"/>
        <v>0</v>
      </c>
      <c r="BL172" s="14" t="s">
        <v>213</v>
      </c>
      <c r="BM172" s="165" t="s">
        <v>298</v>
      </c>
    </row>
    <row r="173" spans="1:65" s="2" customFormat="1" ht="16.5" customHeight="1">
      <c r="A173" s="29"/>
      <c r="B173" s="152"/>
      <c r="C173" s="153" t="s">
        <v>242</v>
      </c>
      <c r="D173" s="153" t="s">
        <v>181</v>
      </c>
      <c r="E173" s="154" t="s">
        <v>2162</v>
      </c>
      <c r="F173" s="155" t="s">
        <v>2921</v>
      </c>
      <c r="G173" s="156" t="s">
        <v>184</v>
      </c>
      <c r="H173" s="157">
        <v>0.5</v>
      </c>
      <c r="I173" s="158"/>
      <c r="J173" s="159">
        <v>0</v>
      </c>
      <c r="K173" s="160"/>
      <c r="L173" s="30"/>
      <c r="M173" s="161" t="s">
        <v>1</v>
      </c>
      <c r="N173" s="162" t="s">
        <v>35</v>
      </c>
      <c r="O173" s="58"/>
      <c r="P173" s="163">
        <f t="shared" si="27"/>
        <v>0</v>
      </c>
      <c r="Q173" s="163">
        <v>2.9999999999999997E-4</v>
      </c>
      <c r="R173" s="163">
        <f t="shared" si="28"/>
        <v>1.4999999999999999E-4</v>
      </c>
      <c r="S173" s="163">
        <v>0</v>
      </c>
      <c r="T173" s="164">
        <f t="shared" si="29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5" t="s">
        <v>213</v>
      </c>
      <c r="AT173" s="165" t="s">
        <v>181</v>
      </c>
      <c r="AU173" s="165" t="s">
        <v>82</v>
      </c>
      <c r="AY173" s="14" t="s">
        <v>179</v>
      </c>
      <c r="BE173" s="166">
        <f t="shared" si="30"/>
        <v>0</v>
      </c>
      <c r="BF173" s="166">
        <f t="shared" si="31"/>
        <v>0</v>
      </c>
      <c r="BG173" s="166">
        <f t="shared" si="32"/>
        <v>0</v>
      </c>
      <c r="BH173" s="166">
        <f t="shared" si="33"/>
        <v>0</v>
      </c>
      <c r="BI173" s="166">
        <f t="shared" si="34"/>
        <v>0</v>
      </c>
      <c r="BJ173" s="14" t="s">
        <v>82</v>
      </c>
      <c r="BK173" s="166">
        <f t="shared" si="35"/>
        <v>0</v>
      </c>
      <c r="BL173" s="14" t="s">
        <v>213</v>
      </c>
      <c r="BM173" s="165" t="s">
        <v>301</v>
      </c>
    </row>
    <row r="174" spans="1:65" s="2" customFormat="1" ht="37.9" customHeight="1">
      <c r="A174" s="29"/>
      <c r="B174" s="152"/>
      <c r="C174" s="167" t="s">
        <v>302</v>
      </c>
      <c r="D174" s="167" t="s">
        <v>202</v>
      </c>
      <c r="E174" s="168" t="s">
        <v>2158</v>
      </c>
      <c r="F174" s="169" t="s">
        <v>2922</v>
      </c>
      <c r="G174" s="170" t="s">
        <v>184</v>
      </c>
      <c r="H174" s="171">
        <v>0.5</v>
      </c>
      <c r="I174" s="172"/>
      <c r="J174" s="159">
        <v>0</v>
      </c>
      <c r="K174" s="174"/>
      <c r="L174" s="175"/>
      <c r="M174" s="176" t="s">
        <v>1</v>
      </c>
      <c r="N174" s="177" t="s">
        <v>35</v>
      </c>
      <c r="O174" s="58"/>
      <c r="P174" s="163">
        <f t="shared" si="27"/>
        <v>0</v>
      </c>
      <c r="Q174" s="163">
        <v>2.7999999999999998E-4</v>
      </c>
      <c r="R174" s="163">
        <f t="shared" si="28"/>
        <v>1.3999999999999999E-4</v>
      </c>
      <c r="S174" s="163">
        <v>0</v>
      </c>
      <c r="T174" s="164">
        <f t="shared" si="29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5" t="s">
        <v>242</v>
      </c>
      <c r="AT174" s="165" t="s">
        <v>202</v>
      </c>
      <c r="AU174" s="165" t="s">
        <v>82</v>
      </c>
      <c r="AY174" s="14" t="s">
        <v>179</v>
      </c>
      <c r="BE174" s="166">
        <f t="shared" si="30"/>
        <v>0</v>
      </c>
      <c r="BF174" s="166">
        <f t="shared" si="31"/>
        <v>0</v>
      </c>
      <c r="BG174" s="166">
        <f t="shared" si="32"/>
        <v>0</v>
      </c>
      <c r="BH174" s="166">
        <f t="shared" si="33"/>
        <v>0</v>
      </c>
      <c r="BI174" s="166">
        <f t="shared" si="34"/>
        <v>0</v>
      </c>
      <c r="BJ174" s="14" t="s">
        <v>82</v>
      </c>
      <c r="BK174" s="166">
        <f t="shared" si="35"/>
        <v>0</v>
      </c>
      <c r="BL174" s="14" t="s">
        <v>213</v>
      </c>
      <c r="BM174" s="165" t="s">
        <v>305</v>
      </c>
    </row>
    <row r="175" spans="1:65" s="2" customFormat="1" ht="24.2" customHeight="1">
      <c r="A175" s="29"/>
      <c r="B175" s="152"/>
      <c r="C175" s="153" t="s">
        <v>246</v>
      </c>
      <c r="D175" s="153" t="s">
        <v>181</v>
      </c>
      <c r="E175" s="154" t="s">
        <v>609</v>
      </c>
      <c r="F175" s="155" t="s">
        <v>610</v>
      </c>
      <c r="G175" s="156" t="s">
        <v>585</v>
      </c>
      <c r="H175" s="178"/>
      <c r="I175" s="158"/>
      <c r="J175" s="159">
        <v>0</v>
      </c>
      <c r="K175" s="160"/>
      <c r="L175" s="30"/>
      <c r="M175" s="161" t="s">
        <v>1</v>
      </c>
      <c r="N175" s="162" t="s">
        <v>35</v>
      </c>
      <c r="O175" s="58"/>
      <c r="P175" s="163">
        <f t="shared" si="27"/>
        <v>0</v>
      </c>
      <c r="Q175" s="163">
        <v>0</v>
      </c>
      <c r="R175" s="163">
        <f t="shared" si="28"/>
        <v>0</v>
      </c>
      <c r="S175" s="163">
        <v>0</v>
      </c>
      <c r="T175" s="164">
        <f t="shared" si="29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5" t="s">
        <v>213</v>
      </c>
      <c r="AT175" s="165" t="s">
        <v>181</v>
      </c>
      <c r="AU175" s="165" t="s">
        <v>82</v>
      </c>
      <c r="AY175" s="14" t="s">
        <v>179</v>
      </c>
      <c r="BE175" s="166">
        <f t="shared" si="30"/>
        <v>0</v>
      </c>
      <c r="BF175" s="166">
        <f t="shared" si="31"/>
        <v>0</v>
      </c>
      <c r="BG175" s="166">
        <f t="shared" si="32"/>
        <v>0</v>
      </c>
      <c r="BH175" s="166">
        <f t="shared" si="33"/>
        <v>0</v>
      </c>
      <c r="BI175" s="166">
        <f t="shared" si="34"/>
        <v>0</v>
      </c>
      <c r="BJ175" s="14" t="s">
        <v>82</v>
      </c>
      <c r="BK175" s="166">
        <f t="shared" si="35"/>
        <v>0</v>
      </c>
      <c r="BL175" s="14" t="s">
        <v>213</v>
      </c>
      <c r="BM175" s="165" t="s">
        <v>308</v>
      </c>
    </row>
    <row r="176" spans="1:65" s="12" customFormat="1" ht="22.9" customHeight="1">
      <c r="B176" s="139"/>
      <c r="D176" s="140" t="s">
        <v>68</v>
      </c>
      <c r="E176" s="150" t="s">
        <v>2408</v>
      </c>
      <c r="F176" s="150" t="s">
        <v>2409</v>
      </c>
      <c r="I176" s="142"/>
      <c r="J176" s="159">
        <v>0</v>
      </c>
      <c r="L176" s="139"/>
      <c r="M176" s="144"/>
      <c r="N176" s="145"/>
      <c r="O176" s="145"/>
      <c r="P176" s="146">
        <f>SUM(P177:P184)</f>
        <v>0</v>
      </c>
      <c r="Q176" s="145"/>
      <c r="R176" s="146">
        <f>SUM(R177:R184)</f>
        <v>7.5300000000000006E-2</v>
      </c>
      <c r="S176" s="145"/>
      <c r="T176" s="147">
        <f>SUM(T177:T184)</f>
        <v>0</v>
      </c>
      <c r="AR176" s="140" t="s">
        <v>82</v>
      </c>
      <c r="AT176" s="148" t="s">
        <v>68</v>
      </c>
      <c r="AU176" s="148" t="s">
        <v>76</v>
      </c>
      <c r="AY176" s="140" t="s">
        <v>179</v>
      </c>
      <c r="BK176" s="149">
        <f>SUM(BK177:BK184)</f>
        <v>0</v>
      </c>
    </row>
    <row r="177" spans="1:65" s="2" customFormat="1" ht="24.2" customHeight="1">
      <c r="A177" s="29"/>
      <c r="B177" s="152"/>
      <c r="C177" s="153" t="s">
        <v>309</v>
      </c>
      <c r="D177" s="153" t="s">
        <v>181</v>
      </c>
      <c r="E177" s="154" t="s">
        <v>2414</v>
      </c>
      <c r="F177" s="155" t="s">
        <v>2415</v>
      </c>
      <c r="G177" s="156" t="s">
        <v>293</v>
      </c>
      <c r="H177" s="157">
        <v>40</v>
      </c>
      <c r="I177" s="158"/>
      <c r="J177" s="159">
        <v>0</v>
      </c>
      <c r="K177" s="160"/>
      <c r="L177" s="30"/>
      <c r="M177" s="161" t="s">
        <v>1</v>
      </c>
      <c r="N177" s="162" t="s">
        <v>35</v>
      </c>
      <c r="O177" s="58"/>
      <c r="P177" s="163">
        <f t="shared" ref="P177:P184" si="36">O177*H177</f>
        <v>0</v>
      </c>
      <c r="Q177" s="163">
        <v>8.975E-5</v>
      </c>
      <c r="R177" s="163">
        <f t="shared" ref="R177:R184" si="37">Q177*H177</f>
        <v>3.5899999999999999E-3</v>
      </c>
      <c r="S177" s="163">
        <v>0</v>
      </c>
      <c r="T177" s="164">
        <f t="shared" ref="T177:T184" si="38">S177*H177</f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5" t="s">
        <v>213</v>
      </c>
      <c r="AT177" s="165" t="s">
        <v>181</v>
      </c>
      <c r="AU177" s="165" t="s">
        <v>82</v>
      </c>
      <c r="AY177" s="14" t="s">
        <v>179</v>
      </c>
      <c r="BE177" s="166">
        <f t="shared" ref="BE177:BE184" si="39">IF(N177="základná",J177,0)</f>
        <v>0</v>
      </c>
      <c r="BF177" s="166">
        <f t="shared" ref="BF177:BF184" si="40">IF(N177="znížená",J177,0)</f>
        <v>0</v>
      </c>
      <c r="BG177" s="166">
        <f t="shared" ref="BG177:BG184" si="41">IF(N177="zákl. prenesená",J177,0)</f>
        <v>0</v>
      </c>
      <c r="BH177" s="166">
        <f t="shared" ref="BH177:BH184" si="42">IF(N177="zníž. prenesená",J177,0)</f>
        <v>0</v>
      </c>
      <c r="BI177" s="166">
        <f t="shared" ref="BI177:BI184" si="43">IF(N177="nulová",J177,0)</f>
        <v>0</v>
      </c>
      <c r="BJ177" s="14" t="s">
        <v>82</v>
      </c>
      <c r="BK177" s="166">
        <f t="shared" ref="BK177:BK184" si="44">ROUND(I177*H177,2)</f>
        <v>0</v>
      </c>
      <c r="BL177" s="14" t="s">
        <v>213</v>
      </c>
      <c r="BM177" s="165" t="s">
        <v>312</v>
      </c>
    </row>
    <row r="178" spans="1:65" s="2" customFormat="1" ht="24.2" customHeight="1">
      <c r="A178" s="29"/>
      <c r="B178" s="152"/>
      <c r="C178" s="153" t="s">
        <v>250</v>
      </c>
      <c r="D178" s="153" t="s">
        <v>181</v>
      </c>
      <c r="E178" s="154" t="s">
        <v>2893</v>
      </c>
      <c r="F178" s="155" t="s">
        <v>2894</v>
      </c>
      <c r="G178" s="156" t="s">
        <v>217</v>
      </c>
      <c r="H178" s="157">
        <v>12</v>
      </c>
      <c r="I178" s="158"/>
      <c r="J178" s="159">
        <v>0</v>
      </c>
      <c r="K178" s="160"/>
      <c r="L178" s="30"/>
      <c r="M178" s="161" t="s">
        <v>1</v>
      </c>
      <c r="N178" s="162" t="s">
        <v>35</v>
      </c>
      <c r="O178" s="58"/>
      <c r="P178" s="163">
        <f t="shared" si="36"/>
        <v>0</v>
      </c>
      <c r="Q178" s="163">
        <v>1.66666666666667E-6</v>
      </c>
      <c r="R178" s="163">
        <f t="shared" si="37"/>
        <v>2.0000000000000039E-5</v>
      </c>
      <c r="S178" s="163">
        <v>0</v>
      </c>
      <c r="T178" s="164">
        <f t="shared" si="3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5" t="s">
        <v>213</v>
      </c>
      <c r="AT178" s="165" t="s">
        <v>181</v>
      </c>
      <c r="AU178" s="165" t="s">
        <v>82</v>
      </c>
      <c r="AY178" s="14" t="s">
        <v>179</v>
      </c>
      <c r="BE178" s="166">
        <f t="shared" si="39"/>
        <v>0</v>
      </c>
      <c r="BF178" s="166">
        <f t="shared" si="40"/>
        <v>0</v>
      </c>
      <c r="BG178" s="166">
        <f t="shared" si="41"/>
        <v>0</v>
      </c>
      <c r="BH178" s="166">
        <f t="shared" si="42"/>
        <v>0</v>
      </c>
      <c r="BI178" s="166">
        <f t="shared" si="43"/>
        <v>0</v>
      </c>
      <c r="BJ178" s="14" t="s">
        <v>82</v>
      </c>
      <c r="BK178" s="166">
        <f t="shared" si="44"/>
        <v>0</v>
      </c>
      <c r="BL178" s="14" t="s">
        <v>213</v>
      </c>
      <c r="BM178" s="165" t="s">
        <v>315</v>
      </c>
    </row>
    <row r="179" spans="1:65" s="2" customFormat="1" ht="33" customHeight="1">
      <c r="A179" s="29"/>
      <c r="B179" s="152"/>
      <c r="C179" s="153" t="s">
        <v>316</v>
      </c>
      <c r="D179" s="153" t="s">
        <v>181</v>
      </c>
      <c r="E179" s="154" t="s">
        <v>2952</v>
      </c>
      <c r="F179" s="155" t="s">
        <v>2953</v>
      </c>
      <c r="G179" s="156" t="s">
        <v>217</v>
      </c>
      <c r="H179" s="157">
        <v>6</v>
      </c>
      <c r="I179" s="158"/>
      <c r="J179" s="159">
        <v>0</v>
      </c>
      <c r="K179" s="160"/>
      <c r="L179" s="30"/>
      <c r="M179" s="161" t="s">
        <v>1</v>
      </c>
      <c r="N179" s="162" t="s">
        <v>35</v>
      </c>
      <c r="O179" s="58"/>
      <c r="P179" s="163">
        <f t="shared" si="36"/>
        <v>0</v>
      </c>
      <c r="Q179" s="163">
        <v>2.0000000000000002E-5</v>
      </c>
      <c r="R179" s="163">
        <f t="shared" si="37"/>
        <v>1.2000000000000002E-4</v>
      </c>
      <c r="S179" s="163">
        <v>0</v>
      </c>
      <c r="T179" s="164">
        <f t="shared" si="3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5" t="s">
        <v>213</v>
      </c>
      <c r="AT179" s="165" t="s">
        <v>181</v>
      </c>
      <c r="AU179" s="165" t="s">
        <v>82</v>
      </c>
      <c r="AY179" s="14" t="s">
        <v>179</v>
      </c>
      <c r="BE179" s="166">
        <f t="shared" si="39"/>
        <v>0</v>
      </c>
      <c r="BF179" s="166">
        <f t="shared" si="40"/>
        <v>0</v>
      </c>
      <c r="BG179" s="166">
        <f t="shared" si="41"/>
        <v>0</v>
      </c>
      <c r="BH179" s="166">
        <f t="shared" si="42"/>
        <v>0</v>
      </c>
      <c r="BI179" s="166">
        <f t="shared" si="43"/>
        <v>0</v>
      </c>
      <c r="BJ179" s="14" t="s">
        <v>82</v>
      </c>
      <c r="BK179" s="166">
        <f t="shared" si="44"/>
        <v>0</v>
      </c>
      <c r="BL179" s="14" t="s">
        <v>213</v>
      </c>
      <c r="BM179" s="165" t="s">
        <v>319</v>
      </c>
    </row>
    <row r="180" spans="1:65" s="2" customFormat="1" ht="24.2" customHeight="1">
      <c r="A180" s="29"/>
      <c r="B180" s="152"/>
      <c r="C180" s="153" t="s">
        <v>254</v>
      </c>
      <c r="D180" s="153" t="s">
        <v>181</v>
      </c>
      <c r="E180" s="154" t="s">
        <v>2418</v>
      </c>
      <c r="F180" s="155" t="s">
        <v>2419</v>
      </c>
      <c r="G180" s="156" t="s">
        <v>293</v>
      </c>
      <c r="H180" s="157">
        <v>4</v>
      </c>
      <c r="I180" s="158"/>
      <c r="J180" s="159">
        <v>0</v>
      </c>
      <c r="K180" s="160"/>
      <c r="L180" s="30"/>
      <c r="M180" s="161" t="s">
        <v>1</v>
      </c>
      <c r="N180" s="162" t="s">
        <v>35</v>
      </c>
      <c r="O180" s="58"/>
      <c r="P180" s="163">
        <f t="shared" si="36"/>
        <v>0</v>
      </c>
      <c r="Q180" s="163">
        <v>7.5624999999999998E-3</v>
      </c>
      <c r="R180" s="163">
        <f t="shared" si="37"/>
        <v>3.0249999999999999E-2</v>
      </c>
      <c r="S180" s="163">
        <v>0</v>
      </c>
      <c r="T180" s="164">
        <f t="shared" si="3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5" t="s">
        <v>213</v>
      </c>
      <c r="AT180" s="165" t="s">
        <v>181</v>
      </c>
      <c r="AU180" s="165" t="s">
        <v>82</v>
      </c>
      <c r="AY180" s="14" t="s">
        <v>179</v>
      </c>
      <c r="BE180" s="166">
        <f t="shared" si="39"/>
        <v>0</v>
      </c>
      <c r="BF180" s="166">
        <f t="shared" si="40"/>
        <v>0</v>
      </c>
      <c r="BG180" s="166">
        <f t="shared" si="41"/>
        <v>0</v>
      </c>
      <c r="BH180" s="166">
        <f t="shared" si="42"/>
        <v>0</v>
      </c>
      <c r="BI180" s="166">
        <f t="shared" si="43"/>
        <v>0</v>
      </c>
      <c r="BJ180" s="14" t="s">
        <v>82</v>
      </c>
      <c r="BK180" s="166">
        <f t="shared" si="44"/>
        <v>0</v>
      </c>
      <c r="BL180" s="14" t="s">
        <v>213</v>
      </c>
      <c r="BM180" s="165" t="s">
        <v>322</v>
      </c>
    </row>
    <row r="181" spans="1:65" s="2" customFormat="1" ht="24.2" customHeight="1">
      <c r="A181" s="29"/>
      <c r="B181" s="152"/>
      <c r="C181" s="153" t="s">
        <v>323</v>
      </c>
      <c r="D181" s="153" t="s">
        <v>181</v>
      </c>
      <c r="E181" s="154" t="s">
        <v>2925</v>
      </c>
      <c r="F181" s="155" t="s">
        <v>2926</v>
      </c>
      <c r="G181" s="156" t="s">
        <v>217</v>
      </c>
      <c r="H181" s="157">
        <v>4</v>
      </c>
      <c r="I181" s="158"/>
      <c r="J181" s="159">
        <v>0</v>
      </c>
      <c r="K181" s="160"/>
      <c r="L181" s="30"/>
      <c r="M181" s="161" t="s">
        <v>1</v>
      </c>
      <c r="N181" s="162" t="s">
        <v>35</v>
      </c>
      <c r="O181" s="58"/>
      <c r="P181" s="163">
        <f t="shared" si="36"/>
        <v>0</v>
      </c>
      <c r="Q181" s="163">
        <v>1.0330000000000001E-2</v>
      </c>
      <c r="R181" s="163">
        <f t="shared" si="37"/>
        <v>4.1320000000000003E-2</v>
      </c>
      <c r="S181" s="163">
        <v>0</v>
      </c>
      <c r="T181" s="164">
        <f t="shared" si="3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5" t="s">
        <v>213</v>
      </c>
      <c r="AT181" s="165" t="s">
        <v>181</v>
      </c>
      <c r="AU181" s="165" t="s">
        <v>82</v>
      </c>
      <c r="AY181" s="14" t="s">
        <v>179</v>
      </c>
      <c r="BE181" s="166">
        <f t="shared" si="39"/>
        <v>0</v>
      </c>
      <c r="BF181" s="166">
        <f t="shared" si="40"/>
        <v>0</v>
      </c>
      <c r="BG181" s="166">
        <f t="shared" si="41"/>
        <v>0</v>
      </c>
      <c r="BH181" s="166">
        <f t="shared" si="42"/>
        <v>0</v>
      </c>
      <c r="BI181" s="166">
        <f t="shared" si="43"/>
        <v>0</v>
      </c>
      <c r="BJ181" s="14" t="s">
        <v>82</v>
      </c>
      <c r="BK181" s="166">
        <f t="shared" si="44"/>
        <v>0</v>
      </c>
      <c r="BL181" s="14" t="s">
        <v>213</v>
      </c>
      <c r="BM181" s="165" t="s">
        <v>326</v>
      </c>
    </row>
    <row r="182" spans="1:65" s="2" customFormat="1" ht="24.2" customHeight="1">
      <c r="A182" s="29"/>
      <c r="B182" s="152"/>
      <c r="C182" s="153" t="s">
        <v>257</v>
      </c>
      <c r="D182" s="153" t="s">
        <v>181</v>
      </c>
      <c r="E182" s="154" t="s">
        <v>2450</v>
      </c>
      <c r="F182" s="155" t="s">
        <v>2451</v>
      </c>
      <c r="G182" s="156" t="s">
        <v>293</v>
      </c>
      <c r="H182" s="157">
        <v>4</v>
      </c>
      <c r="I182" s="158"/>
      <c r="J182" s="159">
        <v>0</v>
      </c>
      <c r="K182" s="160"/>
      <c r="L182" s="30"/>
      <c r="M182" s="161" t="s">
        <v>1</v>
      </c>
      <c r="N182" s="162" t="s">
        <v>35</v>
      </c>
      <c r="O182" s="58"/>
      <c r="P182" s="163">
        <f t="shared" si="36"/>
        <v>0</v>
      </c>
      <c r="Q182" s="163">
        <v>0</v>
      </c>
      <c r="R182" s="163">
        <f t="shared" si="37"/>
        <v>0</v>
      </c>
      <c r="S182" s="163">
        <v>0</v>
      </c>
      <c r="T182" s="164">
        <f t="shared" si="3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65" t="s">
        <v>213</v>
      </c>
      <c r="AT182" s="165" t="s">
        <v>181</v>
      </c>
      <c r="AU182" s="165" t="s">
        <v>82</v>
      </c>
      <c r="AY182" s="14" t="s">
        <v>179</v>
      </c>
      <c r="BE182" s="166">
        <f t="shared" si="39"/>
        <v>0</v>
      </c>
      <c r="BF182" s="166">
        <f t="shared" si="40"/>
        <v>0</v>
      </c>
      <c r="BG182" s="166">
        <f t="shared" si="41"/>
        <v>0</v>
      </c>
      <c r="BH182" s="166">
        <f t="shared" si="42"/>
        <v>0</v>
      </c>
      <c r="BI182" s="166">
        <f t="shared" si="43"/>
        <v>0</v>
      </c>
      <c r="BJ182" s="14" t="s">
        <v>82</v>
      </c>
      <c r="BK182" s="166">
        <f t="shared" si="44"/>
        <v>0</v>
      </c>
      <c r="BL182" s="14" t="s">
        <v>213</v>
      </c>
      <c r="BM182" s="165" t="s">
        <v>329</v>
      </c>
    </row>
    <row r="183" spans="1:65" s="2" customFormat="1" ht="33" customHeight="1">
      <c r="A183" s="29"/>
      <c r="B183" s="152"/>
      <c r="C183" s="153" t="s">
        <v>330</v>
      </c>
      <c r="D183" s="153" t="s">
        <v>181</v>
      </c>
      <c r="E183" s="154" t="s">
        <v>2456</v>
      </c>
      <c r="F183" s="155" t="s">
        <v>2457</v>
      </c>
      <c r="G183" s="156" t="s">
        <v>191</v>
      </c>
      <c r="H183" s="157">
        <v>0.36</v>
      </c>
      <c r="I183" s="158"/>
      <c r="J183" s="159">
        <v>0</v>
      </c>
      <c r="K183" s="160"/>
      <c r="L183" s="30"/>
      <c r="M183" s="161" t="s">
        <v>1</v>
      </c>
      <c r="N183" s="162" t="s">
        <v>35</v>
      </c>
      <c r="O183" s="58"/>
      <c r="P183" s="163">
        <f t="shared" si="36"/>
        <v>0</v>
      </c>
      <c r="Q183" s="163">
        <v>0</v>
      </c>
      <c r="R183" s="163">
        <f t="shared" si="37"/>
        <v>0</v>
      </c>
      <c r="S183" s="163">
        <v>0</v>
      </c>
      <c r="T183" s="164">
        <f t="shared" si="3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5" t="s">
        <v>213</v>
      </c>
      <c r="AT183" s="165" t="s">
        <v>181</v>
      </c>
      <c r="AU183" s="165" t="s">
        <v>82</v>
      </c>
      <c r="AY183" s="14" t="s">
        <v>179</v>
      </c>
      <c r="BE183" s="166">
        <f t="shared" si="39"/>
        <v>0</v>
      </c>
      <c r="BF183" s="166">
        <f t="shared" si="40"/>
        <v>0</v>
      </c>
      <c r="BG183" s="166">
        <f t="shared" si="41"/>
        <v>0</v>
      </c>
      <c r="BH183" s="166">
        <f t="shared" si="42"/>
        <v>0</v>
      </c>
      <c r="BI183" s="166">
        <f t="shared" si="43"/>
        <v>0</v>
      </c>
      <c r="BJ183" s="14" t="s">
        <v>82</v>
      </c>
      <c r="BK183" s="166">
        <f t="shared" si="44"/>
        <v>0</v>
      </c>
      <c r="BL183" s="14" t="s">
        <v>213</v>
      </c>
      <c r="BM183" s="165" t="s">
        <v>333</v>
      </c>
    </row>
    <row r="184" spans="1:65" s="2" customFormat="1" ht="24.2" customHeight="1">
      <c r="A184" s="29"/>
      <c r="B184" s="152"/>
      <c r="C184" s="153" t="s">
        <v>261</v>
      </c>
      <c r="D184" s="153" t="s">
        <v>181</v>
      </c>
      <c r="E184" s="154" t="s">
        <v>2458</v>
      </c>
      <c r="F184" s="155" t="s">
        <v>2459</v>
      </c>
      <c r="G184" s="156" t="s">
        <v>585</v>
      </c>
      <c r="H184" s="178"/>
      <c r="I184" s="158"/>
      <c r="J184" s="159">
        <v>0</v>
      </c>
      <c r="K184" s="160"/>
      <c r="L184" s="30"/>
      <c r="M184" s="161" t="s">
        <v>1</v>
      </c>
      <c r="N184" s="162" t="s">
        <v>35</v>
      </c>
      <c r="O184" s="58"/>
      <c r="P184" s="163">
        <f t="shared" si="36"/>
        <v>0</v>
      </c>
      <c r="Q184" s="163">
        <v>0</v>
      </c>
      <c r="R184" s="163">
        <f t="shared" si="37"/>
        <v>0</v>
      </c>
      <c r="S184" s="163">
        <v>0</v>
      </c>
      <c r="T184" s="164">
        <f t="shared" si="3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5" t="s">
        <v>213</v>
      </c>
      <c r="AT184" s="165" t="s">
        <v>181</v>
      </c>
      <c r="AU184" s="165" t="s">
        <v>82</v>
      </c>
      <c r="AY184" s="14" t="s">
        <v>179</v>
      </c>
      <c r="BE184" s="166">
        <f t="shared" si="39"/>
        <v>0</v>
      </c>
      <c r="BF184" s="166">
        <f t="shared" si="40"/>
        <v>0</v>
      </c>
      <c r="BG184" s="166">
        <f t="shared" si="41"/>
        <v>0</v>
      </c>
      <c r="BH184" s="166">
        <f t="shared" si="42"/>
        <v>0</v>
      </c>
      <c r="BI184" s="166">
        <f t="shared" si="43"/>
        <v>0</v>
      </c>
      <c r="BJ184" s="14" t="s">
        <v>82</v>
      </c>
      <c r="BK184" s="166">
        <f t="shared" si="44"/>
        <v>0</v>
      </c>
      <c r="BL184" s="14" t="s">
        <v>213</v>
      </c>
      <c r="BM184" s="165" t="s">
        <v>336</v>
      </c>
    </row>
    <row r="185" spans="1:65" s="12" customFormat="1" ht="22.9" customHeight="1">
      <c r="B185" s="139"/>
      <c r="D185" s="140" t="s">
        <v>68</v>
      </c>
      <c r="E185" s="150" t="s">
        <v>2460</v>
      </c>
      <c r="F185" s="150" t="s">
        <v>2461</v>
      </c>
      <c r="I185" s="142"/>
      <c r="J185" s="159">
        <v>0</v>
      </c>
      <c r="L185" s="139"/>
      <c r="M185" s="144"/>
      <c r="N185" s="145"/>
      <c r="O185" s="145"/>
      <c r="P185" s="146">
        <f>SUM(P186:P193)</f>
        <v>0</v>
      </c>
      <c r="Q185" s="145"/>
      <c r="R185" s="146">
        <f>SUM(R186:R193)</f>
        <v>4.342E-2</v>
      </c>
      <c r="S185" s="145"/>
      <c r="T185" s="147">
        <f>SUM(T186:T193)</f>
        <v>0</v>
      </c>
      <c r="AR185" s="140" t="s">
        <v>82</v>
      </c>
      <c r="AT185" s="148" t="s">
        <v>68</v>
      </c>
      <c r="AU185" s="148" t="s">
        <v>76</v>
      </c>
      <c r="AY185" s="140" t="s">
        <v>179</v>
      </c>
      <c r="BK185" s="149">
        <f>SUM(BK186:BK193)</f>
        <v>0</v>
      </c>
    </row>
    <row r="186" spans="1:65" s="2" customFormat="1" ht="16.5" customHeight="1">
      <c r="A186" s="29"/>
      <c r="B186" s="152"/>
      <c r="C186" s="153" t="s">
        <v>337</v>
      </c>
      <c r="D186" s="153" t="s">
        <v>181</v>
      </c>
      <c r="E186" s="154" t="s">
        <v>2954</v>
      </c>
      <c r="F186" s="155" t="s">
        <v>2955</v>
      </c>
      <c r="G186" s="156" t="s">
        <v>1202</v>
      </c>
      <c r="H186" s="157">
        <v>4</v>
      </c>
      <c r="I186" s="158"/>
      <c r="J186" s="159">
        <v>0</v>
      </c>
      <c r="K186" s="160"/>
      <c r="L186" s="30"/>
      <c r="M186" s="161" t="s">
        <v>1</v>
      </c>
      <c r="N186" s="162" t="s">
        <v>35</v>
      </c>
      <c r="O186" s="58"/>
      <c r="P186" s="163">
        <f t="shared" ref="P186:P193" si="45">O186*H186</f>
        <v>0</v>
      </c>
      <c r="Q186" s="163">
        <v>6.7000000000000002E-3</v>
      </c>
      <c r="R186" s="163">
        <f t="shared" ref="R186:R193" si="46">Q186*H186</f>
        <v>2.6800000000000001E-2</v>
      </c>
      <c r="S186" s="163">
        <v>0</v>
      </c>
      <c r="T186" s="164">
        <f t="shared" ref="T186:T193" si="47">S186*H186</f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5" t="s">
        <v>213</v>
      </c>
      <c r="AT186" s="165" t="s">
        <v>181</v>
      </c>
      <c r="AU186" s="165" t="s">
        <v>82</v>
      </c>
      <c r="AY186" s="14" t="s">
        <v>179</v>
      </c>
      <c r="BE186" s="166">
        <f t="shared" ref="BE186:BE193" si="48">IF(N186="základná",J186,0)</f>
        <v>0</v>
      </c>
      <c r="BF186" s="166">
        <f t="shared" ref="BF186:BF193" si="49">IF(N186="znížená",J186,0)</f>
        <v>0</v>
      </c>
      <c r="BG186" s="166">
        <f t="shared" ref="BG186:BG193" si="50">IF(N186="zákl. prenesená",J186,0)</f>
        <v>0</v>
      </c>
      <c r="BH186" s="166">
        <f t="shared" ref="BH186:BH193" si="51">IF(N186="zníž. prenesená",J186,0)</f>
        <v>0</v>
      </c>
      <c r="BI186" s="166">
        <f t="shared" ref="BI186:BI193" si="52">IF(N186="nulová",J186,0)</f>
        <v>0</v>
      </c>
      <c r="BJ186" s="14" t="s">
        <v>82</v>
      </c>
      <c r="BK186" s="166">
        <f t="shared" ref="BK186:BK193" si="53">ROUND(I186*H186,2)</f>
        <v>0</v>
      </c>
      <c r="BL186" s="14" t="s">
        <v>213</v>
      </c>
      <c r="BM186" s="165" t="s">
        <v>340</v>
      </c>
    </row>
    <row r="187" spans="1:65" s="2" customFormat="1" ht="24.2" customHeight="1">
      <c r="A187" s="29"/>
      <c r="B187" s="152"/>
      <c r="C187" s="167" t="s">
        <v>265</v>
      </c>
      <c r="D187" s="167" t="s">
        <v>202</v>
      </c>
      <c r="E187" s="168" t="s">
        <v>2956</v>
      </c>
      <c r="F187" s="169" t="s">
        <v>2957</v>
      </c>
      <c r="G187" s="170" t="s">
        <v>217</v>
      </c>
      <c r="H187" s="171">
        <v>2</v>
      </c>
      <c r="I187" s="172"/>
      <c r="J187" s="159">
        <v>0</v>
      </c>
      <c r="K187" s="174"/>
      <c r="L187" s="175"/>
      <c r="M187" s="176" t="s">
        <v>1</v>
      </c>
      <c r="N187" s="177" t="s">
        <v>35</v>
      </c>
      <c r="O187" s="58"/>
      <c r="P187" s="163">
        <f t="shared" si="45"/>
        <v>0</v>
      </c>
      <c r="Q187" s="163">
        <v>2.63E-3</v>
      </c>
      <c r="R187" s="163">
        <f t="shared" si="46"/>
        <v>5.2599999999999999E-3</v>
      </c>
      <c r="S187" s="163">
        <v>0</v>
      </c>
      <c r="T187" s="164">
        <f t="shared" si="47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5" t="s">
        <v>242</v>
      </c>
      <c r="AT187" s="165" t="s">
        <v>202</v>
      </c>
      <c r="AU187" s="165" t="s">
        <v>82</v>
      </c>
      <c r="AY187" s="14" t="s">
        <v>179</v>
      </c>
      <c r="BE187" s="166">
        <f t="shared" si="48"/>
        <v>0</v>
      </c>
      <c r="BF187" s="166">
        <f t="shared" si="49"/>
        <v>0</v>
      </c>
      <c r="BG187" s="166">
        <f t="shared" si="50"/>
        <v>0</v>
      </c>
      <c r="BH187" s="166">
        <f t="shared" si="51"/>
        <v>0</v>
      </c>
      <c r="BI187" s="166">
        <f t="shared" si="52"/>
        <v>0</v>
      </c>
      <c r="BJ187" s="14" t="s">
        <v>82</v>
      </c>
      <c r="BK187" s="166">
        <f t="shared" si="53"/>
        <v>0</v>
      </c>
      <c r="BL187" s="14" t="s">
        <v>213</v>
      </c>
      <c r="BM187" s="165" t="s">
        <v>343</v>
      </c>
    </row>
    <row r="188" spans="1:65" s="2" customFormat="1" ht="24.2" customHeight="1">
      <c r="A188" s="29"/>
      <c r="B188" s="152"/>
      <c r="C188" s="167" t="s">
        <v>344</v>
      </c>
      <c r="D188" s="167" t="s">
        <v>202</v>
      </c>
      <c r="E188" s="168" t="s">
        <v>2958</v>
      </c>
      <c r="F188" s="169" t="s">
        <v>2959</v>
      </c>
      <c r="G188" s="170" t="s">
        <v>217</v>
      </c>
      <c r="H188" s="171">
        <v>2</v>
      </c>
      <c r="I188" s="172"/>
      <c r="J188" s="159">
        <v>0</v>
      </c>
      <c r="K188" s="174"/>
      <c r="L188" s="175"/>
      <c r="M188" s="176" t="s">
        <v>1</v>
      </c>
      <c r="N188" s="177" t="s">
        <v>35</v>
      </c>
      <c r="O188" s="58"/>
      <c r="P188" s="163">
        <f t="shared" si="45"/>
        <v>0</v>
      </c>
      <c r="Q188" s="163">
        <v>2.5200000000000001E-3</v>
      </c>
      <c r="R188" s="163">
        <f t="shared" si="46"/>
        <v>5.0400000000000002E-3</v>
      </c>
      <c r="S188" s="163">
        <v>0</v>
      </c>
      <c r="T188" s="164">
        <f t="shared" si="47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5" t="s">
        <v>242</v>
      </c>
      <c r="AT188" s="165" t="s">
        <v>202</v>
      </c>
      <c r="AU188" s="165" t="s">
        <v>82</v>
      </c>
      <c r="AY188" s="14" t="s">
        <v>179</v>
      </c>
      <c r="BE188" s="166">
        <f t="shared" si="48"/>
        <v>0</v>
      </c>
      <c r="BF188" s="166">
        <f t="shared" si="49"/>
        <v>0</v>
      </c>
      <c r="BG188" s="166">
        <f t="shared" si="50"/>
        <v>0</v>
      </c>
      <c r="BH188" s="166">
        <f t="shared" si="51"/>
        <v>0</v>
      </c>
      <c r="BI188" s="166">
        <f t="shared" si="52"/>
        <v>0</v>
      </c>
      <c r="BJ188" s="14" t="s">
        <v>82</v>
      </c>
      <c r="BK188" s="166">
        <f t="shared" si="53"/>
        <v>0</v>
      </c>
      <c r="BL188" s="14" t="s">
        <v>213</v>
      </c>
      <c r="BM188" s="165" t="s">
        <v>354</v>
      </c>
    </row>
    <row r="189" spans="1:65" s="2" customFormat="1" ht="16.5" customHeight="1">
      <c r="A189" s="29"/>
      <c r="B189" s="152"/>
      <c r="C189" s="153" t="s">
        <v>268</v>
      </c>
      <c r="D189" s="153" t="s">
        <v>181</v>
      </c>
      <c r="E189" s="154" t="s">
        <v>2527</v>
      </c>
      <c r="F189" s="155" t="s">
        <v>2528</v>
      </c>
      <c r="G189" s="156" t="s">
        <v>217</v>
      </c>
      <c r="H189" s="157">
        <v>2</v>
      </c>
      <c r="I189" s="158"/>
      <c r="J189" s="159">
        <v>0</v>
      </c>
      <c r="K189" s="160"/>
      <c r="L189" s="30"/>
      <c r="M189" s="161" t="s">
        <v>1</v>
      </c>
      <c r="N189" s="162" t="s">
        <v>35</v>
      </c>
      <c r="O189" s="58"/>
      <c r="P189" s="163">
        <f t="shared" si="45"/>
        <v>0</v>
      </c>
      <c r="Q189" s="163">
        <v>3.0000000000000001E-5</v>
      </c>
      <c r="R189" s="163">
        <f t="shared" si="46"/>
        <v>6.0000000000000002E-5</v>
      </c>
      <c r="S189" s="163">
        <v>0</v>
      </c>
      <c r="T189" s="164">
        <f t="shared" si="47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65" t="s">
        <v>213</v>
      </c>
      <c r="AT189" s="165" t="s">
        <v>181</v>
      </c>
      <c r="AU189" s="165" t="s">
        <v>82</v>
      </c>
      <c r="AY189" s="14" t="s">
        <v>179</v>
      </c>
      <c r="BE189" s="166">
        <f t="shared" si="48"/>
        <v>0</v>
      </c>
      <c r="BF189" s="166">
        <f t="shared" si="49"/>
        <v>0</v>
      </c>
      <c r="BG189" s="166">
        <f t="shared" si="50"/>
        <v>0</v>
      </c>
      <c r="BH189" s="166">
        <f t="shared" si="51"/>
        <v>0</v>
      </c>
      <c r="BI189" s="166">
        <f t="shared" si="52"/>
        <v>0</v>
      </c>
      <c r="BJ189" s="14" t="s">
        <v>82</v>
      </c>
      <c r="BK189" s="166">
        <f t="shared" si="53"/>
        <v>0</v>
      </c>
      <c r="BL189" s="14" t="s">
        <v>213</v>
      </c>
      <c r="BM189" s="165" t="s">
        <v>357</v>
      </c>
    </row>
    <row r="190" spans="1:65" s="2" customFormat="1" ht="21.75" customHeight="1">
      <c r="A190" s="29"/>
      <c r="B190" s="152"/>
      <c r="C190" s="167" t="s">
        <v>351</v>
      </c>
      <c r="D190" s="167" t="s">
        <v>202</v>
      </c>
      <c r="E190" s="168" t="s">
        <v>2530</v>
      </c>
      <c r="F190" s="169" t="s">
        <v>2531</v>
      </c>
      <c r="G190" s="170" t="s">
        <v>217</v>
      </c>
      <c r="H190" s="171">
        <v>2</v>
      </c>
      <c r="I190" s="172"/>
      <c r="J190" s="159">
        <v>0</v>
      </c>
      <c r="K190" s="174"/>
      <c r="L190" s="175"/>
      <c r="M190" s="176" t="s">
        <v>1</v>
      </c>
      <c r="N190" s="177" t="s">
        <v>35</v>
      </c>
      <c r="O190" s="58"/>
      <c r="P190" s="163">
        <f t="shared" si="45"/>
        <v>0</v>
      </c>
      <c r="Q190" s="163">
        <v>3.8999999999999999E-4</v>
      </c>
      <c r="R190" s="163">
        <f t="shared" si="46"/>
        <v>7.7999999999999999E-4</v>
      </c>
      <c r="S190" s="163">
        <v>0</v>
      </c>
      <c r="T190" s="164">
        <f t="shared" si="47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65" t="s">
        <v>242</v>
      </c>
      <c r="AT190" s="165" t="s">
        <v>202</v>
      </c>
      <c r="AU190" s="165" t="s">
        <v>82</v>
      </c>
      <c r="AY190" s="14" t="s">
        <v>179</v>
      </c>
      <c r="BE190" s="166">
        <f t="shared" si="48"/>
        <v>0</v>
      </c>
      <c r="BF190" s="166">
        <f t="shared" si="49"/>
        <v>0</v>
      </c>
      <c r="BG190" s="166">
        <f t="shared" si="50"/>
        <v>0</v>
      </c>
      <c r="BH190" s="166">
        <f t="shared" si="51"/>
        <v>0</v>
      </c>
      <c r="BI190" s="166">
        <f t="shared" si="52"/>
        <v>0</v>
      </c>
      <c r="BJ190" s="14" t="s">
        <v>82</v>
      </c>
      <c r="BK190" s="166">
        <f t="shared" si="53"/>
        <v>0</v>
      </c>
      <c r="BL190" s="14" t="s">
        <v>213</v>
      </c>
      <c r="BM190" s="165" t="s">
        <v>361</v>
      </c>
    </row>
    <row r="191" spans="1:65" s="2" customFormat="1" ht="16.5" customHeight="1">
      <c r="A191" s="29"/>
      <c r="B191" s="152"/>
      <c r="C191" s="153" t="s">
        <v>271</v>
      </c>
      <c r="D191" s="153" t="s">
        <v>181</v>
      </c>
      <c r="E191" s="154" t="s">
        <v>2556</v>
      </c>
      <c r="F191" s="155" t="s">
        <v>2557</v>
      </c>
      <c r="G191" s="156" t="s">
        <v>217</v>
      </c>
      <c r="H191" s="157">
        <v>4</v>
      </c>
      <c r="I191" s="158"/>
      <c r="J191" s="159">
        <v>0</v>
      </c>
      <c r="K191" s="160"/>
      <c r="L191" s="30"/>
      <c r="M191" s="161" t="s">
        <v>1</v>
      </c>
      <c r="N191" s="162" t="s">
        <v>35</v>
      </c>
      <c r="O191" s="58"/>
      <c r="P191" s="163">
        <f t="shared" si="45"/>
        <v>0</v>
      </c>
      <c r="Q191" s="163">
        <v>3.0000000000000001E-5</v>
      </c>
      <c r="R191" s="163">
        <f t="shared" si="46"/>
        <v>1.2E-4</v>
      </c>
      <c r="S191" s="163">
        <v>0</v>
      </c>
      <c r="T191" s="164">
        <f t="shared" si="47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65" t="s">
        <v>213</v>
      </c>
      <c r="AT191" s="165" t="s">
        <v>181</v>
      </c>
      <c r="AU191" s="165" t="s">
        <v>82</v>
      </c>
      <c r="AY191" s="14" t="s">
        <v>179</v>
      </c>
      <c r="BE191" s="166">
        <f t="shared" si="48"/>
        <v>0</v>
      </c>
      <c r="BF191" s="166">
        <f t="shared" si="49"/>
        <v>0</v>
      </c>
      <c r="BG191" s="166">
        <f t="shared" si="50"/>
        <v>0</v>
      </c>
      <c r="BH191" s="166">
        <f t="shared" si="51"/>
        <v>0</v>
      </c>
      <c r="BI191" s="166">
        <f t="shared" si="52"/>
        <v>0</v>
      </c>
      <c r="BJ191" s="14" t="s">
        <v>82</v>
      </c>
      <c r="BK191" s="166">
        <f t="shared" si="53"/>
        <v>0</v>
      </c>
      <c r="BL191" s="14" t="s">
        <v>213</v>
      </c>
      <c r="BM191" s="165" t="s">
        <v>364</v>
      </c>
    </row>
    <row r="192" spans="1:65" s="2" customFormat="1" ht="16.5" customHeight="1">
      <c r="A192" s="29"/>
      <c r="B192" s="152"/>
      <c r="C192" s="167" t="s">
        <v>358</v>
      </c>
      <c r="D192" s="167" t="s">
        <v>202</v>
      </c>
      <c r="E192" s="168" t="s">
        <v>2567</v>
      </c>
      <c r="F192" s="169" t="s">
        <v>2927</v>
      </c>
      <c r="G192" s="170" t="s">
        <v>217</v>
      </c>
      <c r="H192" s="171">
        <v>4</v>
      </c>
      <c r="I192" s="172"/>
      <c r="J192" s="159">
        <v>0</v>
      </c>
      <c r="K192" s="174"/>
      <c r="L192" s="175"/>
      <c r="M192" s="176" t="s">
        <v>1</v>
      </c>
      <c r="N192" s="177" t="s">
        <v>35</v>
      </c>
      <c r="O192" s="58"/>
      <c r="P192" s="163">
        <f t="shared" si="45"/>
        <v>0</v>
      </c>
      <c r="Q192" s="163">
        <v>1.34E-3</v>
      </c>
      <c r="R192" s="163">
        <f t="shared" si="46"/>
        <v>5.3600000000000002E-3</v>
      </c>
      <c r="S192" s="163">
        <v>0</v>
      </c>
      <c r="T192" s="164">
        <f t="shared" si="47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65" t="s">
        <v>242</v>
      </c>
      <c r="AT192" s="165" t="s">
        <v>202</v>
      </c>
      <c r="AU192" s="165" t="s">
        <v>82</v>
      </c>
      <c r="AY192" s="14" t="s">
        <v>179</v>
      </c>
      <c r="BE192" s="166">
        <f t="shared" si="48"/>
        <v>0</v>
      </c>
      <c r="BF192" s="166">
        <f t="shared" si="49"/>
        <v>0</v>
      </c>
      <c r="BG192" s="166">
        <f t="shared" si="50"/>
        <v>0</v>
      </c>
      <c r="BH192" s="166">
        <f t="shared" si="51"/>
        <v>0</v>
      </c>
      <c r="BI192" s="166">
        <f t="shared" si="52"/>
        <v>0</v>
      </c>
      <c r="BJ192" s="14" t="s">
        <v>82</v>
      </c>
      <c r="BK192" s="166">
        <f t="shared" si="53"/>
        <v>0</v>
      </c>
      <c r="BL192" s="14" t="s">
        <v>213</v>
      </c>
      <c r="BM192" s="165" t="s">
        <v>368</v>
      </c>
    </row>
    <row r="193" spans="1:65" s="2" customFormat="1" ht="21.75" customHeight="1">
      <c r="A193" s="29"/>
      <c r="B193" s="152"/>
      <c r="C193" s="153" t="s">
        <v>275</v>
      </c>
      <c r="D193" s="153" t="s">
        <v>181</v>
      </c>
      <c r="E193" s="154" t="s">
        <v>2928</v>
      </c>
      <c r="F193" s="155" t="s">
        <v>2929</v>
      </c>
      <c r="G193" s="156" t="s">
        <v>585</v>
      </c>
      <c r="H193" s="178"/>
      <c r="I193" s="158"/>
      <c r="J193" s="159">
        <v>0</v>
      </c>
      <c r="K193" s="160"/>
      <c r="L193" s="30"/>
      <c r="M193" s="161" t="s">
        <v>1</v>
      </c>
      <c r="N193" s="162" t="s">
        <v>35</v>
      </c>
      <c r="O193" s="58"/>
      <c r="P193" s="163">
        <f t="shared" si="45"/>
        <v>0</v>
      </c>
      <c r="Q193" s="163">
        <v>0</v>
      </c>
      <c r="R193" s="163">
        <f t="shared" si="46"/>
        <v>0</v>
      </c>
      <c r="S193" s="163">
        <v>0</v>
      </c>
      <c r="T193" s="164">
        <f t="shared" si="47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65" t="s">
        <v>213</v>
      </c>
      <c r="AT193" s="165" t="s">
        <v>181</v>
      </c>
      <c r="AU193" s="165" t="s">
        <v>82</v>
      </c>
      <c r="AY193" s="14" t="s">
        <v>179</v>
      </c>
      <c r="BE193" s="166">
        <f t="shared" si="48"/>
        <v>0</v>
      </c>
      <c r="BF193" s="166">
        <f t="shared" si="49"/>
        <v>0</v>
      </c>
      <c r="BG193" s="166">
        <f t="shared" si="50"/>
        <v>0</v>
      </c>
      <c r="BH193" s="166">
        <f t="shared" si="51"/>
        <v>0</v>
      </c>
      <c r="BI193" s="166">
        <f t="shared" si="52"/>
        <v>0</v>
      </c>
      <c r="BJ193" s="14" t="s">
        <v>82</v>
      </c>
      <c r="BK193" s="166">
        <f t="shared" si="53"/>
        <v>0</v>
      </c>
      <c r="BL193" s="14" t="s">
        <v>213</v>
      </c>
      <c r="BM193" s="165" t="s">
        <v>371</v>
      </c>
    </row>
    <row r="194" spans="1:65" s="12" customFormat="1" ht="22.9" customHeight="1">
      <c r="B194" s="139"/>
      <c r="D194" s="140" t="s">
        <v>68</v>
      </c>
      <c r="E194" s="150" t="s">
        <v>729</v>
      </c>
      <c r="F194" s="150" t="s">
        <v>1285</v>
      </c>
      <c r="I194" s="142"/>
      <c r="J194" s="159">
        <v>0</v>
      </c>
      <c r="L194" s="139"/>
      <c r="M194" s="144"/>
      <c r="N194" s="145"/>
      <c r="O194" s="145"/>
      <c r="P194" s="146">
        <f>SUM(P195:P198)</f>
        <v>0</v>
      </c>
      <c r="Q194" s="145"/>
      <c r="R194" s="146">
        <f>SUM(R195:R198)</f>
        <v>1.593E-2</v>
      </c>
      <c r="S194" s="145"/>
      <c r="T194" s="147">
        <f>SUM(T195:T198)</f>
        <v>0</v>
      </c>
      <c r="AR194" s="140" t="s">
        <v>82</v>
      </c>
      <c r="AT194" s="148" t="s">
        <v>68</v>
      </c>
      <c r="AU194" s="148" t="s">
        <v>76</v>
      </c>
      <c r="AY194" s="140" t="s">
        <v>179</v>
      </c>
      <c r="BK194" s="149">
        <f>SUM(BK195:BK198)</f>
        <v>0</v>
      </c>
    </row>
    <row r="195" spans="1:65" s="2" customFormat="1" ht="24.2" customHeight="1">
      <c r="A195" s="29"/>
      <c r="B195" s="152"/>
      <c r="C195" s="153" t="s">
        <v>365</v>
      </c>
      <c r="D195" s="153" t="s">
        <v>181</v>
      </c>
      <c r="E195" s="154" t="s">
        <v>1333</v>
      </c>
      <c r="F195" s="155" t="s">
        <v>1334</v>
      </c>
      <c r="G195" s="156" t="s">
        <v>574</v>
      </c>
      <c r="H195" s="157">
        <v>5</v>
      </c>
      <c r="I195" s="158"/>
      <c r="J195" s="159">
        <v>0</v>
      </c>
      <c r="K195" s="160"/>
      <c r="L195" s="30"/>
      <c r="M195" s="161" t="s">
        <v>1</v>
      </c>
      <c r="N195" s="162" t="s">
        <v>35</v>
      </c>
      <c r="O195" s="58"/>
      <c r="P195" s="163">
        <f>O195*H195</f>
        <v>0</v>
      </c>
      <c r="Q195" s="163">
        <v>6.3999999999999997E-5</v>
      </c>
      <c r="R195" s="163">
        <f>Q195*H195</f>
        <v>3.1999999999999997E-4</v>
      </c>
      <c r="S195" s="163">
        <v>0</v>
      </c>
      <c r="T195" s="164">
        <f>S195*H195</f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65" t="s">
        <v>213</v>
      </c>
      <c r="AT195" s="165" t="s">
        <v>181</v>
      </c>
      <c r="AU195" s="165" t="s">
        <v>82</v>
      </c>
      <c r="AY195" s="14" t="s">
        <v>179</v>
      </c>
      <c r="BE195" s="166">
        <f>IF(N195="základná",J195,0)</f>
        <v>0</v>
      </c>
      <c r="BF195" s="166">
        <f>IF(N195="znížená",J195,0)</f>
        <v>0</v>
      </c>
      <c r="BG195" s="166">
        <f>IF(N195="zákl. prenesená",J195,0)</f>
        <v>0</v>
      </c>
      <c r="BH195" s="166">
        <f>IF(N195="zníž. prenesená",J195,0)</f>
        <v>0</v>
      </c>
      <c r="BI195" s="166">
        <f>IF(N195="nulová",J195,0)</f>
        <v>0</v>
      </c>
      <c r="BJ195" s="14" t="s">
        <v>82</v>
      </c>
      <c r="BK195" s="166">
        <f>ROUND(I195*H195,2)</f>
        <v>0</v>
      </c>
      <c r="BL195" s="14" t="s">
        <v>213</v>
      </c>
      <c r="BM195" s="165" t="s">
        <v>375</v>
      </c>
    </row>
    <row r="196" spans="1:65" s="2" customFormat="1" ht="24.2" customHeight="1">
      <c r="A196" s="29"/>
      <c r="B196" s="152"/>
      <c r="C196" s="153" t="s">
        <v>279</v>
      </c>
      <c r="D196" s="153" t="s">
        <v>181</v>
      </c>
      <c r="E196" s="154" t="s">
        <v>1335</v>
      </c>
      <c r="F196" s="155" t="s">
        <v>1336</v>
      </c>
      <c r="G196" s="156" t="s">
        <v>574</v>
      </c>
      <c r="H196" s="157">
        <v>10</v>
      </c>
      <c r="I196" s="158"/>
      <c r="J196" s="159">
        <v>0</v>
      </c>
      <c r="K196" s="160"/>
      <c r="L196" s="30"/>
      <c r="M196" s="161" t="s">
        <v>1</v>
      </c>
      <c r="N196" s="162" t="s">
        <v>35</v>
      </c>
      <c r="O196" s="58"/>
      <c r="P196" s="163">
        <f>O196*H196</f>
        <v>0</v>
      </c>
      <c r="Q196" s="163">
        <v>6.0999999999999999E-5</v>
      </c>
      <c r="R196" s="163">
        <f>Q196*H196</f>
        <v>6.0999999999999997E-4</v>
      </c>
      <c r="S196" s="163">
        <v>0</v>
      </c>
      <c r="T196" s="164">
        <f>S196*H196</f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65" t="s">
        <v>213</v>
      </c>
      <c r="AT196" s="165" t="s">
        <v>181</v>
      </c>
      <c r="AU196" s="165" t="s">
        <v>82</v>
      </c>
      <c r="AY196" s="14" t="s">
        <v>179</v>
      </c>
      <c r="BE196" s="166">
        <f>IF(N196="základná",J196,0)</f>
        <v>0</v>
      </c>
      <c r="BF196" s="166">
        <f>IF(N196="znížená",J196,0)</f>
        <v>0</v>
      </c>
      <c r="BG196" s="166">
        <f>IF(N196="zákl. prenesená",J196,0)</f>
        <v>0</v>
      </c>
      <c r="BH196" s="166">
        <f>IF(N196="zníž. prenesená",J196,0)</f>
        <v>0</v>
      </c>
      <c r="BI196" s="166">
        <f>IF(N196="nulová",J196,0)</f>
        <v>0</v>
      </c>
      <c r="BJ196" s="14" t="s">
        <v>82</v>
      </c>
      <c r="BK196" s="166">
        <f>ROUND(I196*H196,2)</f>
        <v>0</v>
      </c>
      <c r="BL196" s="14" t="s">
        <v>213</v>
      </c>
      <c r="BM196" s="165" t="s">
        <v>378</v>
      </c>
    </row>
    <row r="197" spans="1:65" s="2" customFormat="1" ht="33" customHeight="1">
      <c r="A197" s="29"/>
      <c r="B197" s="152"/>
      <c r="C197" s="167" t="s">
        <v>372</v>
      </c>
      <c r="D197" s="167" t="s">
        <v>202</v>
      </c>
      <c r="E197" s="168" t="s">
        <v>1337</v>
      </c>
      <c r="F197" s="169" t="s">
        <v>1338</v>
      </c>
      <c r="G197" s="170" t="s">
        <v>574</v>
      </c>
      <c r="H197" s="171">
        <v>15</v>
      </c>
      <c r="I197" s="172"/>
      <c r="J197" s="159">
        <v>0</v>
      </c>
      <c r="K197" s="174"/>
      <c r="L197" s="175"/>
      <c r="M197" s="176" t="s">
        <v>1</v>
      </c>
      <c r="N197" s="177" t="s">
        <v>35</v>
      </c>
      <c r="O197" s="58"/>
      <c r="P197" s="163">
        <f>O197*H197</f>
        <v>0</v>
      </c>
      <c r="Q197" s="163">
        <v>1E-3</v>
      </c>
      <c r="R197" s="163">
        <f>Q197*H197</f>
        <v>1.4999999999999999E-2</v>
      </c>
      <c r="S197" s="163">
        <v>0</v>
      </c>
      <c r="T197" s="164">
        <f>S197*H197</f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65" t="s">
        <v>242</v>
      </c>
      <c r="AT197" s="165" t="s">
        <v>202</v>
      </c>
      <c r="AU197" s="165" t="s">
        <v>82</v>
      </c>
      <c r="AY197" s="14" t="s">
        <v>179</v>
      </c>
      <c r="BE197" s="166">
        <f>IF(N197="základná",J197,0)</f>
        <v>0</v>
      </c>
      <c r="BF197" s="166">
        <f>IF(N197="znížená",J197,0)</f>
        <v>0</v>
      </c>
      <c r="BG197" s="166">
        <f>IF(N197="zákl. prenesená",J197,0)</f>
        <v>0</v>
      </c>
      <c r="BH197" s="166">
        <f>IF(N197="zníž. prenesená",J197,0)</f>
        <v>0</v>
      </c>
      <c r="BI197" s="166">
        <f>IF(N197="nulová",J197,0)</f>
        <v>0</v>
      </c>
      <c r="BJ197" s="14" t="s">
        <v>82</v>
      </c>
      <c r="BK197" s="166">
        <f>ROUND(I197*H197,2)</f>
        <v>0</v>
      </c>
      <c r="BL197" s="14" t="s">
        <v>213</v>
      </c>
      <c r="BM197" s="165" t="s">
        <v>382</v>
      </c>
    </row>
    <row r="198" spans="1:65" s="2" customFormat="1" ht="24.2" customHeight="1">
      <c r="A198" s="29"/>
      <c r="B198" s="152"/>
      <c r="C198" s="153" t="s">
        <v>283</v>
      </c>
      <c r="D198" s="153" t="s">
        <v>181</v>
      </c>
      <c r="E198" s="154" t="s">
        <v>883</v>
      </c>
      <c r="F198" s="155" t="s">
        <v>884</v>
      </c>
      <c r="G198" s="156" t="s">
        <v>585</v>
      </c>
      <c r="H198" s="178"/>
      <c r="I198" s="158"/>
      <c r="J198" s="159">
        <v>0</v>
      </c>
      <c r="K198" s="160"/>
      <c r="L198" s="30"/>
      <c r="M198" s="161" t="s">
        <v>1</v>
      </c>
      <c r="N198" s="162" t="s">
        <v>35</v>
      </c>
      <c r="O198" s="58"/>
      <c r="P198" s="163">
        <f>O198*H198</f>
        <v>0</v>
      </c>
      <c r="Q198" s="163">
        <v>0</v>
      </c>
      <c r="R198" s="163">
        <f>Q198*H198</f>
        <v>0</v>
      </c>
      <c r="S198" s="163">
        <v>0</v>
      </c>
      <c r="T198" s="164">
        <f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65" t="s">
        <v>213</v>
      </c>
      <c r="AT198" s="165" t="s">
        <v>181</v>
      </c>
      <c r="AU198" s="165" t="s">
        <v>82</v>
      </c>
      <c r="AY198" s="14" t="s">
        <v>179</v>
      </c>
      <c r="BE198" s="166">
        <f>IF(N198="základná",J198,0)</f>
        <v>0</v>
      </c>
      <c r="BF198" s="166">
        <f>IF(N198="znížená",J198,0)</f>
        <v>0</v>
      </c>
      <c r="BG198" s="166">
        <f>IF(N198="zákl. prenesená",J198,0)</f>
        <v>0</v>
      </c>
      <c r="BH198" s="166">
        <f>IF(N198="zníž. prenesená",J198,0)</f>
        <v>0</v>
      </c>
      <c r="BI198" s="166">
        <f>IF(N198="nulová",J198,0)</f>
        <v>0</v>
      </c>
      <c r="BJ198" s="14" t="s">
        <v>82</v>
      </c>
      <c r="BK198" s="166">
        <f>ROUND(I198*H198,2)</f>
        <v>0</v>
      </c>
      <c r="BL198" s="14" t="s">
        <v>213</v>
      </c>
      <c r="BM198" s="165" t="s">
        <v>385</v>
      </c>
    </row>
    <row r="199" spans="1:65" s="12" customFormat="1" ht="22.9" customHeight="1">
      <c r="B199" s="139"/>
      <c r="D199" s="140" t="s">
        <v>68</v>
      </c>
      <c r="E199" s="150" t="s">
        <v>923</v>
      </c>
      <c r="F199" s="150" t="s">
        <v>1339</v>
      </c>
      <c r="I199" s="142"/>
      <c r="J199" s="159">
        <v>0</v>
      </c>
      <c r="L199" s="139"/>
      <c r="M199" s="144"/>
      <c r="N199" s="145"/>
      <c r="O199" s="145"/>
      <c r="P199" s="146">
        <f>SUM(P200:P201)</f>
        <v>0</v>
      </c>
      <c r="Q199" s="145"/>
      <c r="R199" s="146">
        <f>SUM(R200:R201)</f>
        <v>5.4999999999999971E-4</v>
      </c>
      <c r="S199" s="145"/>
      <c r="T199" s="147">
        <f>SUM(T200:T201)</f>
        <v>0</v>
      </c>
      <c r="AR199" s="140" t="s">
        <v>82</v>
      </c>
      <c r="AT199" s="148" t="s">
        <v>68</v>
      </c>
      <c r="AU199" s="148" t="s">
        <v>76</v>
      </c>
      <c r="AY199" s="140" t="s">
        <v>179</v>
      </c>
      <c r="BK199" s="149">
        <f>SUM(BK200:BK201)</f>
        <v>0</v>
      </c>
    </row>
    <row r="200" spans="1:65" s="2" customFormat="1" ht="24.2" customHeight="1">
      <c r="A200" s="29"/>
      <c r="B200" s="152"/>
      <c r="C200" s="153" t="s">
        <v>379</v>
      </c>
      <c r="D200" s="153" t="s">
        <v>181</v>
      </c>
      <c r="E200" s="154" t="s">
        <v>1340</v>
      </c>
      <c r="F200" s="155" t="s">
        <v>1341</v>
      </c>
      <c r="G200" s="156" t="s">
        <v>184</v>
      </c>
      <c r="H200" s="157">
        <v>0.75</v>
      </c>
      <c r="I200" s="158"/>
      <c r="J200" s="159">
        <v>0</v>
      </c>
      <c r="K200" s="160"/>
      <c r="L200" s="30"/>
      <c r="M200" s="161" t="s">
        <v>1</v>
      </c>
      <c r="N200" s="162" t="s">
        <v>35</v>
      </c>
      <c r="O200" s="58"/>
      <c r="P200" s="163">
        <f>O200*H200</f>
        <v>0</v>
      </c>
      <c r="Q200" s="163">
        <v>2.1333333333333301E-4</v>
      </c>
      <c r="R200" s="163">
        <f>Q200*H200</f>
        <v>1.5999999999999977E-4</v>
      </c>
      <c r="S200" s="163">
        <v>0</v>
      </c>
      <c r="T200" s="164">
        <f>S200*H200</f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65" t="s">
        <v>213</v>
      </c>
      <c r="AT200" s="165" t="s">
        <v>181</v>
      </c>
      <c r="AU200" s="165" t="s">
        <v>82</v>
      </c>
      <c r="AY200" s="14" t="s">
        <v>179</v>
      </c>
      <c r="BE200" s="166">
        <f>IF(N200="základná",J200,0)</f>
        <v>0</v>
      </c>
      <c r="BF200" s="166">
        <f>IF(N200="znížená",J200,0)</f>
        <v>0</v>
      </c>
      <c r="BG200" s="166">
        <f>IF(N200="zákl. prenesená",J200,0)</f>
        <v>0</v>
      </c>
      <c r="BH200" s="166">
        <f>IF(N200="zníž. prenesená",J200,0)</f>
        <v>0</v>
      </c>
      <c r="BI200" s="166">
        <f>IF(N200="nulová",J200,0)</f>
        <v>0</v>
      </c>
      <c r="BJ200" s="14" t="s">
        <v>82</v>
      </c>
      <c r="BK200" s="166">
        <f>ROUND(I200*H200,2)</f>
        <v>0</v>
      </c>
      <c r="BL200" s="14" t="s">
        <v>213</v>
      </c>
      <c r="BM200" s="165" t="s">
        <v>390</v>
      </c>
    </row>
    <row r="201" spans="1:65" s="2" customFormat="1" ht="33" customHeight="1">
      <c r="A201" s="29"/>
      <c r="B201" s="152"/>
      <c r="C201" s="153" t="s">
        <v>286</v>
      </c>
      <c r="D201" s="153" t="s">
        <v>181</v>
      </c>
      <c r="E201" s="154" t="s">
        <v>1342</v>
      </c>
      <c r="F201" s="155" t="s">
        <v>1343</v>
      </c>
      <c r="G201" s="156" t="s">
        <v>293</v>
      </c>
      <c r="H201" s="157">
        <v>4</v>
      </c>
      <c r="I201" s="158"/>
      <c r="J201" s="159">
        <v>0</v>
      </c>
      <c r="K201" s="160"/>
      <c r="L201" s="30"/>
      <c r="M201" s="161" t="s">
        <v>1</v>
      </c>
      <c r="N201" s="162" t="s">
        <v>35</v>
      </c>
      <c r="O201" s="58"/>
      <c r="P201" s="163">
        <f>O201*H201</f>
        <v>0</v>
      </c>
      <c r="Q201" s="163">
        <v>9.7499999999999998E-5</v>
      </c>
      <c r="R201" s="163">
        <f>Q201*H201</f>
        <v>3.8999999999999999E-4</v>
      </c>
      <c r="S201" s="163">
        <v>0</v>
      </c>
      <c r="T201" s="164">
        <f>S201*H201</f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65" t="s">
        <v>213</v>
      </c>
      <c r="AT201" s="165" t="s">
        <v>181</v>
      </c>
      <c r="AU201" s="165" t="s">
        <v>82</v>
      </c>
      <c r="AY201" s="14" t="s">
        <v>179</v>
      </c>
      <c r="BE201" s="166">
        <f>IF(N201="základná",J201,0)</f>
        <v>0</v>
      </c>
      <c r="BF201" s="166">
        <f>IF(N201="znížená",J201,0)</f>
        <v>0</v>
      </c>
      <c r="BG201" s="166">
        <f>IF(N201="zákl. prenesená",J201,0)</f>
        <v>0</v>
      </c>
      <c r="BH201" s="166">
        <f>IF(N201="zníž. prenesená",J201,0)</f>
        <v>0</v>
      </c>
      <c r="BI201" s="166">
        <f>IF(N201="nulová",J201,0)</f>
        <v>0</v>
      </c>
      <c r="BJ201" s="14" t="s">
        <v>82</v>
      </c>
      <c r="BK201" s="166">
        <f>ROUND(I201*H201,2)</f>
        <v>0</v>
      </c>
      <c r="BL201" s="14" t="s">
        <v>213</v>
      </c>
      <c r="BM201" s="165" t="s">
        <v>393</v>
      </c>
    </row>
    <row r="202" spans="1:65" s="12" customFormat="1" ht="25.9" customHeight="1">
      <c r="B202" s="139"/>
      <c r="D202" s="140" t="s">
        <v>68</v>
      </c>
      <c r="E202" s="141" t="s">
        <v>1346</v>
      </c>
      <c r="F202" s="141" t="s">
        <v>1347</v>
      </c>
      <c r="I202" s="142"/>
      <c r="J202" s="159">
        <v>0</v>
      </c>
      <c r="L202" s="139"/>
      <c r="M202" s="144"/>
      <c r="N202" s="145"/>
      <c r="O202" s="145"/>
      <c r="P202" s="146">
        <f>P203</f>
        <v>0</v>
      </c>
      <c r="Q202" s="145"/>
      <c r="R202" s="146">
        <f>R203</f>
        <v>0</v>
      </c>
      <c r="S202" s="145"/>
      <c r="T202" s="147">
        <f>T203</f>
        <v>0</v>
      </c>
      <c r="AR202" s="140" t="s">
        <v>185</v>
      </c>
      <c r="AT202" s="148" t="s">
        <v>68</v>
      </c>
      <c r="AU202" s="148" t="s">
        <v>69</v>
      </c>
      <c r="AY202" s="140" t="s">
        <v>179</v>
      </c>
      <c r="BK202" s="149">
        <f>BK203</f>
        <v>0</v>
      </c>
    </row>
    <row r="203" spans="1:65" s="2" customFormat="1" ht="24.2" customHeight="1">
      <c r="A203" s="29"/>
      <c r="B203" s="152"/>
      <c r="C203" s="153" t="s">
        <v>387</v>
      </c>
      <c r="D203" s="153" t="s">
        <v>181</v>
      </c>
      <c r="E203" s="154" t="s">
        <v>1348</v>
      </c>
      <c r="F203" s="155" t="s">
        <v>2799</v>
      </c>
      <c r="G203" s="156" t="s">
        <v>1350</v>
      </c>
      <c r="H203" s="157">
        <v>5</v>
      </c>
      <c r="I203" s="158"/>
      <c r="J203" s="159">
        <v>0</v>
      </c>
      <c r="K203" s="160"/>
      <c r="L203" s="30"/>
      <c r="M203" s="179" t="s">
        <v>1</v>
      </c>
      <c r="N203" s="180" t="s">
        <v>35</v>
      </c>
      <c r="O203" s="181"/>
      <c r="P203" s="182">
        <f>O203*H203</f>
        <v>0</v>
      </c>
      <c r="Q203" s="182">
        <v>0</v>
      </c>
      <c r="R203" s="182">
        <f>Q203*H203</f>
        <v>0</v>
      </c>
      <c r="S203" s="182">
        <v>0</v>
      </c>
      <c r="T203" s="183">
        <f>S203*H203</f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65" t="s">
        <v>1351</v>
      </c>
      <c r="AT203" s="165" t="s">
        <v>181</v>
      </c>
      <c r="AU203" s="165" t="s">
        <v>76</v>
      </c>
      <c r="AY203" s="14" t="s">
        <v>179</v>
      </c>
      <c r="BE203" s="166">
        <f>IF(N203="základná",J203,0)</f>
        <v>0</v>
      </c>
      <c r="BF203" s="166">
        <f>IF(N203="znížená",J203,0)</f>
        <v>0</v>
      </c>
      <c r="BG203" s="166">
        <f>IF(N203="zákl. prenesená",J203,0)</f>
        <v>0</v>
      </c>
      <c r="BH203" s="166">
        <f>IF(N203="zníž. prenesená",J203,0)</f>
        <v>0</v>
      </c>
      <c r="BI203" s="166">
        <f>IF(N203="nulová",J203,0)</f>
        <v>0</v>
      </c>
      <c r="BJ203" s="14" t="s">
        <v>82</v>
      </c>
      <c r="BK203" s="166">
        <f>ROUND(I203*H203,2)</f>
        <v>0</v>
      </c>
      <c r="BL203" s="14" t="s">
        <v>1351</v>
      </c>
      <c r="BM203" s="165" t="s">
        <v>397</v>
      </c>
    </row>
    <row r="204" spans="1:65" s="2" customFormat="1" ht="6.95" customHeight="1">
      <c r="A204" s="29"/>
      <c r="B204" s="47"/>
      <c r="C204" s="48"/>
      <c r="D204" s="48"/>
      <c r="E204" s="48"/>
      <c r="F204" s="48"/>
      <c r="G204" s="48"/>
      <c r="H204" s="48"/>
      <c r="I204" s="48"/>
      <c r="J204" s="48"/>
      <c r="K204" s="48"/>
      <c r="L204" s="30"/>
      <c r="M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</row>
  </sheetData>
  <autoFilter ref="C132:K203"/>
  <mergeCells count="12">
    <mergeCell ref="E125:H125"/>
    <mergeCell ref="L2:V2"/>
    <mergeCell ref="E85:H85"/>
    <mergeCell ref="E87:H87"/>
    <mergeCell ref="E89:H89"/>
    <mergeCell ref="E121:H121"/>
    <mergeCell ref="E123:H12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BM182"/>
  <sheetViews>
    <sheetView showGridLines="0" topLeftCell="A15" workbookViewId="0">
      <selection activeCell="W54" sqref="W54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0" t="s">
        <v>5</v>
      </c>
      <c r="M2" s="351"/>
      <c r="N2" s="351"/>
      <c r="O2" s="351"/>
      <c r="P2" s="351"/>
      <c r="Q2" s="351"/>
      <c r="R2" s="351"/>
      <c r="S2" s="351"/>
      <c r="T2" s="351"/>
      <c r="U2" s="351"/>
      <c r="V2" s="351"/>
      <c r="AT2" s="14" t="s">
        <v>128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5" customHeight="1">
      <c r="B4" s="17"/>
      <c r="D4" s="18" t="s">
        <v>129</v>
      </c>
      <c r="L4" s="17"/>
      <c r="M4" s="98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387" t="str">
        <f>'Rekapitulácia stavby'!K6</f>
        <v>Topoľčianky, Centrálny logistický sklad - rekonštrukcia tepelného hospodárstva</v>
      </c>
      <c r="F7" s="388"/>
      <c r="G7" s="388"/>
      <c r="H7" s="388"/>
      <c r="L7" s="17"/>
    </row>
    <row r="8" spans="1:46" s="1" customFormat="1" ht="12" customHeight="1">
      <c r="B8" s="17"/>
      <c r="D8" s="24" t="s">
        <v>130</v>
      </c>
      <c r="L8" s="17"/>
    </row>
    <row r="9" spans="1:46" s="2" customFormat="1" ht="16.5" customHeight="1">
      <c r="A9" s="29"/>
      <c r="B9" s="30"/>
      <c r="C9" s="29"/>
      <c r="D9" s="29"/>
      <c r="E9" s="387" t="s">
        <v>2801</v>
      </c>
      <c r="F9" s="386"/>
      <c r="G9" s="386"/>
      <c r="H9" s="386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>
      <c r="A10" s="29"/>
      <c r="B10" s="30"/>
      <c r="C10" s="29"/>
      <c r="D10" s="24" t="s">
        <v>132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>
      <c r="A11" s="29"/>
      <c r="B11" s="30"/>
      <c r="C11" s="29"/>
      <c r="D11" s="29"/>
      <c r="E11" s="382" t="s">
        <v>2960</v>
      </c>
      <c r="F11" s="386"/>
      <c r="G11" s="386"/>
      <c r="H11" s="386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>
      <c r="A13" s="29"/>
      <c r="B13" s="30"/>
      <c r="C13" s="29"/>
      <c r="D13" s="24" t="s">
        <v>15</v>
      </c>
      <c r="E13" s="29"/>
      <c r="F13" s="22" t="s">
        <v>1</v>
      </c>
      <c r="G13" s="29"/>
      <c r="H13" s="29"/>
      <c r="I13" s="24" t="s">
        <v>16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17</v>
      </c>
      <c r="E14" s="29"/>
      <c r="F14" s="22" t="s">
        <v>18</v>
      </c>
      <c r="G14" s="29"/>
      <c r="H14" s="29"/>
      <c r="I14" s="24" t="s">
        <v>19</v>
      </c>
      <c r="J14" s="55">
        <f>'Rekapitulácia stavby'!AN8</f>
        <v>45945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>
      <c r="A16" s="29"/>
      <c r="B16" s="30"/>
      <c r="C16" s="29"/>
      <c r="D16" s="24" t="s">
        <v>20</v>
      </c>
      <c r="E16" s="29"/>
      <c r="F16" s="29"/>
      <c r="G16" s="29"/>
      <c r="H16" s="29"/>
      <c r="I16" s="24" t="s">
        <v>21</v>
      </c>
      <c r="J16" s="22" t="str">
        <f>IF('Rekapitulácia stavby'!AN10="","",'Rekapitulácia stavby'!AN10)</f>
        <v/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>
      <c r="A17" s="29"/>
      <c r="B17" s="30"/>
      <c r="C17" s="29"/>
      <c r="D17" s="29"/>
      <c r="E17" s="22" t="str">
        <f>IF('Rekapitulácia stavby'!E11="","",'Rekapitulácia stavby'!E11)</f>
        <v xml:space="preserve"> </v>
      </c>
      <c r="F17" s="29"/>
      <c r="G17" s="29"/>
      <c r="H17" s="29"/>
      <c r="I17" s="24" t="s">
        <v>22</v>
      </c>
      <c r="J17" s="22" t="str">
        <f>IF('Rekapitulácia stavby'!AN11="","",'Rekapitulácia stavby'!AN11)</f>
        <v/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customHeight="1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>
      <c r="A19" s="29"/>
      <c r="B19" s="30"/>
      <c r="C19" s="29"/>
      <c r="D19" s="24" t="s">
        <v>23</v>
      </c>
      <c r="E19" s="29"/>
      <c r="F19" s="29"/>
      <c r="G19" s="29"/>
      <c r="H19" s="29"/>
      <c r="I19" s="24" t="s">
        <v>21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>
      <c r="A20" s="29"/>
      <c r="B20" s="30"/>
      <c r="C20" s="29"/>
      <c r="D20" s="29"/>
      <c r="E20" s="389" t="str">
        <f>'Rekapitulácia stavby'!E14</f>
        <v>Vyplň údaj</v>
      </c>
      <c r="F20" s="390"/>
      <c r="G20" s="390"/>
      <c r="H20" s="390"/>
      <c r="I20" s="24" t="s">
        <v>22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customHeight="1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>
      <c r="A22" s="29"/>
      <c r="B22" s="30"/>
      <c r="C22" s="29"/>
      <c r="D22" s="24" t="s">
        <v>25</v>
      </c>
      <c r="E22" s="29"/>
      <c r="F22" s="29"/>
      <c r="G22" s="29"/>
      <c r="H22" s="29"/>
      <c r="I22" s="24" t="s">
        <v>21</v>
      </c>
      <c r="J22" s="22" t="str">
        <f>IF('Rekapitulácia stavby'!AN16="","",'Rekapitulácia stavby'!AN16)</f>
        <v/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>
      <c r="A23" s="29"/>
      <c r="B23" s="30"/>
      <c r="C23" s="29"/>
      <c r="D23" s="29"/>
      <c r="E23" s="22" t="str">
        <f>IF('Rekapitulácia stavby'!E17="","",'Rekapitulácia stavby'!E17)</f>
        <v xml:space="preserve"> </v>
      </c>
      <c r="F23" s="29"/>
      <c r="G23" s="29"/>
      <c r="H23" s="29"/>
      <c r="I23" s="24" t="s">
        <v>22</v>
      </c>
      <c r="J23" s="22" t="str">
        <f>IF('Rekapitulácia stavby'!AN17="","",'Rekapitulácia stavby'!AN17)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customHeight="1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>
      <c r="A25" s="29"/>
      <c r="B25" s="30"/>
      <c r="C25" s="29"/>
      <c r="D25" s="24" t="s">
        <v>26</v>
      </c>
      <c r="E25" s="29"/>
      <c r="F25" s="29"/>
      <c r="G25" s="29"/>
      <c r="H25" s="29"/>
      <c r="I25" s="24" t="s">
        <v>21</v>
      </c>
      <c r="J25" s="22" t="str">
        <f>IF('Rekapitulácia stavby'!AN19="","",'Rekapitulácia stavby'!AN19)</f>
        <v/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24" t="s">
        <v>22</v>
      </c>
      <c r="J26" s="22" t="str">
        <f>IF('Rekapitulácia stavby'!AN20="","",'Rekapitulácia stavby'!AN20)</f>
        <v/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>
      <c r="A28" s="29"/>
      <c r="B28" s="30"/>
      <c r="C28" s="29"/>
      <c r="D28" s="24" t="s">
        <v>28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>
      <c r="A29" s="99"/>
      <c r="B29" s="100"/>
      <c r="C29" s="99"/>
      <c r="D29" s="99"/>
      <c r="E29" s="378" t="s">
        <v>1</v>
      </c>
      <c r="F29" s="378"/>
      <c r="G29" s="378"/>
      <c r="H29" s="378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102" t="s">
        <v>29</v>
      </c>
      <c r="E32" s="29"/>
      <c r="F32" s="29"/>
      <c r="G32" s="29"/>
      <c r="H32" s="29"/>
      <c r="I32" s="29"/>
      <c r="J32" s="71"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31</v>
      </c>
      <c r="G34" s="29"/>
      <c r="H34" s="29"/>
      <c r="I34" s="33" t="s">
        <v>30</v>
      </c>
      <c r="J34" s="33" t="s">
        <v>32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3" t="s">
        <v>33</v>
      </c>
      <c r="E35" s="35" t="s">
        <v>34</v>
      </c>
      <c r="F35" s="104">
        <f>ROUND((SUM(BE130:BE181)),  2)</f>
        <v>0</v>
      </c>
      <c r="G35" s="105"/>
      <c r="H35" s="105"/>
      <c r="I35" s="106">
        <v>0.23</v>
      </c>
      <c r="J35" s="104">
        <f>ROUND(((SUM(BE130:BE181))*I35),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35</v>
      </c>
      <c r="F36" s="104">
        <f>ROUND((SUM(BF130:BF181)),  2)</f>
        <v>0</v>
      </c>
      <c r="G36" s="105"/>
      <c r="H36" s="105"/>
      <c r="I36" s="106">
        <v>0.23</v>
      </c>
      <c r="J36" s="104">
        <f>ROUND(((SUM(BF130:BF181))*I36),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36</v>
      </c>
      <c r="F37" s="107">
        <f>ROUND((SUM(BG130:BG181)),  2)</f>
        <v>0</v>
      </c>
      <c r="G37" s="29"/>
      <c r="H37" s="29"/>
      <c r="I37" s="108">
        <v>0.23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37</v>
      </c>
      <c r="F38" s="107">
        <f>ROUND((SUM(BH130:BH181)),  2)</f>
        <v>0</v>
      </c>
      <c r="G38" s="29"/>
      <c r="H38" s="29"/>
      <c r="I38" s="108">
        <v>0.23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38</v>
      </c>
      <c r="F39" s="104">
        <f>ROUND((SUM(BI130:BI181)), 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9"/>
      <c r="D41" s="110" t="s">
        <v>39</v>
      </c>
      <c r="E41" s="60"/>
      <c r="F41" s="60"/>
      <c r="G41" s="111" t="s">
        <v>40</v>
      </c>
      <c r="H41" s="112" t="s">
        <v>41</v>
      </c>
      <c r="I41" s="60"/>
      <c r="J41" s="113"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42</v>
      </c>
      <c r="E50" s="44"/>
      <c r="F50" s="44"/>
      <c r="G50" s="43" t="s">
        <v>43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44</v>
      </c>
      <c r="E61" s="32"/>
      <c r="F61" s="115" t="s">
        <v>45</v>
      </c>
      <c r="G61" s="45" t="s">
        <v>44</v>
      </c>
      <c r="H61" s="32"/>
      <c r="I61" s="32"/>
      <c r="J61" s="116" t="s">
        <v>45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46</v>
      </c>
      <c r="E65" s="46"/>
      <c r="F65" s="46"/>
      <c r="G65" s="43" t="s">
        <v>47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44</v>
      </c>
      <c r="E76" s="32"/>
      <c r="F76" s="115" t="s">
        <v>45</v>
      </c>
      <c r="G76" s="45" t="s">
        <v>44</v>
      </c>
      <c r="H76" s="32"/>
      <c r="I76" s="32"/>
      <c r="J76" s="116" t="s">
        <v>45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hidden="1" customHeight="1">
      <c r="A82" s="29"/>
      <c r="B82" s="30"/>
      <c r="C82" s="18" t="s">
        <v>134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hidden="1" customHeight="1">
      <c r="A85" s="29"/>
      <c r="B85" s="30"/>
      <c r="C85" s="29"/>
      <c r="D85" s="29"/>
      <c r="E85" s="387" t="str">
        <f>E7</f>
        <v>Topoľčianky, Centrálny logistický sklad - rekonštrukcia tepelného hospodárstva</v>
      </c>
      <c r="F85" s="388"/>
      <c r="G85" s="388"/>
      <c r="H85" s="388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hidden="1" customHeight="1">
      <c r="B86" s="17"/>
      <c r="C86" s="24" t="s">
        <v>130</v>
      </c>
      <c r="L86" s="17"/>
    </row>
    <row r="87" spans="1:31" s="2" customFormat="1" ht="16.5" hidden="1" customHeight="1">
      <c r="A87" s="29"/>
      <c r="B87" s="30"/>
      <c r="C87" s="29"/>
      <c r="D87" s="29"/>
      <c r="E87" s="387" t="s">
        <v>2801</v>
      </c>
      <c r="F87" s="386"/>
      <c r="G87" s="386"/>
      <c r="H87" s="386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hidden="1" customHeight="1">
      <c r="A88" s="29"/>
      <c r="B88" s="30"/>
      <c r="C88" s="24" t="s">
        <v>132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hidden="1" customHeight="1">
      <c r="A89" s="29"/>
      <c r="B89" s="30"/>
      <c r="C89" s="29"/>
      <c r="D89" s="29"/>
      <c r="E89" s="382" t="str">
        <f>E11</f>
        <v>E2.1-D - Teplovod pre obj. 04 Garáže</v>
      </c>
      <c r="F89" s="386"/>
      <c r="G89" s="386"/>
      <c r="H89" s="386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hidden="1" customHeight="1">
      <c r="A91" s="29"/>
      <c r="B91" s="30"/>
      <c r="C91" s="24" t="s">
        <v>17</v>
      </c>
      <c r="D91" s="29"/>
      <c r="E91" s="29"/>
      <c r="F91" s="22" t="str">
        <f>F14</f>
        <v xml:space="preserve"> </v>
      </c>
      <c r="G91" s="29"/>
      <c r="H91" s="29"/>
      <c r="I91" s="24" t="s">
        <v>19</v>
      </c>
      <c r="J91" s="55">
        <f>IF(J14="","",J14)</f>
        <v>45945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hidden="1" customHeight="1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hidden="1" customHeight="1">
      <c r="A93" s="29"/>
      <c r="B93" s="30"/>
      <c r="C93" s="24" t="s">
        <v>20</v>
      </c>
      <c r="D93" s="29"/>
      <c r="E93" s="29"/>
      <c r="F93" s="22" t="str">
        <f>E17</f>
        <v xml:space="preserve"> </v>
      </c>
      <c r="G93" s="29"/>
      <c r="H93" s="29"/>
      <c r="I93" s="24" t="s">
        <v>25</v>
      </c>
      <c r="J93" s="27" t="str">
        <f>E23</f>
        <v xml:space="preserve">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hidden="1" customHeight="1">
      <c r="A94" s="29"/>
      <c r="B94" s="30"/>
      <c r="C94" s="24" t="s">
        <v>23</v>
      </c>
      <c r="D94" s="29"/>
      <c r="E94" s="29"/>
      <c r="F94" s="22" t="str">
        <f>IF(E20="","",E20)</f>
        <v>Vyplň údaj</v>
      </c>
      <c r="G94" s="29"/>
      <c r="H94" s="29"/>
      <c r="I94" s="24" t="s">
        <v>26</v>
      </c>
      <c r="J94" s="27" t="str">
        <f>E26</f>
        <v xml:space="preserve">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hidden="1" customHeight="1">
      <c r="A96" s="29"/>
      <c r="B96" s="30"/>
      <c r="C96" s="117" t="s">
        <v>135</v>
      </c>
      <c r="D96" s="109"/>
      <c r="E96" s="109"/>
      <c r="F96" s="109"/>
      <c r="G96" s="109"/>
      <c r="H96" s="109"/>
      <c r="I96" s="109"/>
      <c r="J96" s="118" t="s">
        <v>136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hidden="1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hidden="1" customHeight="1">
      <c r="A98" s="29"/>
      <c r="B98" s="30"/>
      <c r="C98" s="119" t="s">
        <v>137</v>
      </c>
      <c r="D98" s="29"/>
      <c r="E98" s="29"/>
      <c r="F98" s="29"/>
      <c r="G98" s="29"/>
      <c r="H98" s="29"/>
      <c r="I98" s="29"/>
      <c r="J98" s="71">
        <f>J130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138</v>
      </c>
    </row>
    <row r="99" spans="1:47" s="9" customFormat="1" ht="24.95" hidden="1" customHeight="1">
      <c r="B99" s="120"/>
      <c r="D99" s="121" t="s">
        <v>975</v>
      </c>
      <c r="E99" s="122"/>
      <c r="F99" s="122"/>
      <c r="G99" s="122"/>
      <c r="H99" s="122"/>
      <c r="I99" s="122"/>
      <c r="J99" s="123">
        <f>J131</f>
        <v>0</v>
      </c>
      <c r="L99" s="120"/>
    </row>
    <row r="100" spans="1:47" s="10" customFormat="1" ht="19.899999999999999" hidden="1" customHeight="1">
      <c r="B100" s="124"/>
      <c r="D100" s="125" t="s">
        <v>977</v>
      </c>
      <c r="E100" s="126"/>
      <c r="F100" s="126"/>
      <c r="G100" s="126"/>
      <c r="H100" s="126"/>
      <c r="I100" s="126"/>
      <c r="J100" s="127">
        <f>J132</f>
        <v>0</v>
      </c>
      <c r="L100" s="124"/>
    </row>
    <row r="101" spans="1:47" s="10" customFormat="1" ht="19.899999999999999" hidden="1" customHeight="1">
      <c r="B101" s="124"/>
      <c r="D101" s="125" t="s">
        <v>2825</v>
      </c>
      <c r="E101" s="126"/>
      <c r="F101" s="126"/>
      <c r="G101" s="126"/>
      <c r="H101" s="126"/>
      <c r="I101" s="126"/>
      <c r="J101" s="127">
        <f>J135</f>
        <v>0</v>
      </c>
      <c r="L101" s="124"/>
    </row>
    <row r="102" spans="1:47" s="10" customFormat="1" ht="19.899999999999999" hidden="1" customHeight="1">
      <c r="B102" s="124"/>
      <c r="D102" s="125" t="s">
        <v>978</v>
      </c>
      <c r="E102" s="126"/>
      <c r="F102" s="126"/>
      <c r="G102" s="126"/>
      <c r="H102" s="126"/>
      <c r="I102" s="126"/>
      <c r="J102" s="127">
        <f>J148</f>
        <v>0</v>
      </c>
      <c r="L102" s="124"/>
    </row>
    <row r="103" spans="1:47" s="10" customFormat="1" ht="19.899999999999999" hidden="1" customHeight="1">
      <c r="B103" s="124"/>
      <c r="D103" s="125" t="s">
        <v>2826</v>
      </c>
      <c r="E103" s="126"/>
      <c r="F103" s="126"/>
      <c r="G103" s="126"/>
      <c r="H103" s="126"/>
      <c r="I103" s="126"/>
      <c r="J103" s="127">
        <f>J155</f>
        <v>0</v>
      </c>
      <c r="L103" s="124"/>
    </row>
    <row r="104" spans="1:47" s="9" customFormat="1" ht="24.95" hidden="1" customHeight="1">
      <c r="B104" s="120"/>
      <c r="D104" s="121" t="s">
        <v>979</v>
      </c>
      <c r="E104" s="122"/>
      <c r="F104" s="122"/>
      <c r="G104" s="122"/>
      <c r="H104" s="122"/>
      <c r="I104" s="122"/>
      <c r="J104" s="123">
        <f>J158</f>
        <v>0</v>
      </c>
      <c r="L104" s="120"/>
    </row>
    <row r="105" spans="1:47" s="10" customFormat="1" ht="19.899999999999999" hidden="1" customHeight="1">
      <c r="B105" s="124"/>
      <c r="D105" s="125" t="s">
        <v>980</v>
      </c>
      <c r="E105" s="126"/>
      <c r="F105" s="126"/>
      <c r="G105" s="126"/>
      <c r="H105" s="126"/>
      <c r="I105" s="126"/>
      <c r="J105" s="127">
        <f>J159</f>
        <v>0</v>
      </c>
      <c r="L105" s="124"/>
    </row>
    <row r="106" spans="1:47" s="10" customFormat="1" ht="19.899999999999999" hidden="1" customHeight="1">
      <c r="B106" s="124"/>
      <c r="D106" s="125" t="s">
        <v>2130</v>
      </c>
      <c r="E106" s="126"/>
      <c r="F106" s="126"/>
      <c r="G106" s="126"/>
      <c r="H106" s="126"/>
      <c r="I106" s="126"/>
      <c r="J106" s="127">
        <f>J165</f>
        <v>0</v>
      </c>
      <c r="L106" s="124"/>
    </row>
    <row r="107" spans="1:47" s="10" customFormat="1" ht="19.899999999999999" hidden="1" customHeight="1">
      <c r="B107" s="124"/>
      <c r="D107" s="125" t="s">
        <v>2131</v>
      </c>
      <c r="E107" s="126"/>
      <c r="F107" s="126"/>
      <c r="G107" s="126"/>
      <c r="H107" s="126"/>
      <c r="I107" s="126"/>
      <c r="J107" s="127">
        <f>J174</f>
        <v>0</v>
      </c>
      <c r="L107" s="124"/>
    </row>
    <row r="108" spans="1:47" s="9" customFormat="1" ht="24.95" hidden="1" customHeight="1">
      <c r="B108" s="120"/>
      <c r="D108" s="121" t="s">
        <v>1297</v>
      </c>
      <c r="E108" s="122"/>
      <c r="F108" s="122"/>
      <c r="G108" s="122"/>
      <c r="H108" s="122"/>
      <c r="I108" s="122"/>
      <c r="J108" s="123">
        <f>J180</f>
        <v>0</v>
      </c>
      <c r="L108" s="120"/>
    </row>
    <row r="109" spans="1:47" s="2" customFormat="1" ht="21.75" hidden="1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47" s="2" customFormat="1" ht="6.95" hidden="1" customHeight="1">
      <c r="A110" s="29"/>
      <c r="B110" s="47"/>
      <c r="C110" s="48"/>
      <c r="D110" s="48"/>
      <c r="E110" s="48"/>
      <c r="F110" s="48"/>
      <c r="G110" s="48"/>
      <c r="H110" s="48"/>
      <c r="I110" s="48"/>
      <c r="J110" s="48"/>
      <c r="K110" s="48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hidden="1"/>
    <row r="112" spans="1:47" hidden="1"/>
    <row r="113" spans="1:31" hidden="1"/>
    <row r="114" spans="1:31" s="2" customFormat="1" ht="6.95" customHeight="1">
      <c r="A114" s="29"/>
      <c r="B114" s="49"/>
      <c r="C114" s="50"/>
      <c r="D114" s="50"/>
      <c r="E114" s="50"/>
      <c r="F114" s="50"/>
      <c r="G114" s="50"/>
      <c r="H114" s="50"/>
      <c r="I114" s="50"/>
      <c r="J114" s="50"/>
      <c r="K114" s="50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31" s="2" customFormat="1" ht="24.95" customHeight="1">
      <c r="A115" s="29"/>
      <c r="B115" s="30"/>
      <c r="C115" s="18" t="s">
        <v>165</v>
      </c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31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31" s="2" customFormat="1" ht="12" customHeight="1">
      <c r="A117" s="29"/>
      <c r="B117" s="30"/>
      <c r="C117" s="24" t="s">
        <v>14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16.5" customHeight="1">
      <c r="A118" s="29"/>
      <c r="B118" s="30"/>
      <c r="C118" s="29"/>
      <c r="D118" s="29"/>
      <c r="E118" s="387" t="str">
        <f>E7</f>
        <v>Topoľčianky, Centrálny logistický sklad - rekonštrukcia tepelného hospodárstva</v>
      </c>
      <c r="F118" s="388"/>
      <c r="G118" s="388"/>
      <c r="H118" s="388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1" customFormat="1" ht="12" customHeight="1">
      <c r="B119" s="17"/>
      <c r="C119" s="24" t="s">
        <v>130</v>
      </c>
      <c r="L119" s="17"/>
    </row>
    <row r="120" spans="1:31" s="2" customFormat="1" ht="16.5" customHeight="1">
      <c r="A120" s="29"/>
      <c r="B120" s="30"/>
      <c r="C120" s="29"/>
      <c r="D120" s="29"/>
      <c r="E120" s="387" t="s">
        <v>2801</v>
      </c>
      <c r="F120" s="386"/>
      <c r="G120" s="386"/>
      <c r="H120" s="386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2" customHeight="1">
      <c r="A121" s="29"/>
      <c r="B121" s="30"/>
      <c r="C121" s="24" t="s">
        <v>132</v>
      </c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6.5" customHeight="1">
      <c r="A122" s="29"/>
      <c r="B122" s="30"/>
      <c r="C122" s="29"/>
      <c r="D122" s="29"/>
      <c r="E122" s="382" t="str">
        <f>E11</f>
        <v>E2.1-D - Teplovod pre obj. 04 Garáže</v>
      </c>
      <c r="F122" s="386"/>
      <c r="G122" s="386"/>
      <c r="H122" s="386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2" customHeight="1">
      <c r="A124" s="29"/>
      <c r="B124" s="30"/>
      <c r="C124" s="24" t="s">
        <v>17</v>
      </c>
      <c r="D124" s="29"/>
      <c r="E124" s="29"/>
      <c r="F124" s="22" t="str">
        <f>F14</f>
        <v xml:space="preserve"> </v>
      </c>
      <c r="G124" s="29"/>
      <c r="H124" s="29"/>
      <c r="I124" s="24" t="s">
        <v>19</v>
      </c>
      <c r="J124" s="55">
        <f>IF(J14="","",J14)</f>
        <v>45945</v>
      </c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6.95" customHeight="1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5.2" customHeight="1">
      <c r="A126" s="29"/>
      <c r="B126" s="30"/>
      <c r="C126" s="24" t="s">
        <v>20</v>
      </c>
      <c r="D126" s="29"/>
      <c r="E126" s="29"/>
      <c r="F126" s="22" t="str">
        <f>E17</f>
        <v xml:space="preserve"> </v>
      </c>
      <c r="G126" s="29"/>
      <c r="H126" s="29"/>
      <c r="I126" s="24" t="s">
        <v>25</v>
      </c>
      <c r="J126" s="27" t="str">
        <f>E23</f>
        <v xml:space="preserve"> </v>
      </c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5.2" customHeight="1">
      <c r="A127" s="29"/>
      <c r="B127" s="30"/>
      <c r="C127" s="24" t="s">
        <v>23</v>
      </c>
      <c r="D127" s="29"/>
      <c r="E127" s="29"/>
      <c r="F127" s="22" t="str">
        <f>IF(E20="","",E20)</f>
        <v>Vyplň údaj</v>
      </c>
      <c r="G127" s="29"/>
      <c r="H127" s="29"/>
      <c r="I127" s="24" t="s">
        <v>26</v>
      </c>
      <c r="J127" s="27" t="str">
        <f>E26</f>
        <v xml:space="preserve"> 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0.3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11" customFormat="1" ht="29.25" customHeight="1">
      <c r="A129" s="128"/>
      <c r="B129" s="129"/>
      <c r="C129" s="130" t="s">
        <v>166</v>
      </c>
      <c r="D129" s="131" t="s">
        <v>54</v>
      </c>
      <c r="E129" s="131" t="s">
        <v>50</v>
      </c>
      <c r="F129" s="131" t="s">
        <v>51</v>
      </c>
      <c r="G129" s="131" t="s">
        <v>167</v>
      </c>
      <c r="H129" s="131" t="s">
        <v>168</v>
      </c>
      <c r="I129" s="131" t="s">
        <v>169</v>
      </c>
      <c r="J129" s="132" t="s">
        <v>136</v>
      </c>
      <c r="K129" s="133" t="s">
        <v>170</v>
      </c>
      <c r="L129" s="134"/>
      <c r="M129" s="62" t="s">
        <v>1</v>
      </c>
      <c r="N129" s="63" t="s">
        <v>33</v>
      </c>
      <c r="O129" s="63" t="s">
        <v>171</v>
      </c>
      <c r="P129" s="63" t="s">
        <v>172</v>
      </c>
      <c r="Q129" s="63" t="s">
        <v>173</v>
      </c>
      <c r="R129" s="63" t="s">
        <v>174</v>
      </c>
      <c r="S129" s="63" t="s">
        <v>175</v>
      </c>
      <c r="T129" s="64" t="s">
        <v>176</v>
      </c>
      <c r="U129" s="128"/>
      <c r="V129" s="128"/>
      <c r="W129" s="128"/>
      <c r="X129" s="128"/>
      <c r="Y129" s="128"/>
      <c r="Z129" s="128"/>
      <c r="AA129" s="128"/>
      <c r="AB129" s="128"/>
      <c r="AC129" s="128"/>
      <c r="AD129" s="128"/>
      <c r="AE129" s="128"/>
    </row>
    <row r="130" spans="1:65" s="2" customFormat="1" ht="22.9" customHeight="1">
      <c r="A130" s="29"/>
      <c r="B130" s="30"/>
      <c r="C130" s="69" t="s">
        <v>137</v>
      </c>
      <c r="D130" s="29"/>
      <c r="E130" s="29"/>
      <c r="F130" s="29"/>
      <c r="G130" s="29"/>
      <c r="H130" s="29"/>
      <c r="I130" s="29"/>
      <c r="J130" s="135">
        <v>0</v>
      </c>
      <c r="K130" s="29"/>
      <c r="L130" s="30"/>
      <c r="M130" s="65"/>
      <c r="N130" s="56"/>
      <c r="O130" s="66"/>
      <c r="P130" s="136">
        <f>P131+P158+P180</f>
        <v>0</v>
      </c>
      <c r="Q130" s="66"/>
      <c r="R130" s="136">
        <f>R131+R158+R180</f>
        <v>3.7984899999999988</v>
      </c>
      <c r="S130" s="66"/>
      <c r="T130" s="137">
        <f>T131+T158+T180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T130" s="14" t="s">
        <v>68</v>
      </c>
      <c r="AU130" s="14" t="s">
        <v>138</v>
      </c>
      <c r="BK130" s="138">
        <f>BK131+BK158+BK180</f>
        <v>0</v>
      </c>
    </row>
    <row r="131" spans="1:65" s="12" customFormat="1" ht="25.9" customHeight="1">
      <c r="B131" s="139"/>
      <c r="D131" s="140" t="s">
        <v>68</v>
      </c>
      <c r="E131" s="141" t="s">
        <v>177</v>
      </c>
      <c r="F131" s="141" t="s">
        <v>985</v>
      </c>
      <c r="I131" s="142"/>
      <c r="J131" s="143">
        <v>0</v>
      </c>
      <c r="L131" s="139"/>
      <c r="M131" s="144"/>
      <c r="N131" s="145"/>
      <c r="O131" s="145"/>
      <c r="P131" s="146">
        <f>P132+P135+P148+P155</f>
        <v>0</v>
      </c>
      <c r="Q131" s="145"/>
      <c r="R131" s="146">
        <f>R132+R135+R148+R155</f>
        <v>3.7455399999999988</v>
      </c>
      <c r="S131" s="145"/>
      <c r="T131" s="147">
        <f>T132+T135+T148+T155</f>
        <v>0</v>
      </c>
      <c r="AR131" s="140" t="s">
        <v>76</v>
      </c>
      <c r="AT131" s="148" t="s">
        <v>68</v>
      </c>
      <c r="AU131" s="148" t="s">
        <v>69</v>
      </c>
      <c r="AY131" s="140" t="s">
        <v>179</v>
      </c>
      <c r="BK131" s="149">
        <f>BK132+BK135+BK148+BK155</f>
        <v>0</v>
      </c>
    </row>
    <row r="132" spans="1:65" s="12" customFormat="1" ht="22.9" customHeight="1">
      <c r="B132" s="139"/>
      <c r="D132" s="140" t="s">
        <v>68</v>
      </c>
      <c r="E132" s="150" t="s">
        <v>185</v>
      </c>
      <c r="F132" s="150" t="s">
        <v>1007</v>
      </c>
      <c r="I132" s="142"/>
      <c r="J132" s="151">
        <v>0</v>
      </c>
      <c r="L132" s="139"/>
      <c r="M132" s="144"/>
      <c r="N132" s="145"/>
      <c r="O132" s="145"/>
      <c r="P132" s="146">
        <f>SUM(P133:P134)</f>
        <v>0</v>
      </c>
      <c r="Q132" s="145"/>
      <c r="R132" s="146">
        <f>SUM(R133:R134)</f>
        <v>1.773069999999999</v>
      </c>
      <c r="S132" s="145"/>
      <c r="T132" s="147">
        <f>SUM(T133:T134)</f>
        <v>0</v>
      </c>
      <c r="AR132" s="140" t="s">
        <v>76</v>
      </c>
      <c r="AT132" s="148" t="s">
        <v>68</v>
      </c>
      <c r="AU132" s="148" t="s">
        <v>76</v>
      </c>
      <c r="AY132" s="140" t="s">
        <v>179</v>
      </c>
      <c r="BK132" s="149">
        <f>SUM(BK133:BK134)</f>
        <v>0</v>
      </c>
    </row>
    <row r="133" spans="1:65" s="2" customFormat="1" ht="37.9" customHeight="1">
      <c r="A133" s="29"/>
      <c r="B133" s="152"/>
      <c r="C133" s="153" t="s">
        <v>76</v>
      </c>
      <c r="D133" s="153" t="s">
        <v>181</v>
      </c>
      <c r="E133" s="154" t="s">
        <v>2134</v>
      </c>
      <c r="F133" s="155" t="s">
        <v>2961</v>
      </c>
      <c r="G133" s="156" t="s">
        <v>184</v>
      </c>
      <c r="H133" s="157">
        <v>3</v>
      </c>
      <c r="I133" s="158"/>
      <c r="J133" s="151">
        <v>0</v>
      </c>
      <c r="K133" s="160"/>
      <c r="L133" s="30"/>
      <c r="M133" s="161" t="s">
        <v>1</v>
      </c>
      <c r="N133" s="162" t="s">
        <v>35</v>
      </c>
      <c r="O133" s="58"/>
      <c r="P133" s="163">
        <f>O133*H133</f>
        <v>0</v>
      </c>
      <c r="Q133" s="163">
        <v>0.59102333333333301</v>
      </c>
      <c r="R133" s="163">
        <f>Q133*H133</f>
        <v>1.773069999999999</v>
      </c>
      <c r="S133" s="163">
        <v>0</v>
      </c>
      <c r="T133" s="164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5" t="s">
        <v>185</v>
      </c>
      <c r="AT133" s="165" t="s">
        <v>181</v>
      </c>
      <c r="AU133" s="165" t="s">
        <v>82</v>
      </c>
      <c r="AY133" s="14" t="s">
        <v>179</v>
      </c>
      <c r="BE133" s="166">
        <f>IF(N133="základná",J133,0)</f>
        <v>0</v>
      </c>
      <c r="BF133" s="166">
        <f>IF(N133="znížená",J133,0)</f>
        <v>0</v>
      </c>
      <c r="BG133" s="166">
        <f>IF(N133="zákl. prenesená",J133,0)</f>
        <v>0</v>
      </c>
      <c r="BH133" s="166">
        <f>IF(N133="zníž. prenesená",J133,0)</f>
        <v>0</v>
      </c>
      <c r="BI133" s="166">
        <f>IF(N133="nulová",J133,0)</f>
        <v>0</v>
      </c>
      <c r="BJ133" s="14" t="s">
        <v>82</v>
      </c>
      <c r="BK133" s="166">
        <f>ROUND(I133*H133,2)</f>
        <v>0</v>
      </c>
      <c r="BL133" s="14" t="s">
        <v>185</v>
      </c>
      <c r="BM133" s="165" t="s">
        <v>82</v>
      </c>
    </row>
    <row r="134" spans="1:65" s="2" customFormat="1" ht="33" customHeight="1">
      <c r="A134" s="29"/>
      <c r="B134" s="152"/>
      <c r="C134" s="153" t="s">
        <v>82</v>
      </c>
      <c r="D134" s="153" t="s">
        <v>181</v>
      </c>
      <c r="E134" s="154" t="s">
        <v>2845</v>
      </c>
      <c r="F134" s="155" t="s">
        <v>2846</v>
      </c>
      <c r="G134" s="156" t="s">
        <v>196</v>
      </c>
      <c r="H134" s="157">
        <v>20.37</v>
      </c>
      <c r="I134" s="158"/>
      <c r="J134" s="151">
        <v>0</v>
      </c>
      <c r="K134" s="160"/>
      <c r="L134" s="30"/>
      <c r="M134" s="161" t="s">
        <v>1</v>
      </c>
      <c r="N134" s="162" t="s">
        <v>35</v>
      </c>
      <c r="O134" s="58"/>
      <c r="P134" s="163">
        <f>O134*H134</f>
        <v>0</v>
      </c>
      <c r="Q134" s="163">
        <v>0</v>
      </c>
      <c r="R134" s="163">
        <f>Q134*H134</f>
        <v>0</v>
      </c>
      <c r="S134" s="163">
        <v>0</v>
      </c>
      <c r="T134" s="164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5" t="s">
        <v>185</v>
      </c>
      <c r="AT134" s="165" t="s">
        <v>181</v>
      </c>
      <c r="AU134" s="165" t="s">
        <v>82</v>
      </c>
      <c r="AY134" s="14" t="s">
        <v>179</v>
      </c>
      <c r="BE134" s="166">
        <f>IF(N134="základná",J134,0)</f>
        <v>0</v>
      </c>
      <c r="BF134" s="166">
        <f>IF(N134="znížená",J134,0)</f>
        <v>0</v>
      </c>
      <c r="BG134" s="166">
        <f>IF(N134="zákl. prenesená",J134,0)</f>
        <v>0</v>
      </c>
      <c r="BH134" s="166">
        <f>IF(N134="zníž. prenesená",J134,0)</f>
        <v>0</v>
      </c>
      <c r="BI134" s="166">
        <f>IF(N134="nulová",J134,0)</f>
        <v>0</v>
      </c>
      <c r="BJ134" s="14" t="s">
        <v>82</v>
      </c>
      <c r="BK134" s="166">
        <f>ROUND(I134*H134,2)</f>
        <v>0</v>
      </c>
      <c r="BL134" s="14" t="s">
        <v>185</v>
      </c>
      <c r="BM134" s="165" t="s">
        <v>185</v>
      </c>
    </row>
    <row r="135" spans="1:65" s="12" customFormat="1" ht="22.9" customHeight="1">
      <c r="B135" s="139"/>
      <c r="D135" s="140" t="s">
        <v>68</v>
      </c>
      <c r="E135" s="150" t="s">
        <v>197</v>
      </c>
      <c r="F135" s="150" t="s">
        <v>2856</v>
      </c>
      <c r="I135" s="142"/>
      <c r="J135" s="151">
        <v>0</v>
      </c>
      <c r="L135" s="139"/>
      <c r="M135" s="144"/>
      <c r="N135" s="145"/>
      <c r="O135" s="145"/>
      <c r="P135" s="146">
        <f>SUM(P136:P147)</f>
        <v>0</v>
      </c>
      <c r="Q135" s="145"/>
      <c r="R135" s="146">
        <f>SUM(R136:R147)</f>
        <v>1.9724699999999997</v>
      </c>
      <c r="S135" s="145"/>
      <c r="T135" s="147">
        <f>SUM(T136:T147)</f>
        <v>0</v>
      </c>
      <c r="AR135" s="140" t="s">
        <v>76</v>
      </c>
      <c r="AT135" s="148" t="s">
        <v>68</v>
      </c>
      <c r="AU135" s="148" t="s">
        <v>76</v>
      </c>
      <c r="AY135" s="140" t="s">
        <v>179</v>
      </c>
      <c r="BK135" s="149">
        <f>SUM(BK136:BK147)</f>
        <v>0</v>
      </c>
    </row>
    <row r="136" spans="1:65" s="2" customFormat="1" ht="44.25" customHeight="1">
      <c r="A136" s="29"/>
      <c r="B136" s="152"/>
      <c r="C136" s="153" t="s">
        <v>188</v>
      </c>
      <c r="D136" s="153" t="s">
        <v>181</v>
      </c>
      <c r="E136" s="154" t="s">
        <v>2962</v>
      </c>
      <c r="F136" s="155" t="s">
        <v>2963</v>
      </c>
      <c r="G136" s="156" t="s">
        <v>293</v>
      </c>
      <c r="H136" s="157">
        <v>84</v>
      </c>
      <c r="I136" s="158"/>
      <c r="J136" s="151">
        <v>0</v>
      </c>
      <c r="K136" s="160"/>
      <c r="L136" s="30"/>
      <c r="M136" s="161" t="s">
        <v>1</v>
      </c>
      <c r="N136" s="162" t="s">
        <v>35</v>
      </c>
      <c r="O136" s="58"/>
      <c r="P136" s="163">
        <f t="shared" ref="P136:P147" si="0">O136*H136</f>
        <v>0</v>
      </c>
      <c r="Q136" s="163">
        <v>1.8503571428571399E-3</v>
      </c>
      <c r="R136" s="163">
        <f t="shared" ref="R136:R147" si="1">Q136*H136</f>
        <v>0.15542999999999976</v>
      </c>
      <c r="S136" s="163">
        <v>0</v>
      </c>
      <c r="T136" s="164">
        <f t="shared" ref="T136:T147" si="2"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5" t="s">
        <v>185</v>
      </c>
      <c r="AT136" s="165" t="s">
        <v>181</v>
      </c>
      <c r="AU136" s="165" t="s">
        <v>82</v>
      </c>
      <c r="AY136" s="14" t="s">
        <v>179</v>
      </c>
      <c r="BE136" s="166">
        <f t="shared" ref="BE136:BE147" si="3">IF(N136="základná",J136,0)</f>
        <v>0</v>
      </c>
      <c r="BF136" s="166">
        <f t="shared" ref="BF136:BF147" si="4">IF(N136="znížená",J136,0)</f>
        <v>0</v>
      </c>
      <c r="BG136" s="166">
        <f t="shared" ref="BG136:BG147" si="5">IF(N136="zákl. prenesená",J136,0)</f>
        <v>0</v>
      </c>
      <c r="BH136" s="166">
        <f t="shared" ref="BH136:BH147" si="6">IF(N136="zníž. prenesená",J136,0)</f>
        <v>0</v>
      </c>
      <c r="BI136" s="166">
        <f t="shared" ref="BI136:BI147" si="7">IF(N136="nulová",J136,0)</f>
        <v>0</v>
      </c>
      <c r="BJ136" s="14" t="s">
        <v>82</v>
      </c>
      <c r="BK136" s="166">
        <f t="shared" ref="BK136:BK147" si="8">ROUND(I136*H136,2)</f>
        <v>0</v>
      </c>
      <c r="BL136" s="14" t="s">
        <v>185</v>
      </c>
      <c r="BM136" s="165" t="s">
        <v>192</v>
      </c>
    </row>
    <row r="137" spans="1:65" s="2" customFormat="1" ht="49.15" customHeight="1">
      <c r="A137" s="29"/>
      <c r="B137" s="152"/>
      <c r="C137" s="167" t="s">
        <v>185</v>
      </c>
      <c r="D137" s="167" t="s">
        <v>202</v>
      </c>
      <c r="E137" s="168" t="s">
        <v>2964</v>
      </c>
      <c r="F137" s="338" t="s">
        <v>3481</v>
      </c>
      <c r="G137" s="170" t="s">
        <v>293</v>
      </c>
      <c r="H137" s="171">
        <v>66</v>
      </c>
      <c r="I137" s="172"/>
      <c r="J137" s="151">
        <v>0</v>
      </c>
      <c r="K137" s="174"/>
      <c r="L137" s="175"/>
      <c r="M137" s="176" t="s">
        <v>1</v>
      </c>
      <c r="N137" s="177" t="s">
        <v>35</v>
      </c>
      <c r="O137" s="58"/>
      <c r="P137" s="163">
        <f t="shared" si="0"/>
        <v>0</v>
      </c>
      <c r="Q137" s="163">
        <v>4.3299999999999996E-3</v>
      </c>
      <c r="R137" s="163">
        <f t="shared" si="1"/>
        <v>0.28577999999999998</v>
      </c>
      <c r="S137" s="163">
        <v>0</v>
      </c>
      <c r="T137" s="164">
        <f t="shared" si="2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197</v>
      </c>
      <c r="AT137" s="165" t="s">
        <v>202</v>
      </c>
      <c r="AU137" s="165" t="s">
        <v>82</v>
      </c>
      <c r="AY137" s="14" t="s">
        <v>179</v>
      </c>
      <c r="BE137" s="166">
        <f t="shared" si="3"/>
        <v>0</v>
      </c>
      <c r="BF137" s="166">
        <f t="shared" si="4"/>
        <v>0</v>
      </c>
      <c r="BG137" s="166">
        <f t="shared" si="5"/>
        <v>0</v>
      </c>
      <c r="BH137" s="166">
        <f t="shared" si="6"/>
        <v>0</v>
      </c>
      <c r="BI137" s="166">
        <f t="shared" si="7"/>
        <v>0</v>
      </c>
      <c r="BJ137" s="14" t="s">
        <v>82</v>
      </c>
      <c r="BK137" s="166">
        <f t="shared" si="8"/>
        <v>0</v>
      </c>
      <c r="BL137" s="14" t="s">
        <v>185</v>
      </c>
      <c r="BM137" s="165" t="s">
        <v>197</v>
      </c>
    </row>
    <row r="138" spans="1:65" s="2" customFormat="1" ht="44.25" customHeight="1">
      <c r="A138" s="29"/>
      <c r="B138" s="152"/>
      <c r="C138" s="153" t="s">
        <v>198</v>
      </c>
      <c r="D138" s="153" t="s">
        <v>181</v>
      </c>
      <c r="E138" s="154" t="s">
        <v>2860</v>
      </c>
      <c r="F138" s="155" t="s">
        <v>2861</v>
      </c>
      <c r="G138" s="156" t="s">
        <v>217</v>
      </c>
      <c r="H138" s="157">
        <v>28</v>
      </c>
      <c r="I138" s="158"/>
      <c r="J138" s="151">
        <v>0</v>
      </c>
      <c r="K138" s="160"/>
      <c r="L138" s="30"/>
      <c r="M138" s="161" t="s">
        <v>1</v>
      </c>
      <c r="N138" s="162" t="s">
        <v>35</v>
      </c>
      <c r="O138" s="58"/>
      <c r="P138" s="163">
        <f t="shared" si="0"/>
        <v>0</v>
      </c>
      <c r="Q138" s="163">
        <v>1.6045714285714299E-2</v>
      </c>
      <c r="R138" s="163">
        <f t="shared" si="1"/>
        <v>0.44928000000000035</v>
      </c>
      <c r="S138" s="163">
        <v>0</v>
      </c>
      <c r="T138" s="164">
        <f t="shared" si="2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185</v>
      </c>
      <c r="AT138" s="165" t="s">
        <v>181</v>
      </c>
      <c r="AU138" s="165" t="s">
        <v>82</v>
      </c>
      <c r="AY138" s="14" t="s">
        <v>179</v>
      </c>
      <c r="BE138" s="166">
        <f t="shared" si="3"/>
        <v>0</v>
      </c>
      <c r="BF138" s="166">
        <f t="shared" si="4"/>
        <v>0</v>
      </c>
      <c r="BG138" s="166">
        <f t="shared" si="5"/>
        <v>0</v>
      </c>
      <c r="BH138" s="166">
        <f t="shared" si="6"/>
        <v>0</v>
      </c>
      <c r="BI138" s="166">
        <f t="shared" si="7"/>
        <v>0</v>
      </c>
      <c r="BJ138" s="14" t="s">
        <v>82</v>
      </c>
      <c r="BK138" s="166">
        <f t="shared" si="8"/>
        <v>0</v>
      </c>
      <c r="BL138" s="14" t="s">
        <v>185</v>
      </c>
      <c r="BM138" s="165" t="s">
        <v>201</v>
      </c>
    </row>
    <row r="139" spans="1:65" s="2" customFormat="1" ht="55.5" customHeight="1">
      <c r="A139" s="29"/>
      <c r="B139" s="152"/>
      <c r="C139" s="153" t="s">
        <v>192</v>
      </c>
      <c r="D139" s="153" t="s">
        <v>181</v>
      </c>
      <c r="E139" s="154" t="s">
        <v>2904</v>
      </c>
      <c r="F139" s="155" t="s">
        <v>2965</v>
      </c>
      <c r="G139" s="156" t="s">
        <v>217</v>
      </c>
      <c r="H139" s="157">
        <v>14</v>
      </c>
      <c r="I139" s="158"/>
      <c r="J139" s="151">
        <v>0</v>
      </c>
      <c r="K139" s="160"/>
      <c r="L139" s="30"/>
      <c r="M139" s="161" t="s">
        <v>1</v>
      </c>
      <c r="N139" s="162" t="s">
        <v>35</v>
      </c>
      <c r="O139" s="58"/>
      <c r="P139" s="163">
        <f t="shared" si="0"/>
        <v>0</v>
      </c>
      <c r="Q139" s="163">
        <v>1.6045714285714299E-2</v>
      </c>
      <c r="R139" s="163">
        <f t="shared" si="1"/>
        <v>0.22464000000000017</v>
      </c>
      <c r="S139" s="163">
        <v>0</v>
      </c>
      <c r="T139" s="164">
        <f t="shared" si="2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185</v>
      </c>
      <c r="AT139" s="165" t="s">
        <v>181</v>
      </c>
      <c r="AU139" s="165" t="s">
        <v>82</v>
      </c>
      <c r="AY139" s="14" t="s">
        <v>179</v>
      </c>
      <c r="BE139" s="166">
        <f t="shared" si="3"/>
        <v>0</v>
      </c>
      <c r="BF139" s="166">
        <f t="shared" si="4"/>
        <v>0</v>
      </c>
      <c r="BG139" s="166">
        <f t="shared" si="5"/>
        <v>0</v>
      </c>
      <c r="BH139" s="166">
        <f t="shared" si="6"/>
        <v>0</v>
      </c>
      <c r="BI139" s="166">
        <f t="shared" si="7"/>
        <v>0</v>
      </c>
      <c r="BJ139" s="14" t="s">
        <v>82</v>
      </c>
      <c r="BK139" s="166">
        <f t="shared" si="8"/>
        <v>0</v>
      </c>
      <c r="BL139" s="14" t="s">
        <v>185</v>
      </c>
      <c r="BM139" s="165" t="s">
        <v>205</v>
      </c>
    </row>
    <row r="140" spans="1:65" s="2" customFormat="1" ht="33" customHeight="1">
      <c r="A140" s="29"/>
      <c r="B140" s="152"/>
      <c r="C140" s="167" t="s">
        <v>207</v>
      </c>
      <c r="D140" s="167" t="s">
        <v>202</v>
      </c>
      <c r="E140" s="168" t="s">
        <v>2864</v>
      </c>
      <c r="F140" s="169" t="s">
        <v>2966</v>
      </c>
      <c r="G140" s="170" t="s">
        <v>217</v>
      </c>
      <c r="H140" s="171">
        <v>2</v>
      </c>
      <c r="I140" s="172"/>
      <c r="J140" s="151">
        <v>0</v>
      </c>
      <c r="K140" s="174"/>
      <c r="L140" s="175"/>
      <c r="M140" s="176" t="s">
        <v>1</v>
      </c>
      <c r="N140" s="177" t="s">
        <v>35</v>
      </c>
      <c r="O140" s="58"/>
      <c r="P140" s="163">
        <f t="shared" si="0"/>
        <v>0</v>
      </c>
      <c r="Q140" s="163">
        <v>3.8969999999999998E-2</v>
      </c>
      <c r="R140" s="163">
        <f t="shared" si="1"/>
        <v>7.7939999999999995E-2</v>
      </c>
      <c r="S140" s="163">
        <v>0</v>
      </c>
      <c r="T140" s="164">
        <f t="shared" si="2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197</v>
      </c>
      <c r="AT140" s="165" t="s">
        <v>202</v>
      </c>
      <c r="AU140" s="165" t="s">
        <v>82</v>
      </c>
      <c r="AY140" s="14" t="s">
        <v>179</v>
      </c>
      <c r="BE140" s="166">
        <f t="shared" si="3"/>
        <v>0</v>
      </c>
      <c r="BF140" s="166">
        <f t="shared" si="4"/>
        <v>0</v>
      </c>
      <c r="BG140" s="166">
        <f t="shared" si="5"/>
        <v>0</v>
      </c>
      <c r="BH140" s="166">
        <f t="shared" si="6"/>
        <v>0</v>
      </c>
      <c r="BI140" s="166">
        <f t="shared" si="7"/>
        <v>0</v>
      </c>
      <c r="BJ140" s="14" t="s">
        <v>82</v>
      </c>
      <c r="BK140" s="166">
        <f t="shared" si="8"/>
        <v>0</v>
      </c>
      <c r="BL140" s="14" t="s">
        <v>185</v>
      </c>
      <c r="BM140" s="165" t="s">
        <v>210</v>
      </c>
    </row>
    <row r="141" spans="1:65" s="2" customFormat="1" ht="42" customHeight="1">
      <c r="A141" s="29"/>
      <c r="B141" s="152"/>
      <c r="C141" s="167" t="s">
        <v>197</v>
      </c>
      <c r="D141" s="167" t="s">
        <v>202</v>
      </c>
      <c r="E141" s="168" t="s">
        <v>2866</v>
      </c>
      <c r="F141" s="169" t="s">
        <v>2967</v>
      </c>
      <c r="G141" s="170" t="s">
        <v>217</v>
      </c>
      <c r="H141" s="171">
        <v>2</v>
      </c>
      <c r="I141" s="172"/>
      <c r="J141" s="151">
        <v>0</v>
      </c>
      <c r="K141" s="174"/>
      <c r="L141" s="175"/>
      <c r="M141" s="176" t="s">
        <v>1</v>
      </c>
      <c r="N141" s="177" t="s">
        <v>35</v>
      </c>
      <c r="O141" s="58"/>
      <c r="P141" s="163">
        <f t="shared" si="0"/>
        <v>0</v>
      </c>
      <c r="Q141" s="163">
        <v>3.8969999999999998E-2</v>
      </c>
      <c r="R141" s="163">
        <f t="shared" si="1"/>
        <v>7.7939999999999995E-2</v>
      </c>
      <c r="S141" s="163">
        <v>0</v>
      </c>
      <c r="T141" s="164">
        <f t="shared" si="2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5" t="s">
        <v>197</v>
      </c>
      <c r="AT141" s="165" t="s">
        <v>202</v>
      </c>
      <c r="AU141" s="165" t="s">
        <v>82</v>
      </c>
      <c r="AY141" s="14" t="s">
        <v>179</v>
      </c>
      <c r="BE141" s="166">
        <f t="shared" si="3"/>
        <v>0</v>
      </c>
      <c r="BF141" s="166">
        <f t="shared" si="4"/>
        <v>0</v>
      </c>
      <c r="BG141" s="166">
        <f t="shared" si="5"/>
        <v>0</v>
      </c>
      <c r="BH141" s="166">
        <f t="shared" si="6"/>
        <v>0</v>
      </c>
      <c r="BI141" s="166">
        <f t="shared" si="7"/>
        <v>0</v>
      </c>
      <c r="BJ141" s="14" t="s">
        <v>82</v>
      </c>
      <c r="BK141" s="166">
        <f t="shared" si="8"/>
        <v>0</v>
      </c>
      <c r="BL141" s="14" t="s">
        <v>185</v>
      </c>
      <c r="BM141" s="165" t="s">
        <v>213</v>
      </c>
    </row>
    <row r="142" spans="1:65" s="2" customFormat="1" ht="33" customHeight="1">
      <c r="A142" s="29"/>
      <c r="B142" s="152"/>
      <c r="C142" s="167" t="s">
        <v>214</v>
      </c>
      <c r="D142" s="167" t="s">
        <v>202</v>
      </c>
      <c r="E142" s="168" t="s">
        <v>2908</v>
      </c>
      <c r="F142" s="169" t="s">
        <v>2968</v>
      </c>
      <c r="G142" s="170" t="s">
        <v>217</v>
      </c>
      <c r="H142" s="171">
        <v>4</v>
      </c>
      <c r="I142" s="172"/>
      <c r="J142" s="151">
        <v>0</v>
      </c>
      <c r="K142" s="174"/>
      <c r="L142" s="175"/>
      <c r="M142" s="176" t="s">
        <v>1</v>
      </c>
      <c r="N142" s="177" t="s">
        <v>35</v>
      </c>
      <c r="O142" s="58"/>
      <c r="P142" s="163">
        <f t="shared" si="0"/>
        <v>0</v>
      </c>
      <c r="Q142" s="163">
        <v>3.8969999999999998E-2</v>
      </c>
      <c r="R142" s="163">
        <f t="shared" si="1"/>
        <v>0.15587999999999999</v>
      </c>
      <c r="S142" s="163">
        <v>0</v>
      </c>
      <c r="T142" s="164">
        <f t="shared" si="2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5" t="s">
        <v>197</v>
      </c>
      <c r="AT142" s="165" t="s">
        <v>202</v>
      </c>
      <c r="AU142" s="165" t="s">
        <v>82</v>
      </c>
      <c r="AY142" s="14" t="s">
        <v>179</v>
      </c>
      <c r="BE142" s="166">
        <f t="shared" si="3"/>
        <v>0</v>
      </c>
      <c r="BF142" s="166">
        <f t="shared" si="4"/>
        <v>0</v>
      </c>
      <c r="BG142" s="166">
        <f t="shared" si="5"/>
        <v>0</v>
      </c>
      <c r="BH142" s="166">
        <f t="shared" si="6"/>
        <v>0</v>
      </c>
      <c r="BI142" s="166">
        <f t="shared" si="7"/>
        <v>0</v>
      </c>
      <c r="BJ142" s="14" t="s">
        <v>82</v>
      </c>
      <c r="BK142" s="166">
        <f t="shared" si="8"/>
        <v>0</v>
      </c>
      <c r="BL142" s="14" t="s">
        <v>185</v>
      </c>
      <c r="BM142" s="165" t="s">
        <v>218</v>
      </c>
    </row>
    <row r="143" spans="1:65" s="2" customFormat="1" ht="24.2" customHeight="1">
      <c r="A143" s="29"/>
      <c r="B143" s="152"/>
      <c r="C143" s="167" t="s">
        <v>201</v>
      </c>
      <c r="D143" s="167" t="s">
        <v>202</v>
      </c>
      <c r="E143" s="168" t="s">
        <v>2910</v>
      </c>
      <c r="F143" s="169" t="s">
        <v>2969</v>
      </c>
      <c r="G143" s="170" t="s">
        <v>217</v>
      </c>
      <c r="H143" s="171">
        <v>2</v>
      </c>
      <c r="I143" s="172"/>
      <c r="J143" s="151">
        <v>0</v>
      </c>
      <c r="K143" s="174"/>
      <c r="L143" s="175"/>
      <c r="M143" s="176" t="s">
        <v>1</v>
      </c>
      <c r="N143" s="177" t="s">
        <v>35</v>
      </c>
      <c r="O143" s="58"/>
      <c r="P143" s="163">
        <f t="shared" si="0"/>
        <v>0</v>
      </c>
      <c r="Q143" s="163">
        <v>3.8969999999999998E-2</v>
      </c>
      <c r="R143" s="163">
        <f t="shared" si="1"/>
        <v>7.7939999999999995E-2</v>
      </c>
      <c r="S143" s="163">
        <v>0</v>
      </c>
      <c r="T143" s="164">
        <f t="shared" si="2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197</v>
      </c>
      <c r="AT143" s="165" t="s">
        <v>202</v>
      </c>
      <c r="AU143" s="165" t="s">
        <v>82</v>
      </c>
      <c r="AY143" s="14" t="s">
        <v>179</v>
      </c>
      <c r="BE143" s="166">
        <f t="shared" si="3"/>
        <v>0</v>
      </c>
      <c r="BF143" s="166">
        <f t="shared" si="4"/>
        <v>0</v>
      </c>
      <c r="BG143" s="166">
        <f t="shared" si="5"/>
        <v>0</v>
      </c>
      <c r="BH143" s="166">
        <f t="shared" si="6"/>
        <v>0</v>
      </c>
      <c r="BI143" s="166">
        <f t="shared" si="7"/>
        <v>0</v>
      </c>
      <c r="BJ143" s="14" t="s">
        <v>82</v>
      </c>
      <c r="BK143" s="166">
        <f t="shared" si="8"/>
        <v>0</v>
      </c>
      <c r="BL143" s="14" t="s">
        <v>185</v>
      </c>
      <c r="BM143" s="165" t="s">
        <v>221</v>
      </c>
    </row>
    <row r="144" spans="1:65" s="2" customFormat="1" ht="33" customHeight="1">
      <c r="A144" s="29"/>
      <c r="B144" s="152"/>
      <c r="C144" s="167" t="s">
        <v>222</v>
      </c>
      <c r="D144" s="167" t="s">
        <v>202</v>
      </c>
      <c r="E144" s="168" t="s">
        <v>2912</v>
      </c>
      <c r="F144" s="169" t="s">
        <v>2970</v>
      </c>
      <c r="G144" s="170" t="s">
        <v>217</v>
      </c>
      <c r="H144" s="171">
        <v>2</v>
      </c>
      <c r="I144" s="172"/>
      <c r="J144" s="151">
        <v>0</v>
      </c>
      <c r="K144" s="174"/>
      <c r="L144" s="175"/>
      <c r="M144" s="176" t="s">
        <v>1</v>
      </c>
      <c r="N144" s="177" t="s">
        <v>35</v>
      </c>
      <c r="O144" s="58"/>
      <c r="P144" s="163">
        <f t="shared" si="0"/>
        <v>0</v>
      </c>
      <c r="Q144" s="163">
        <v>3.8969999999999998E-2</v>
      </c>
      <c r="R144" s="163">
        <f t="shared" si="1"/>
        <v>7.7939999999999995E-2</v>
      </c>
      <c r="S144" s="163">
        <v>0</v>
      </c>
      <c r="T144" s="164">
        <f t="shared" si="2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5" t="s">
        <v>197</v>
      </c>
      <c r="AT144" s="165" t="s">
        <v>202</v>
      </c>
      <c r="AU144" s="165" t="s">
        <v>82</v>
      </c>
      <c r="AY144" s="14" t="s">
        <v>179</v>
      </c>
      <c r="BE144" s="166">
        <f t="shared" si="3"/>
        <v>0</v>
      </c>
      <c r="BF144" s="166">
        <f t="shared" si="4"/>
        <v>0</v>
      </c>
      <c r="BG144" s="166">
        <f t="shared" si="5"/>
        <v>0</v>
      </c>
      <c r="BH144" s="166">
        <f t="shared" si="6"/>
        <v>0</v>
      </c>
      <c r="BI144" s="166">
        <f t="shared" si="7"/>
        <v>0</v>
      </c>
      <c r="BJ144" s="14" t="s">
        <v>82</v>
      </c>
      <c r="BK144" s="166">
        <f t="shared" si="8"/>
        <v>0</v>
      </c>
      <c r="BL144" s="14" t="s">
        <v>185</v>
      </c>
      <c r="BM144" s="165" t="s">
        <v>225</v>
      </c>
    </row>
    <row r="145" spans="1:65" s="2" customFormat="1" ht="33" customHeight="1">
      <c r="A145" s="29"/>
      <c r="B145" s="152"/>
      <c r="C145" s="167" t="s">
        <v>205</v>
      </c>
      <c r="D145" s="167" t="s">
        <v>202</v>
      </c>
      <c r="E145" s="168" t="s">
        <v>2868</v>
      </c>
      <c r="F145" s="169" t="s">
        <v>2971</v>
      </c>
      <c r="G145" s="170" t="s">
        <v>217</v>
      </c>
      <c r="H145" s="171">
        <v>2</v>
      </c>
      <c r="I145" s="172"/>
      <c r="J145" s="151">
        <v>0</v>
      </c>
      <c r="K145" s="174"/>
      <c r="L145" s="175"/>
      <c r="M145" s="176" t="s">
        <v>1</v>
      </c>
      <c r="N145" s="177" t="s">
        <v>35</v>
      </c>
      <c r="O145" s="58"/>
      <c r="P145" s="163">
        <f t="shared" si="0"/>
        <v>0</v>
      </c>
      <c r="Q145" s="163">
        <v>3.8969999999999998E-2</v>
      </c>
      <c r="R145" s="163">
        <f t="shared" si="1"/>
        <v>7.7939999999999995E-2</v>
      </c>
      <c r="S145" s="163">
        <v>0</v>
      </c>
      <c r="T145" s="164">
        <f t="shared" si="2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5" t="s">
        <v>197</v>
      </c>
      <c r="AT145" s="165" t="s">
        <v>202</v>
      </c>
      <c r="AU145" s="165" t="s">
        <v>82</v>
      </c>
      <c r="AY145" s="14" t="s">
        <v>179</v>
      </c>
      <c r="BE145" s="166">
        <f t="shared" si="3"/>
        <v>0</v>
      </c>
      <c r="BF145" s="166">
        <f t="shared" si="4"/>
        <v>0</v>
      </c>
      <c r="BG145" s="166">
        <f t="shared" si="5"/>
        <v>0</v>
      </c>
      <c r="BH145" s="166">
        <f t="shared" si="6"/>
        <v>0</v>
      </c>
      <c r="BI145" s="166">
        <f t="shared" si="7"/>
        <v>0</v>
      </c>
      <c r="BJ145" s="14" t="s">
        <v>82</v>
      </c>
      <c r="BK145" s="166">
        <f t="shared" si="8"/>
        <v>0</v>
      </c>
      <c r="BL145" s="14" t="s">
        <v>185</v>
      </c>
      <c r="BM145" s="165" t="s">
        <v>228</v>
      </c>
    </row>
    <row r="146" spans="1:65" s="2" customFormat="1" ht="24.2" customHeight="1">
      <c r="A146" s="29"/>
      <c r="B146" s="152"/>
      <c r="C146" s="167" t="s">
        <v>229</v>
      </c>
      <c r="D146" s="167" t="s">
        <v>202</v>
      </c>
      <c r="E146" s="168" t="s">
        <v>2870</v>
      </c>
      <c r="F146" s="169" t="s">
        <v>2972</v>
      </c>
      <c r="G146" s="170" t="s">
        <v>217</v>
      </c>
      <c r="H146" s="171">
        <v>4</v>
      </c>
      <c r="I146" s="172"/>
      <c r="J146" s="151">
        <v>0</v>
      </c>
      <c r="K146" s="174"/>
      <c r="L146" s="175"/>
      <c r="M146" s="176" t="s">
        <v>1</v>
      </c>
      <c r="N146" s="177" t="s">
        <v>35</v>
      </c>
      <c r="O146" s="58"/>
      <c r="P146" s="163">
        <f t="shared" si="0"/>
        <v>0</v>
      </c>
      <c r="Q146" s="163">
        <v>3.8969999999999998E-2</v>
      </c>
      <c r="R146" s="163">
        <f t="shared" si="1"/>
        <v>0.15587999999999999</v>
      </c>
      <c r="S146" s="163">
        <v>0</v>
      </c>
      <c r="T146" s="164">
        <f t="shared" si="2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5" t="s">
        <v>197</v>
      </c>
      <c r="AT146" s="165" t="s">
        <v>202</v>
      </c>
      <c r="AU146" s="165" t="s">
        <v>82</v>
      </c>
      <c r="AY146" s="14" t="s">
        <v>179</v>
      </c>
      <c r="BE146" s="166">
        <f t="shared" si="3"/>
        <v>0</v>
      </c>
      <c r="BF146" s="166">
        <f t="shared" si="4"/>
        <v>0</v>
      </c>
      <c r="BG146" s="166">
        <f t="shared" si="5"/>
        <v>0</v>
      </c>
      <c r="BH146" s="166">
        <f t="shared" si="6"/>
        <v>0</v>
      </c>
      <c r="BI146" s="166">
        <f t="shared" si="7"/>
        <v>0</v>
      </c>
      <c r="BJ146" s="14" t="s">
        <v>82</v>
      </c>
      <c r="BK146" s="166">
        <f t="shared" si="8"/>
        <v>0</v>
      </c>
      <c r="BL146" s="14" t="s">
        <v>185</v>
      </c>
      <c r="BM146" s="165" t="s">
        <v>232</v>
      </c>
    </row>
    <row r="147" spans="1:65" s="2" customFormat="1" ht="24.2" customHeight="1">
      <c r="A147" s="29"/>
      <c r="B147" s="152"/>
      <c r="C147" s="167" t="s">
        <v>210</v>
      </c>
      <c r="D147" s="167" t="s">
        <v>202</v>
      </c>
      <c r="E147" s="168" t="s">
        <v>2872</v>
      </c>
      <c r="F147" s="169" t="s">
        <v>2973</v>
      </c>
      <c r="G147" s="170" t="s">
        <v>217</v>
      </c>
      <c r="H147" s="171">
        <v>4</v>
      </c>
      <c r="I147" s="172"/>
      <c r="J147" s="151">
        <v>0</v>
      </c>
      <c r="K147" s="174"/>
      <c r="L147" s="175"/>
      <c r="M147" s="176" t="s">
        <v>1</v>
      </c>
      <c r="N147" s="177" t="s">
        <v>35</v>
      </c>
      <c r="O147" s="58"/>
      <c r="P147" s="163">
        <f t="shared" si="0"/>
        <v>0</v>
      </c>
      <c r="Q147" s="163">
        <v>3.8969999999999998E-2</v>
      </c>
      <c r="R147" s="163">
        <f t="shared" si="1"/>
        <v>0.15587999999999999</v>
      </c>
      <c r="S147" s="163">
        <v>0</v>
      </c>
      <c r="T147" s="164">
        <f t="shared" si="2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5" t="s">
        <v>197</v>
      </c>
      <c r="AT147" s="165" t="s">
        <v>202</v>
      </c>
      <c r="AU147" s="165" t="s">
        <v>82</v>
      </c>
      <c r="AY147" s="14" t="s">
        <v>179</v>
      </c>
      <c r="BE147" s="166">
        <f t="shared" si="3"/>
        <v>0</v>
      </c>
      <c r="BF147" s="166">
        <f t="shared" si="4"/>
        <v>0</v>
      </c>
      <c r="BG147" s="166">
        <f t="shared" si="5"/>
        <v>0</v>
      </c>
      <c r="BH147" s="166">
        <f t="shared" si="6"/>
        <v>0</v>
      </c>
      <c r="BI147" s="166">
        <f t="shared" si="7"/>
        <v>0</v>
      </c>
      <c r="BJ147" s="14" t="s">
        <v>82</v>
      </c>
      <c r="BK147" s="166">
        <f t="shared" si="8"/>
        <v>0</v>
      </c>
      <c r="BL147" s="14" t="s">
        <v>185</v>
      </c>
      <c r="BM147" s="165" t="s">
        <v>235</v>
      </c>
    </row>
    <row r="148" spans="1:65" s="12" customFormat="1" ht="22.9" customHeight="1">
      <c r="B148" s="139"/>
      <c r="D148" s="140" t="s">
        <v>68</v>
      </c>
      <c r="E148" s="150" t="s">
        <v>214</v>
      </c>
      <c r="F148" s="150" t="s">
        <v>1010</v>
      </c>
      <c r="I148" s="142"/>
      <c r="J148" s="151">
        <v>0</v>
      </c>
      <c r="L148" s="139"/>
      <c r="M148" s="144"/>
      <c r="N148" s="145"/>
      <c r="O148" s="145"/>
      <c r="P148" s="146">
        <f>SUM(P149:P154)</f>
        <v>0</v>
      </c>
      <c r="Q148" s="145"/>
      <c r="R148" s="146">
        <f>SUM(R149:R154)</f>
        <v>0</v>
      </c>
      <c r="S148" s="145"/>
      <c r="T148" s="147">
        <f>SUM(T149:T154)</f>
        <v>0</v>
      </c>
      <c r="AR148" s="140" t="s">
        <v>76</v>
      </c>
      <c r="AT148" s="148" t="s">
        <v>68</v>
      </c>
      <c r="AU148" s="148" t="s">
        <v>76</v>
      </c>
      <c r="AY148" s="140" t="s">
        <v>179</v>
      </c>
      <c r="BK148" s="149">
        <f>SUM(BK149:BK154)</f>
        <v>0</v>
      </c>
    </row>
    <row r="149" spans="1:65" s="2" customFormat="1" ht="33" customHeight="1">
      <c r="A149" s="29"/>
      <c r="B149" s="152"/>
      <c r="C149" s="153" t="s">
        <v>236</v>
      </c>
      <c r="D149" s="153" t="s">
        <v>181</v>
      </c>
      <c r="E149" s="154" t="s">
        <v>2136</v>
      </c>
      <c r="F149" s="155" t="s">
        <v>2974</v>
      </c>
      <c r="G149" s="156" t="s">
        <v>217</v>
      </c>
      <c r="H149" s="157">
        <v>2</v>
      </c>
      <c r="I149" s="158"/>
      <c r="J149" s="151">
        <v>0</v>
      </c>
      <c r="K149" s="160"/>
      <c r="L149" s="30"/>
      <c r="M149" s="161" t="s">
        <v>1</v>
      </c>
      <c r="N149" s="162" t="s">
        <v>35</v>
      </c>
      <c r="O149" s="58"/>
      <c r="P149" s="163">
        <f t="shared" ref="P149:P154" si="9">O149*H149</f>
        <v>0</v>
      </c>
      <c r="Q149" s="163">
        <v>0</v>
      </c>
      <c r="R149" s="163">
        <f t="shared" ref="R149:R154" si="10">Q149*H149</f>
        <v>0</v>
      </c>
      <c r="S149" s="163">
        <v>0</v>
      </c>
      <c r="T149" s="164">
        <f t="shared" ref="T149:T154" si="11"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5" t="s">
        <v>185</v>
      </c>
      <c r="AT149" s="165" t="s">
        <v>181</v>
      </c>
      <c r="AU149" s="165" t="s">
        <v>82</v>
      </c>
      <c r="AY149" s="14" t="s">
        <v>179</v>
      </c>
      <c r="BE149" s="166">
        <f t="shared" ref="BE149:BE154" si="12">IF(N149="základná",J149,0)</f>
        <v>0</v>
      </c>
      <c r="BF149" s="166">
        <f t="shared" ref="BF149:BF154" si="13">IF(N149="znížená",J149,0)</f>
        <v>0</v>
      </c>
      <c r="BG149" s="166">
        <f t="shared" ref="BG149:BG154" si="14">IF(N149="zákl. prenesená",J149,0)</f>
        <v>0</v>
      </c>
      <c r="BH149" s="166">
        <f t="shared" ref="BH149:BH154" si="15">IF(N149="zníž. prenesená",J149,0)</f>
        <v>0</v>
      </c>
      <c r="BI149" s="166">
        <f t="shared" ref="BI149:BI154" si="16">IF(N149="nulová",J149,0)</f>
        <v>0</v>
      </c>
      <c r="BJ149" s="14" t="s">
        <v>82</v>
      </c>
      <c r="BK149" s="166">
        <f t="shared" ref="BK149:BK154" si="17">ROUND(I149*H149,2)</f>
        <v>0</v>
      </c>
      <c r="BL149" s="14" t="s">
        <v>185</v>
      </c>
      <c r="BM149" s="165" t="s">
        <v>239</v>
      </c>
    </row>
    <row r="150" spans="1:65" s="2" customFormat="1" ht="21.75" customHeight="1">
      <c r="A150" s="29"/>
      <c r="B150" s="152"/>
      <c r="C150" s="153" t="s">
        <v>213</v>
      </c>
      <c r="D150" s="153" t="s">
        <v>181</v>
      </c>
      <c r="E150" s="154" t="s">
        <v>2138</v>
      </c>
      <c r="F150" s="155" t="s">
        <v>1019</v>
      </c>
      <c r="G150" s="156" t="s">
        <v>191</v>
      </c>
      <c r="H150" s="157">
        <v>1.071</v>
      </c>
      <c r="I150" s="158"/>
      <c r="J150" s="151">
        <v>0</v>
      </c>
      <c r="K150" s="160"/>
      <c r="L150" s="30"/>
      <c r="M150" s="161" t="s">
        <v>1</v>
      </c>
      <c r="N150" s="162" t="s">
        <v>35</v>
      </c>
      <c r="O150" s="58"/>
      <c r="P150" s="163">
        <f t="shared" si="9"/>
        <v>0</v>
      </c>
      <c r="Q150" s="163">
        <v>0</v>
      </c>
      <c r="R150" s="163">
        <f t="shared" si="10"/>
        <v>0</v>
      </c>
      <c r="S150" s="163">
        <v>0</v>
      </c>
      <c r="T150" s="164">
        <f t="shared" si="11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5" t="s">
        <v>185</v>
      </c>
      <c r="AT150" s="165" t="s">
        <v>181</v>
      </c>
      <c r="AU150" s="165" t="s">
        <v>82</v>
      </c>
      <c r="AY150" s="14" t="s">
        <v>179</v>
      </c>
      <c r="BE150" s="166">
        <f t="shared" si="12"/>
        <v>0</v>
      </c>
      <c r="BF150" s="166">
        <f t="shared" si="13"/>
        <v>0</v>
      </c>
      <c r="BG150" s="166">
        <f t="shared" si="14"/>
        <v>0</v>
      </c>
      <c r="BH150" s="166">
        <f t="shared" si="15"/>
        <v>0</v>
      </c>
      <c r="BI150" s="166">
        <f t="shared" si="16"/>
        <v>0</v>
      </c>
      <c r="BJ150" s="14" t="s">
        <v>82</v>
      </c>
      <c r="BK150" s="166">
        <f t="shared" si="17"/>
        <v>0</v>
      </c>
      <c r="BL150" s="14" t="s">
        <v>185</v>
      </c>
      <c r="BM150" s="165" t="s">
        <v>242</v>
      </c>
    </row>
    <row r="151" spans="1:65" s="2" customFormat="1" ht="24.2" customHeight="1">
      <c r="A151" s="29"/>
      <c r="B151" s="152"/>
      <c r="C151" s="153" t="s">
        <v>243</v>
      </c>
      <c r="D151" s="153" t="s">
        <v>181</v>
      </c>
      <c r="E151" s="154" t="s">
        <v>2139</v>
      </c>
      <c r="F151" s="155" t="s">
        <v>2140</v>
      </c>
      <c r="G151" s="156" t="s">
        <v>191</v>
      </c>
      <c r="H151" s="157">
        <v>1.071</v>
      </c>
      <c r="I151" s="158"/>
      <c r="J151" s="151">
        <v>0</v>
      </c>
      <c r="K151" s="160"/>
      <c r="L151" s="30"/>
      <c r="M151" s="161" t="s">
        <v>1</v>
      </c>
      <c r="N151" s="162" t="s">
        <v>35</v>
      </c>
      <c r="O151" s="58"/>
      <c r="P151" s="163">
        <f t="shared" si="9"/>
        <v>0</v>
      </c>
      <c r="Q151" s="163">
        <v>0</v>
      </c>
      <c r="R151" s="163">
        <f t="shared" si="10"/>
        <v>0</v>
      </c>
      <c r="S151" s="163">
        <v>0</v>
      </c>
      <c r="T151" s="164">
        <f t="shared" si="11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5" t="s">
        <v>185</v>
      </c>
      <c r="AT151" s="165" t="s">
        <v>181</v>
      </c>
      <c r="AU151" s="165" t="s">
        <v>82</v>
      </c>
      <c r="AY151" s="14" t="s">
        <v>179</v>
      </c>
      <c r="BE151" s="166">
        <f t="shared" si="12"/>
        <v>0</v>
      </c>
      <c r="BF151" s="166">
        <f t="shared" si="13"/>
        <v>0</v>
      </c>
      <c r="BG151" s="166">
        <f t="shared" si="14"/>
        <v>0</v>
      </c>
      <c r="BH151" s="166">
        <f t="shared" si="15"/>
        <v>0</v>
      </c>
      <c r="BI151" s="166">
        <f t="shared" si="16"/>
        <v>0</v>
      </c>
      <c r="BJ151" s="14" t="s">
        <v>82</v>
      </c>
      <c r="BK151" s="166">
        <f t="shared" si="17"/>
        <v>0</v>
      </c>
      <c r="BL151" s="14" t="s">
        <v>185</v>
      </c>
      <c r="BM151" s="165" t="s">
        <v>246</v>
      </c>
    </row>
    <row r="152" spans="1:65" s="2" customFormat="1" ht="24.2" customHeight="1">
      <c r="A152" s="29"/>
      <c r="B152" s="152"/>
      <c r="C152" s="153" t="s">
        <v>218</v>
      </c>
      <c r="D152" s="153" t="s">
        <v>181</v>
      </c>
      <c r="E152" s="154" t="s">
        <v>525</v>
      </c>
      <c r="F152" s="155" t="s">
        <v>526</v>
      </c>
      <c r="G152" s="156" t="s">
        <v>191</v>
      </c>
      <c r="H152" s="157">
        <v>1.071</v>
      </c>
      <c r="I152" s="158"/>
      <c r="J152" s="151">
        <v>0</v>
      </c>
      <c r="K152" s="160"/>
      <c r="L152" s="30"/>
      <c r="M152" s="161" t="s">
        <v>1</v>
      </c>
      <c r="N152" s="162" t="s">
        <v>35</v>
      </c>
      <c r="O152" s="58"/>
      <c r="P152" s="163">
        <f t="shared" si="9"/>
        <v>0</v>
      </c>
      <c r="Q152" s="163">
        <v>0</v>
      </c>
      <c r="R152" s="163">
        <f t="shared" si="10"/>
        <v>0</v>
      </c>
      <c r="S152" s="163">
        <v>0</v>
      </c>
      <c r="T152" s="164">
        <f t="shared" si="11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5" t="s">
        <v>185</v>
      </c>
      <c r="AT152" s="165" t="s">
        <v>181</v>
      </c>
      <c r="AU152" s="165" t="s">
        <v>82</v>
      </c>
      <c r="AY152" s="14" t="s">
        <v>179</v>
      </c>
      <c r="BE152" s="166">
        <f t="shared" si="12"/>
        <v>0</v>
      </c>
      <c r="BF152" s="166">
        <f t="shared" si="13"/>
        <v>0</v>
      </c>
      <c r="BG152" s="166">
        <f t="shared" si="14"/>
        <v>0</v>
      </c>
      <c r="BH152" s="166">
        <f t="shared" si="15"/>
        <v>0</v>
      </c>
      <c r="BI152" s="166">
        <f t="shared" si="16"/>
        <v>0</v>
      </c>
      <c r="BJ152" s="14" t="s">
        <v>82</v>
      </c>
      <c r="BK152" s="166">
        <f t="shared" si="17"/>
        <v>0</v>
      </c>
      <c r="BL152" s="14" t="s">
        <v>185</v>
      </c>
      <c r="BM152" s="165" t="s">
        <v>250</v>
      </c>
    </row>
    <row r="153" spans="1:65" s="2" customFormat="1" ht="24.2" customHeight="1">
      <c r="A153" s="29"/>
      <c r="B153" s="152"/>
      <c r="C153" s="153" t="s">
        <v>251</v>
      </c>
      <c r="D153" s="153" t="s">
        <v>181</v>
      </c>
      <c r="E153" s="154" t="s">
        <v>1024</v>
      </c>
      <c r="F153" s="155" t="s">
        <v>1025</v>
      </c>
      <c r="G153" s="156" t="s">
        <v>191</v>
      </c>
      <c r="H153" s="157">
        <v>0.26400000000000001</v>
      </c>
      <c r="I153" s="158"/>
      <c r="J153" s="151">
        <v>0</v>
      </c>
      <c r="K153" s="160"/>
      <c r="L153" s="30"/>
      <c r="M153" s="161" t="s">
        <v>1</v>
      </c>
      <c r="N153" s="162" t="s">
        <v>35</v>
      </c>
      <c r="O153" s="58"/>
      <c r="P153" s="163">
        <f t="shared" si="9"/>
        <v>0</v>
      </c>
      <c r="Q153" s="163">
        <v>0</v>
      </c>
      <c r="R153" s="163">
        <f t="shared" si="10"/>
        <v>0</v>
      </c>
      <c r="S153" s="163">
        <v>0</v>
      </c>
      <c r="T153" s="164">
        <f t="shared" si="11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5" t="s">
        <v>185</v>
      </c>
      <c r="AT153" s="165" t="s">
        <v>181</v>
      </c>
      <c r="AU153" s="165" t="s">
        <v>82</v>
      </c>
      <c r="AY153" s="14" t="s">
        <v>179</v>
      </c>
      <c r="BE153" s="166">
        <f t="shared" si="12"/>
        <v>0</v>
      </c>
      <c r="BF153" s="166">
        <f t="shared" si="13"/>
        <v>0</v>
      </c>
      <c r="BG153" s="166">
        <f t="shared" si="14"/>
        <v>0</v>
      </c>
      <c r="BH153" s="166">
        <f t="shared" si="15"/>
        <v>0</v>
      </c>
      <c r="BI153" s="166">
        <f t="shared" si="16"/>
        <v>0</v>
      </c>
      <c r="BJ153" s="14" t="s">
        <v>82</v>
      </c>
      <c r="BK153" s="166">
        <f t="shared" si="17"/>
        <v>0</v>
      </c>
      <c r="BL153" s="14" t="s">
        <v>185</v>
      </c>
      <c r="BM153" s="165" t="s">
        <v>254</v>
      </c>
    </row>
    <row r="154" spans="1:65" s="2" customFormat="1" ht="37.9" customHeight="1">
      <c r="A154" s="29"/>
      <c r="B154" s="152"/>
      <c r="C154" s="153" t="s">
        <v>221</v>
      </c>
      <c r="D154" s="153" t="s">
        <v>181</v>
      </c>
      <c r="E154" s="154" t="s">
        <v>2141</v>
      </c>
      <c r="F154" s="155" t="s">
        <v>2142</v>
      </c>
      <c r="G154" s="156" t="s">
        <v>191</v>
      </c>
      <c r="H154" s="157">
        <v>0.80700000000000005</v>
      </c>
      <c r="I154" s="158"/>
      <c r="J154" s="151">
        <v>0</v>
      </c>
      <c r="K154" s="160"/>
      <c r="L154" s="30"/>
      <c r="M154" s="161" t="s">
        <v>1</v>
      </c>
      <c r="N154" s="162" t="s">
        <v>35</v>
      </c>
      <c r="O154" s="58"/>
      <c r="P154" s="163">
        <f t="shared" si="9"/>
        <v>0</v>
      </c>
      <c r="Q154" s="163">
        <v>0</v>
      </c>
      <c r="R154" s="163">
        <f t="shared" si="10"/>
        <v>0</v>
      </c>
      <c r="S154" s="163">
        <v>0</v>
      </c>
      <c r="T154" s="164">
        <f t="shared" si="11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5" t="s">
        <v>185</v>
      </c>
      <c r="AT154" s="165" t="s">
        <v>181</v>
      </c>
      <c r="AU154" s="165" t="s">
        <v>82</v>
      </c>
      <c r="AY154" s="14" t="s">
        <v>179</v>
      </c>
      <c r="BE154" s="166">
        <f t="shared" si="12"/>
        <v>0</v>
      </c>
      <c r="BF154" s="166">
        <f t="shared" si="13"/>
        <v>0</v>
      </c>
      <c r="BG154" s="166">
        <f t="shared" si="14"/>
        <v>0</v>
      </c>
      <c r="BH154" s="166">
        <f t="shared" si="15"/>
        <v>0</v>
      </c>
      <c r="BI154" s="166">
        <f t="shared" si="16"/>
        <v>0</v>
      </c>
      <c r="BJ154" s="14" t="s">
        <v>82</v>
      </c>
      <c r="BK154" s="166">
        <f t="shared" si="17"/>
        <v>0</v>
      </c>
      <c r="BL154" s="14" t="s">
        <v>185</v>
      </c>
      <c r="BM154" s="165" t="s">
        <v>257</v>
      </c>
    </row>
    <row r="155" spans="1:65" s="12" customFormat="1" ht="22.9" customHeight="1">
      <c r="B155" s="139"/>
      <c r="D155" s="140" t="s">
        <v>68</v>
      </c>
      <c r="E155" s="150" t="s">
        <v>535</v>
      </c>
      <c r="F155" s="150" t="s">
        <v>2883</v>
      </c>
      <c r="I155" s="142"/>
      <c r="J155" s="151">
        <v>0</v>
      </c>
      <c r="L155" s="139"/>
      <c r="M155" s="144"/>
      <c r="N155" s="145"/>
      <c r="O155" s="145"/>
      <c r="P155" s="146">
        <f>SUM(P156:P157)</f>
        <v>0</v>
      </c>
      <c r="Q155" s="145"/>
      <c r="R155" s="146">
        <f>SUM(R156:R157)</f>
        <v>0</v>
      </c>
      <c r="S155" s="145"/>
      <c r="T155" s="147">
        <f>SUM(T156:T157)</f>
        <v>0</v>
      </c>
      <c r="AR155" s="140" t="s">
        <v>76</v>
      </c>
      <c r="AT155" s="148" t="s">
        <v>68</v>
      </c>
      <c r="AU155" s="148" t="s">
        <v>76</v>
      </c>
      <c r="AY155" s="140" t="s">
        <v>179</v>
      </c>
      <c r="BK155" s="149">
        <f>SUM(BK156:BK157)</f>
        <v>0</v>
      </c>
    </row>
    <row r="156" spans="1:65" s="2" customFormat="1" ht="24.2" customHeight="1">
      <c r="A156" s="29"/>
      <c r="B156" s="152"/>
      <c r="C156" s="153" t="s">
        <v>258</v>
      </c>
      <c r="D156" s="153" t="s">
        <v>181</v>
      </c>
      <c r="E156" s="154" t="s">
        <v>2884</v>
      </c>
      <c r="F156" s="155" t="s">
        <v>2885</v>
      </c>
      <c r="G156" s="156" t="s">
        <v>191</v>
      </c>
      <c r="H156" s="157">
        <v>3.746</v>
      </c>
      <c r="I156" s="158"/>
      <c r="J156" s="151">
        <v>0</v>
      </c>
      <c r="K156" s="160"/>
      <c r="L156" s="30"/>
      <c r="M156" s="161" t="s">
        <v>1</v>
      </c>
      <c r="N156" s="162" t="s">
        <v>35</v>
      </c>
      <c r="O156" s="58"/>
      <c r="P156" s="163">
        <f>O156*H156</f>
        <v>0</v>
      </c>
      <c r="Q156" s="163">
        <v>0</v>
      </c>
      <c r="R156" s="163">
        <f>Q156*H156</f>
        <v>0</v>
      </c>
      <c r="S156" s="163">
        <v>0</v>
      </c>
      <c r="T156" s="164">
        <f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5" t="s">
        <v>185</v>
      </c>
      <c r="AT156" s="165" t="s">
        <v>181</v>
      </c>
      <c r="AU156" s="165" t="s">
        <v>82</v>
      </c>
      <c r="AY156" s="14" t="s">
        <v>179</v>
      </c>
      <c r="BE156" s="166">
        <f>IF(N156="základná",J156,0)</f>
        <v>0</v>
      </c>
      <c r="BF156" s="166">
        <f>IF(N156="znížená",J156,0)</f>
        <v>0</v>
      </c>
      <c r="BG156" s="166">
        <f>IF(N156="zákl. prenesená",J156,0)</f>
        <v>0</v>
      </c>
      <c r="BH156" s="166">
        <f>IF(N156="zníž. prenesená",J156,0)</f>
        <v>0</v>
      </c>
      <c r="BI156" s="166">
        <f>IF(N156="nulová",J156,0)</f>
        <v>0</v>
      </c>
      <c r="BJ156" s="14" t="s">
        <v>82</v>
      </c>
      <c r="BK156" s="166">
        <f>ROUND(I156*H156,2)</f>
        <v>0</v>
      </c>
      <c r="BL156" s="14" t="s">
        <v>185</v>
      </c>
      <c r="BM156" s="165" t="s">
        <v>261</v>
      </c>
    </row>
    <row r="157" spans="1:65" s="2" customFormat="1" ht="44.25" customHeight="1">
      <c r="A157" s="29"/>
      <c r="B157" s="152"/>
      <c r="C157" s="153" t="s">
        <v>225</v>
      </c>
      <c r="D157" s="153" t="s">
        <v>181</v>
      </c>
      <c r="E157" s="154" t="s">
        <v>2886</v>
      </c>
      <c r="F157" s="155" t="s">
        <v>2887</v>
      </c>
      <c r="G157" s="156" t="s">
        <v>191</v>
      </c>
      <c r="H157" s="157">
        <v>3.746</v>
      </c>
      <c r="I157" s="158"/>
      <c r="J157" s="151">
        <v>0</v>
      </c>
      <c r="K157" s="160"/>
      <c r="L157" s="30"/>
      <c r="M157" s="161" t="s">
        <v>1</v>
      </c>
      <c r="N157" s="162" t="s">
        <v>35</v>
      </c>
      <c r="O157" s="58"/>
      <c r="P157" s="163">
        <f>O157*H157</f>
        <v>0</v>
      </c>
      <c r="Q157" s="163">
        <v>0</v>
      </c>
      <c r="R157" s="163">
        <f>Q157*H157</f>
        <v>0</v>
      </c>
      <c r="S157" s="163">
        <v>0</v>
      </c>
      <c r="T157" s="164">
        <f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5" t="s">
        <v>185</v>
      </c>
      <c r="AT157" s="165" t="s">
        <v>181</v>
      </c>
      <c r="AU157" s="165" t="s">
        <v>82</v>
      </c>
      <c r="AY157" s="14" t="s">
        <v>179</v>
      </c>
      <c r="BE157" s="166">
        <f>IF(N157="základná",J157,0)</f>
        <v>0</v>
      </c>
      <c r="BF157" s="166">
        <f>IF(N157="znížená",J157,0)</f>
        <v>0</v>
      </c>
      <c r="BG157" s="166">
        <f>IF(N157="zákl. prenesená",J157,0)</f>
        <v>0</v>
      </c>
      <c r="BH157" s="166">
        <f>IF(N157="zníž. prenesená",J157,0)</f>
        <v>0</v>
      </c>
      <c r="BI157" s="166">
        <f>IF(N157="nulová",J157,0)</f>
        <v>0</v>
      </c>
      <c r="BJ157" s="14" t="s">
        <v>82</v>
      </c>
      <c r="BK157" s="166">
        <f>ROUND(I157*H157,2)</f>
        <v>0</v>
      </c>
      <c r="BL157" s="14" t="s">
        <v>185</v>
      </c>
      <c r="BM157" s="165" t="s">
        <v>265</v>
      </c>
    </row>
    <row r="158" spans="1:65" s="12" customFormat="1" ht="25.9" customHeight="1">
      <c r="B158" s="139"/>
      <c r="D158" s="140" t="s">
        <v>68</v>
      </c>
      <c r="E158" s="141" t="s">
        <v>554</v>
      </c>
      <c r="F158" s="141" t="s">
        <v>1026</v>
      </c>
      <c r="I158" s="142"/>
      <c r="J158" s="151">
        <v>0</v>
      </c>
      <c r="L158" s="139"/>
      <c r="M158" s="144"/>
      <c r="N158" s="145"/>
      <c r="O158" s="145"/>
      <c r="P158" s="146">
        <f>P159+P165+P174</f>
        <v>0</v>
      </c>
      <c r="Q158" s="145"/>
      <c r="R158" s="146">
        <f>R159+R165+R174</f>
        <v>5.2950000000000004E-2</v>
      </c>
      <c r="S158" s="145"/>
      <c r="T158" s="147">
        <f>T159+T165+T174</f>
        <v>0</v>
      </c>
      <c r="AR158" s="140" t="s">
        <v>82</v>
      </c>
      <c r="AT158" s="148" t="s">
        <v>68</v>
      </c>
      <c r="AU158" s="148" t="s">
        <v>69</v>
      </c>
      <c r="AY158" s="140" t="s">
        <v>179</v>
      </c>
      <c r="BK158" s="149">
        <f>BK159+BK165+BK174</f>
        <v>0</v>
      </c>
    </row>
    <row r="159" spans="1:65" s="12" customFormat="1" ht="22.9" customHeight="1">
      <c r="B159" s="139"/>
      <c r="D159" s="140" t="s">
        <v>68</v>
      </c>
      <c r="E159" s="150" t="s">
        <v>600</v>
      </c>
      <c r="F159" s="150" t="s">
        <v>1027</v>
      </c>
      <c r="I159" s="142"/>
      <c r="J159" s="151">
        <v>0</v>
      </c>
      <c r="L159" s="139"/>
      <c r="M159" s="144"/>
      <c r="N159" s="145"/>
      <c r="O159" s="145"/>
      <c r="P159" s="146">
        <f>SUM(P160:P164)</f>
        <v>0</v>
      </c>
      <c r="Q159" s="145"/>
      <c r="R159" s="146">
        <f>SUM(R160:R164)</f>
        <v>1.0499999999999999E-3</v>
      </c>
      <c r="S159" s="145"/>
      <c r="T159" s="147">
        <f>SUM(T160:T164)</f>
        <v>0</v>
      </c>
      <c r="AR159" s="140" t="s">
        <v>82</v>
      </c>
      <c r="AT159" s="148" t="s">
        <v>68</v>
      </c>
      <c r="AU159" s="148" t="s">
        <v>76</v>
      </c>
      <c r="AY159" s="140" t="s">
        <v>179</v>
      </c>
      <c r="BK159" s="149">
        <f>SUM(BK160:BK164)</f>
        <v>0</v>
      </c>
    </row>
    <row r="160" spans="1:65" s="2" customFormat="1" ht="16.5" customHeight="1">
      <c r="A160" s="29"/>
      <c r="B160" s="152"/>
      <c r="C160" s="153" t="s">
        <v>7</v>
      </c>
      <c r="D160" s="153" t="s">
        <v>181</v>
      </c>
      <c r="E160" s="154" t="s">
        <v>1038</v>
      </c>
      <c r="F160" s="155" t="s">
        <v>2919</v>
      </c>
      <c r="G160" s="156" t="s">
        <v>293</v>
      </c>
      <c r="H160" s="157">
        <v>4</v>
      </c>
      <c r="I160" s="158"/>
      <c r="J160" s="151">
        <v>0</v>
      </c>
      <c r="K160" s="160"/>
      <c r="L160" s="30"/>
      <c r="M160" s="161" t="s">
        <v>1</v>
      </c>
      <c r="N160" s="162" t="s">
        <v>35</v>
      </c>
      <c r="O160" s="58"/>
      <c r="P160" s="163">
        <f>O160*H160</f>
        <v>0</v>
      </c>
      <c r="Q160" s="163">
        <v>1.0000000000000001E-5</v>
      </c>
      <c r="R160" s="163">
        <f>Q160*H160</f>
        <v>4.0000000000000003E-5</v>
      </c>
      <c r="S160" s="163">
        <v>0</v>
      </c>
      <c r="T160" s="164">
        <f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5" t="s">
        <v>213</v>
      </c>
      <c r="AT160" s="165" t="s">
        <v>181</v>
      </c>
      <c r="AU160" s="165" t="s">
        <v>82</v>
      </c>
      <c r="AY160" s="14" t="s">
        <v>179</v>
      </c>
      <c r="BE160" s="166">
        <f>IF(N160="základná",J160,0)</f>
        <v>0</v>
      </c>
      <c r="BF160" s="166">
        <f>IF(N160="znížená",J160,0)</f>
        <v>0</v>
      </c>
      <c r="BG160" s="166">
        <f>IF(N160="zákl. prenesená",J160,0)</f>
        <v>0</v>
      </c>
      <c r="BH160" s="166">
        <f>IF(N160="zníž. prenesená",J160,0)</f>
        <v>0</v>
      </c>
      <c r="BI160" s="166">
        <f>IF(N160="nulová",J160,0)</f>
        <v>0</v>
      </c>
      <c r="BJ160" s="14" t="s">
        <v>82</v>
      </c>
      <c r="BK160" s="166">
        <f>ROUND(I160*H160,2)</f>
        <v>0</v>
      </c>
      <c r="BL160" s="14" t="s">
        <v>213</v>
      </c>
      <c r="BM160" s="165" t="s">
        <v>268</v>
      </c>
    </row>
    <row r="161" spans="1:65" s="2" customFormat="1" ht="33" customHeight="1">
      <c r="A161" s="29"/>
      <c r="B161" s="152"/>
      <c r="C161" s="167" t="s">
        <v>228</v>
      </c>
      <c r="D161" s="167" t="s">
        <v>202</v>
      </c>
      <c r="E161" s="168" t="s">
        <v>2975</v>
      </c>
      <c r="F161" s="338" t="s">
        <v>3426</v>
      </c>
      <c r="G161" s="170" t="s">
        <v>293</v>
      </c>
      <c r="H161" s="171">
        <v>4</v>
      </c>
      <c r="I161" s="172"/>
      <c r="J161" s="151">
        <v>0</v>
      </c>
      <c r="K161" s="174"/>
      <c r="L161" s="175"/>
      <c r="M161" s="176" t="s">
        <v>1</v>
      </c>
      <c r="N161" s="177" t="s">
        <v>35</v>
      </c>
      <c r="O161" s="58"/>
      <c r="P161" s="163">
        <f>O161*H161</f>
        <v>0</v>
      </c>
      <c r="Q161" s="163">
        <v>1.8000000000000001E-4</v>
      </c>
      <c r="R161" s="163">
        <f>Q161*H161</f>
        <v>7.2000000000000005E-4</v>
      </c>
      <c r="S161" s="163">
        <v>0</v>
      </c>
      <c r="T161" s="164">
        <f>S161*H161</f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5" t="s">
        <v>242</v>
      </c>
      <c r="AT161" s="165" t="s">
        <v>202</v>
      </c>
      <c r="AU161" s="165" t="s">
        <v>82</v>
      </c>
      <c r="AY161" s="14" t="s">
        <v>179</v>
      </c>
      <c r="BE161" s="166">
        <f>IF(N161="základná",J161,0)</f>
        <v>0</v>
      </c>
      <c r="BF161" s="166">
        <f>IF(N161="znížená",J161,0)</f>
        <v>0</v>
      </c>
      <c r="BG161" s="166">
        <f>IF(N161="zákl. prenesená",J161,0)</f>
        <v>0</v>
      </c>
      <c r="BH161" s="166">
        <f>IF(N161="zníž. prenesená",J161,0)</f>
        <v>0</v>
      </c>
      <c r="BI161" s="166">
        <f>IF(N161="nulová",J161,0)</f>
        <v>0</v>
      </c>
      <c r="BJ161" s="14" t="s">
        <v>82</v>
      </c>
      <c r="BK161" s="166">
        <f>ROUND(I161*H161,2)</f>
        <v>0</v>
      </c>
      <c r="BL161" s="14" t="s">
        <v>213</v>
      </c>
      <c r="BM161" s="165" t="s">
        <v>271</v>
      </c>
    </row>
    <row r="162" spans="1:65" s="2" customFormat="1" ht="16.5" customHeight="1">
      <c r="A162" s="29"/>
      <c r="B162" s="152"/>
      <c r="C162" s="153" t="s">
        <v>272</v>
      </c>
      <c r="D162" s="153" t="s">
        <v>181</v>
      </c>
      <c r="E162" s="154" t="s">
        <v>2162</v>
      </c>
      <c r="F162" s="155" t="s">
        <v>2921</v>
      </c>
      <c r="G162" s="156" t="s">
        <v>184</v>
      </c>
      <c r="H162" s="157">
        <v>0.5</v>
      </c>
      <c r="I162" s="158"/>
      <c r="J162" s="151">
        <v>0</v>
      </c>
      <c r="K162" s="160"/>
      <c r="L162" s="30"/>
      <c r="M162" s="161" t="s">
        <v>1</v>
      </c>
      <c r="N162" s="162" t="s">
        <v>35</v>
      </c>
      <c r="O162" s="58"/>
      <c r="P162" s="163">
        <f>O162*H162</f>
        <v>0</v>
      </c>
      <c r="Q162" s="163">
        <v>2.9999999999999997E-4</v>
      </c>
      <c r="R162" s="163">
        <f>Q162*H162</f>
        <v>1.4999999999999999E-4</v>
      </c>
      <c r="S162" s="163">
        <v>0</v>
      </c>
      <c r="T162" s="164">
        <f>S162*H162</f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5" t="s">
        <v>213</v>
      </c>
      <c r="AT162" s="165" t="s">
        <v>181</v>
      </c>
      <c r="AU162" s="165" t="s">
        <v>82</v>
      </c>
      <c r="AY162" s="14" t="s">
        <v>179</v>
      </c>
      <c r="BE162" s="166">
        <f>IF(N162="základná",J162,0)</f>
        <v>0</v>
      </c>
      <c r="BF162" s="166">
        <f>IF(N162="znížená",J162,0)</f>
        <v>0</v>
      </c>
      <c r="BG162" s="166">
        <f>IF(N162="zákl. prenesená",J162,0)</f>
        <v>0</v>
      </c>
      <c r="BH162" s="166">
        <f>IF(N162="zníž. prenesená",J162,0)</f>
        <v>0</v>
      </c>
      <c r="BI162" s="166">
        <f>IF(N162="nulová",J162,0)</f>
        <v>0</v>
      </c>
      <c r="BJ162" s="14" t="s">
        <v>82</v>
      </c>
      <c r="BK162" s="166">
        <f>ROUND(I162*H162,2)</f>
        <v>0</v>
      </c>
      <c r="BL162" s="14" t="s">
        <v>213</v>
      </c>
      <c r="BM162" s="165" t="s">
        <v>275</v>
      </c>
    </row>
    <row r="163" spans="1:65" s="2" customFormat="1" ht="37.9" customHeight="1">
      <c r="A163" s="29"/>
      <c r="B163" s="152"/>
      <c r="C163" s="167" t="s">
        <v>232</v>
      </c>
      <c r="D163" s="167" t="s">
        <v>202</v>
      </c>
      <c r="E163" s="168" t="s">
        <v>2158</v>
      </c>
      <c r="F163" s="169" t="s">
        <v>2976</v>
      </c>
      <c r="G163" s="170" t="s">
        <v>184</v>
      </c>
      <c r="H163" s="171">
        <v>0.5</v>
      </c>
      <c r="I163" s="172"/>
      <c r="J163" s="151">
        <v>0</v>
      </c>
      <c r="K163" s="174"/>
      <c r="L163" s="175"/>
      <c r="M163" s="176" t="s">
        <v>1</v>
      </c>
      <c r="N163" s="177" t="s">
        <v>35</v>
      </c>
      <c r="O163" s="58"/>
      <c r="P163" s="163">
        <f>O163*H163</f>
        <v>0</v>
      </c>
      <c r="Q163" s="163">
        <v>2.7999999999999998E-4</v>
      </c>
      <c r="R163" s="163">
        <f>Q163*H163</f>
        <v>1.3999999999999999E-4</v>
      </c>
      <c r="S163" s="163">
        <v>0</v>
      </c>
      <c r="T163" s="164">
        <f>S163*H163</f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5" t="s">
        <v>242</v>
      </c>
      <c r="AT163" s="165" t="s">
        <v>202</v>
      </c>
      <c r="AU163" s="165" t="s">
        <v>82</v>
      </c>
      <c r="AY163" s="14" t="s">
        <v>179</v>
      </c>
      <c r="BE163" s="166">
        <f>IF(N163="základná",J163,0)</f>
        <v>0</v>
      </c>
      <c r="BF163" s="166">
        <f>IF(N163="znížená",J163,0)</f>
        <v>0</v>
      </c>
      <c r="BG163" s="166">
        <f>IF(N163="zákl. prenesená",J163,0)</f>
        <v>0</v>
      </c>
      <c r="BH163" s="166">
        <f>IF(N163="zníž. prenesená",J163,0)</f>
        <v>0</v>
      </c>
      <c r="BI163" s="166">
        <f>IF(N163="nulová",J163,0)</f>
        <v>0</v>
      </c>
      <c r="BJ163" s="14" t="s">
        <v>82</v>
      </c>
      <c r="BK163" s="166">
        <f>ROUND(I163*H163,2)</f>
        <v>0</v>
      </c>
      <c r="BL163" s="14" t="s">
        <v>213</v>
      </c>
      <c r="BM163" s="165" t="s">
        <v>279</v>
      </c>
    </row>
    <row r="164" spans="1:65" s="2" customFormat="1" ht="24.2" customHeight="1">
      <c r="A164" s="29"/>
      <c r="B164" s="152"/>
      <c r="C164" s="153" t="s">
        <v>280</v>
      </c>
      <c r="D164" s="153" t="s">
        <v>181</v>
      </c>
      <c r="E164" s="154" t="s">
        <v>609</v>
      </c>
      <c r="F164" s="155" t="s">
        <v>610</v>
      </c>
      <c r="G164" s="156" t="s">
        <v>585</v>
      </c>
      <c r="H164" s="178"/>
      <c r="I164" s="158"/>
      <c r="J164" s="151">
        <v>0</v>
      </c>
      <c r="K164" s="160"/>
      <c r="L164" s="30"/>
      <c r="M164" s="161" t="s">
        <v>1</v>
      </c>
      <c r="N164" s="162" t="s">
        <v>35</v>
      </c>
      <c r="O164" s="58"/>
      <c r="P164" s="163">
        <f>O164*H164</f>
        <v>0</v>
      </c>
      <c r="Q164" s="163">
        <v>0</v>
      </c>
      <c r="R164" s="163">
        <f>Q164*H164</f>
        <v>0</v>
      </c>
      <c r="S164" s="163">
        <v>0</v>
      </c>
      <c r="T164" s="164">
        <f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5" t="s">
        <v>213</v>
      </c>
      <c r="AT164" s="165" t="s">
        <v>181</v>
      </c>
      <c r="AU164" s="165" t="s">
        <v>82</v>
      </c>
      <c r="AY164" s="14" t="s">
        <v>179</v>
      </c>
      <c r="BE164" s="166">
        <f>IF(N164="základná",J164,0)</f>
        <v>0</v>
      </c>
      <c r="BF164" s="166">
        <f>IF(N164="znížená",J164,0)</f>
        <v>0</v>
      </c>
      <c r="BG164" s="166">
        <f>IF(N164="zákl. prenesená",J164,0)</f>
        <v>0</v>
      </c>
      <c r="BH164" s="166">
        <f>IF(N164="zníž. prenesená",J164,0)</f>
        <v>0</v>
      </c>
      <c r="BI164" s="166">
        <f>IF(N164="nulová",J164,0)</f>
        <v>0</v>
      </c>
      <c r="BJ164" s="14" t="s">
        <v>82</v>
      </c>
      <c r="BK164" s="166">
        <f>ROUND(I164*H164,2)</f>
        <v>0</v>
      </c>
      <c r="BL164" s="14" t="s">
        <v>213</v>
      </c>
      <c r="BM164" s="165" t="s">
        <v>283</v>
      </c>
    </row>
    <row r="165" spans="1:65" s="12" customFormat="1" ht="22.9" customHeight="1">
      <c r="B165" s="139"/>
      <c r="D165" s="140" t="s">
        <v>68</v>
      </c>
      <c r="E165" s="150" t="s">
        <v>2408</v>
      </c>
      <c r="F165" s="150" t="s">
        <v>2409</v>
      </c>
      <c r="I165" s="142"/>
      <c r="J165" s="151">
        <v>0</v>
      </c>
      <c r="L165" s="139"/>
      <c r="M165" s="144"/>
      <c r="N165" s="145"/>
      <c r="O165" s="145"/>
      <c r="P165" s="146">
        <f>SUM(P166:P173)</f>
        <v>0</v>
      </c>
      <c r="Q165" s="145"/>
      <c r="R165" s="146">
        <f>SUM(R166:R173)</f>
        <v>4.564E-2</v>
      </c>
      <c r="S165" s="145"/>
      <c r="T165" s="147">
        <f>SUM(T166:T173)</f>
        <v>0</v>
      </c>
      <c r="AR165" s="140" t="s">
        <v>82</v>
      </c>
      <c r="AT165" s="148" t="s">
        <v>68</v>
      </c>
      <c r="AU165" s="148" t="s">
        <v>76</v>
      </c>
      <c r="AY165" s="140" t="s">
        <v>179</v>
      </c>
      <c r="BK165" s="149">
        <f>SUM(BK166:BK173)</f>
        <v>0</v>
      </c>
    </row>
    <row r="166" spans="1:65" s="2" customFormat="1" ht="24.2" customHeight="1">
      <c r="A166" s="29"/>
      <c r="B166" s="152"/>
      <c r="C166" s="153" t="s">
        <v>235</v>
      </c>
      <c r="D166" s="153" t="s">
        <v>181</v>
      </c>
      <c r="E166" s="154" t="s">
        <v>2923</v>
      </c>
      <c r="F166" s="155" t="s">
        <v>2924</v>
      </c>
      <c r="G166" s="156" t="s">
        <v>293</v>
      </c>
      <c r="H166" s="157">
        <v>96</v>
      </c>
      <c r="I166" s="158"/>
      <c r="J166" s="151">
        <v>0</v>
      </c>
      <c r="K166" s="160"/>
      <c r="L166" s="30"/>
      <c r="M166" s="161" t="s">
        <v>1</v>
      </c>
      <c r="N166" s="162" t="s">
        <v>35</v>
      </c>
      <c r="O166" s="58"/>
      <c r="P166" s="163">
        <f t="shared" ref="P166:P173" si="18">O166*H166</f>
        <v>0</v>
      </c>
      <c r="Q166" s="163">
        <v>6.26041666666667E-5</v>
      </c>
      <c r="R166" s="163">
        <f t="shared" ref="R166:R173" si="19">Q166*H166</f>
        <v>6.0100000000000032E-3</v>
      </c>
      <c r="S166" s="163">
        <v>0</v>
      </c>
      <c r="T166" s="164">
        <f t="shared" ref="T166:T173" si="20"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5" t="s">
        <v>213</v>
      </c>
      <c r="AT166" s="165" t="s">
        <v>181</v>
      </c>
      <c r="AU166" s="165" t="s">
        <v>82</v>
      </c>
      <c r="AY166" s="14" t="s">
        <v>179</v>
      </c>
      <c r="BE166" s="166">
        <f t="shared" ref="BE166:BE173" si="21">IF(N166="základná",J166,0)</f>
        <v>0</v>
      </c>
      <c r="BF166" s="166">
        <f t="shared" ref="BF166:BF173" si="22">IF(N166="znížená",J166,0)</f>
        <v>0</v>
      </c>
      <c r="BG166" s="166">
        <f t="shared" ref="BG166:BG173" si="23">IF(N166="zákl. prenesená",J166,0)</f>
        <v>0</v>
      </c>
      <c r="BH166" s="166">
        <f t="shared" ref="BH166:BH173" si="24">IF(N166="zníž. prenesená",J166,0)</f>
        <v>0</v>
      </c>
      <c r="BI166" s="166">
        <f t="shared" ref="BI166:BI173" si="25">IF(N166="nulová",J166,0)</f>
        <v>0</v>
      </c>
      <c r="BJ166" s="14" t="s">
        <v>82</v>
      </c>
      <c r="BK166" s="166">
        <f t="shared" ref="BK166:BK173" si="26">ROUND(I166*H166,2)</f>
        <v>0</v>
      </c>
      <c r="BL166" s="14" t="s">
        <v>213</v>
      </c>
      <c r="BM166" s="165" t="s">
        <v>286</v>
      </c>
    </row>
    <row r="167" spans="1:65" s="2" customFormat="1" ht="24.2" customHeight="1">
      <c r="A167" s="29"/>
      <c r="B167" s="152"/>
      <c r="C167" s="153" t="s">
        <v>287</v>
      </c>
      <c r="D167" s="153" t="s">
        <v>181</v>
      </c>
      <c r="E167" s="154" t="s">
        <v>2893</v>
      </c>
      <c r="F167" s="155" t="s">
        <v>2894</v>
      </c>
      <c r="G167" s="156" t="s">
        <v>217</v>
      </c>
      <c r="H167" s="157">
        <v>24</v>
      </c>
      <c r="I167" s="158"/>
      <c r="J167" s="151">
        <v>0</v>
      </c>
      <c r="K167" s="160"/>
      <c r="L167" s="30"/>
      <c r="M167" s="161" t="s">
        <v>1</v>
      </c>
      <c r="N167" s="162" t="s">
        <v>35</v>
      </c>
      <c r="O167" s="58"/>
      <c r="P167" s="163">
        <f t="shared" si="18"/>
        <v>0</v>
      </c>
      <c r="Q167" s="163">
        <v>1.66666666666667E-6</v>
      </c>
      <c r="R167" s="163">
        <f t="shared" si="19"/>
        <v>4.0000000000000078E-5</v>
      </c>
      <c r="S167" s="163">
        <v>0</v>
      </c>
      <c r="T167" s="164">
        <f t="shared" si="20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5" t="s">
        <v>213</v>
      </c>
      <c r="AT167" s="165" t="s">
        <v>181</v>
      </c>
      <c r="AU167" s="165" t="s">
        <v>82</v>
      </c>
      <c r="AY167" s="14" t="s">
        <v>179</v>
      </c>
      <c r="BE167" s="166">
        <f t="shared" si="21"/>
        <v>0</v>
      </c>
      <c r="BF167" s="166">
        <f t="shared" si="22"/>
        <v>0</v>
      </c>
      <c r="BG167" s="166">
        <f t="shared" si="23"/>
        <v>0</v>
      </c>
      <c r="BH167" s="166">
        <f t="shared" si="24"/>
        <v>0</v>
      </c>
      <c r="BI167" s="166">
        <f t="shared" si="25"/>
        <v>0</v>
      </c>
      <c r="BJ167" s="14" t="s">
        <v>82</v>
      </c>
      <c r="BK167" s="166">
        <f t="shared" si="26"/>
        <v>0</v>
      </c>
      <c r="BL167" s="14" t="s">
        <v>213</v>
      </c>
      <c r="BM167" s="165" t="s">
        <v>290</v>
      </c>
    </row>
    <row r="168" spans="1:65" s="2" customFormat="1" ht="33" customHeight="1">
      <c r="A168" s="29"/>
      <c r="B168" s="152"/>
      <c r="C168" s="153" t="s">
        <v>239</v>
      </c>
      <c r="D168" s="153" t="s">
        <v>181</v>
      </c>
      <c r="E168" s="154" t="s">
        <v>2897</v>
      </c>
      <c r="F168" s="155" t="s">
        <v>2977</v>
      </c>
      <c r="G168" s="156" t="s">
        <v>217</v>
      </c>
      <c r="H168" s="157">
        <v>12</v>
      </c>
      <c r="I168" s="158"/>
      <c r="J168" s="151">
        <v>0</v>
      </c>
      <c r="K168" s="160"/>
      <c r="L168" s="30"/>
      <c r="M168" s="161" t="s">
        <v>1</v>
      </c>
      <c r="N168" s="162" t="s">
        <v>35</v>
      </c>
      <c r="O168" s="58"/>
      <c r="P168" s="163">
        <f t="shared" si="18"/>
        <v>0</v>
      </c>
      <c r="Q168" s="163">
        <v>3.0000000000000001E-5</v>
      </c>
      <c r="R168" s="163">
        <f t="shared" si="19"/>
        <v>3.6000000000000002E-4</v>
      </c>
      <c r="S168" s="163">
        <v>0</v>
      </c>
      <c r="T168" s="164">
        <f t="shared" si="20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5" t="s">
        <v>213</v>
      </c>
      <c r="AT168" s="165" t="s">
        <v>181</v>
      </c>
      <c r="AU168" s="165" t="s">
        <v>82</v>
      </c>
      <c r="AY168" s="14" t="s">
        <v>179</v>
      </c>
      <c r="BE168" s="166">
        <f t="shared" si="21"/>
        <v>0</v>
      </c>
      <c r="BF168" s="166">
        <f t="shared" si="22"/>
        <v>0</v>
      </c>
      <c r="BG168" s="166">
        <f t="shared" si="23"/>
        <v>0</v>
      </c>
      <c r="BH168" s="166">
        <f t="shared" si="24"/>
        <v>0</v>
      </c>
      <c r="BI168" s="166">
        <f t="shared" si="25"/>
        <v>0</v>
      </c>
      <c r="BJ168" s="14" t="s">
        <v>82</v>
      </c>
      <c r="BK168" s="166">
        <f t="shared" si="26"/>
        <v>0</v>
      </c>
      <c r="BL168" s="14" t="s">
        <v>213</v>
      </c>
      <c r="BM168" s="165" t="s">
        <v>294</v>
      </c>
    </row>
    <row r="169" spans="1:65" s="2" customFormat="1" ht="24.2" customHeight="1">
      <c r="A169" s="29"/>
      <c r="B169" s="152"/>
      <c r="C169" s="153" t="s">
        <v>295</v>
      </c>
      <c r="D169" s="153" t="s">
        <v>181</v>
      </c>
      <c r="E169" s="154" t="s">
        <v>2978</v>
      </c>
      <c r="F169" s="155" t="s">
        <v>2979</v>
      </c>
      <c r="G169" s="156" t="s">
        <v>293</v>
      </c>
      <c r="H169" s="157">
        <v>4</v>
      </c>
      <c r="I169" s="158"/>
      <c r="J169" s="151">
        <v>0</v>
      </c>
      <c r="K169" s="160"/>
      <c r="L169" s="30"/>
      <c r="M169" s="161" t="s">
        <v>1</v>
      </c>
      <c r="N169" s="162" t="s">
        <v>35</v>
      </c>
      <c r="O169" s="58"/>
      <c r="P169" s="163">
        <f t="shared" si="18"/>
        <v>0</v>
      </c>
      <c r="Q169" s="163">
        <v>4.6424999999999999E-3</v>
      </c>
      <c r="R169" s="163">
        <f t="shared" si="19"/>
        <v>1.857E-2</v>
      </c>
      <c r="S169" s="163">
        <v>0</v>
      </c>
      <c r="T169" s="164">
        <f t="shared" si="20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5" t="s">
        <v>213</v>
      </c>
      <c r="AT169" s="165" t="s">
        <v>181</v>
      </c>
      <c r="AU169" s="165" t="s">
        <v>82</v>
      </c>
      <c r="AY169" s="14" t="s">
        <v>179</v>
      </c>
      <c r="BE169" s="166">
        <f t="shared" si="21"/>
        <v>0</v>
      </c>
      <c r="BF169" s="166">
        <f t="shared" si="22"/>
        <v>0</v>
      </c>
      <c r="BG169" s="166">
        <f t="shared" si="23"/>
        <v>0</v>
      </c>
      <c r="BH169" s="166">
        <f t="shared" si="24"/>
        <v>0</v>
      </c>
      <c r="BI169" s="166">
        <f t="shared" si="25"/>
        <v>0</v>
      </c>
      <c r="BJ169" s="14" t="s">
        <v>82</v>
      </c>
      <c r="BK169" s="166">
        <f t="shared" si="26"/>
        <v>0</v>
      </c>
      <c r="BL169" s="14" t="s">
        <v>213</v>
      </c>
      <c r="BM169" s="165" t="s">
        <v>298</v>
      </c>
    </row>
    <row r="170" spans="1:65" s="2" customFormat="1" ht="24.2" customHeight="1">
      <c r="A170" s="29"/>
      <c r="B170" s="152"/>
      <c r="C170" s="153" t="s">
        <v>242</v>
      </c>
      <c r="D170" s="153" t="s">
        <v>181</v>
      </c>
      <c r="E170" s="154" t="s">
        <v>2925</v>
      </c>
      <c r="F170" s="155" t="s">
        <v>2980</v>
      </c>
      <c r="G170" s="156" t="s">
        <v>217</v>
      </c>
      <c r="H170" s="157">
        <v>2</v>
      </c>
      <c r="I170" s="158"/>
      <c r="J170" s="151">
        <v>0</v>
      </c>
      <c r="K170" s="160"/>
      <c r="L170" s="30"/>
      <c r="M170" s="161" t="s">
        <v>1</v>
      </c>
      <c r="N170" s="162" t="s">
        <v>35</v>
      </c>
      <c r="O170" s="58"/>
      <c r="P170" s="163">
        <f t="shared" si="18"/>
        <v>0</v>
      </c>
      <c r="Q170" s="163">
        <v>1.0330000000000001E-2</v>
      </c>
      <c r="R170" s="163">
        <f t="shared" si="19"/>
        <v>2.0660000000000001E-2</v>
      </c>
      <c r="S170" s="163">
        <v>0</v>
      </c>
      <c r="T170" s="164">
        <f t="shared" si="20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5" t="s">
        <v>213</v>
      </c>
      <c r="AT170" s="165" t="s">
        <v>181</v>
      </c>
      <c r="AU170" s="165" t="s">
        <v>82</v>
      </c>
      <c r="AY170" s="14" t="s">
        <v>179</v>
      </c>
      <c r="BE170" s="166">
        <f t="shared" si="21"/>
        <v>0</v>
      </c>
      <c r="BF170" s="166">
        <f t="shared" si="22"/>
        <v>0</v>
      </c>
      <c r="BG170" s="166">
        <f t="shared" si="23"/>
        <v>0</v>
      </c>
      <c r="BH170" s="166">
        <f t="shared" si="24"/>
        <v>0</v>
      </c>
      <c r="BI170" s="166">
        <f t="shared" si="25"/>
        <v>0</v>
      </c>
      <c r="BJ170" s="14" t="s">
        <v>82</v>
      </c>
      <c r="BK170" s="166">
        <f t="shared" si="26"/>
        <v>0</v>
      </c>
      <c r="BL170" s="14" t="s">
        <v>213</v>
      </c>
      <c r="BM170" s="165" t="s">
        <v>301</v>
      </c>
    </row>
    <row r="171" spans="1:65" s="2" customFormat="1" ht="24.2" customHeight="1">
      <c r="A171" s="29"/>
      <c r="B171" s="152"/>
      <c r="C171" s="153" t="s">
        <v>302</v>
      </c>
      <c r="D171" s="153" t="s">
        <v>181</v>
      </c>
      <c r="E171" s="154" t="s">
        <v>2450</v>
      </c>
      <c r="F171" s="155" t="s">
        <v>2451</v>
      </c>
      <c r="G171" s="156" t="s">
        <v>293</v>
      </c>
      <c r="H171" s="157">
        <v>4</v>
      </c>
      <c r="I171" s="158"/>
      <c r="J171" s="151">
        <v>0</v>
      </c>
      <c r="K171" s="160"/>
      <c r="L171" s="30"/>
      <c r="M171" s="161" t="s">
        <v>1</v>
      </c>
      <c r="N171" s="162" t="s">
        <v>35</v>
      </c>
      <c r="O171" s="58"/>
      <c r="P171" s="163">
        <f t="shared" si="18"/>
        <v>0</v>
      </c>
      <c r="Q171" s="163">
        <v>0</v>
      </c>
      <c r="R171" s="163">
        <f t="shared" si="19"/>
        <v>0</v>
      </c>
      <c r="S171" s="163">
        <v>0</v>
      </c>
      <c r="T171" s="164">
        <f t="shared" si="20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5" t="s">
        <v>213</v>
      </c>
      <c r="AT171" s="165" t="s">
        <v>181</v>
      </c>
      <c r="AU171" s="165" t="s">
        <v>82</v>
      </c>
      <c r="AY171" s="14" t="s">
        <v>179</v>
      </c>
      <c r="BE171" s="166">
        <f t="shared" si="21"/>
        <v>0</v>
      </c>
      <c r="BF171" s="166">
        <f t="shared" si="22"/>
        <v>0</v>
      </c>
      <c r="BG171" s="166">
        <f t="shared" si="23"/>
        <v>0</v>
      </c>
      <c r="BH171" s="166">
        <f t="shared" si="24"/>
        <v>0</v>
      </c>
      <c r="BI171" s="166">
        <f t="shared" si="25"/>
        <v>0</v>
      </c>
      <c r="BJ171" s="14" t="s">
        <v>82</v>
      </c>
      <c r="BK171" s="166">
        <f t="shared" si="26"/>
        <v>0</v>
      </c>
      <c r="BL171" s="14" t="s">
        <v>213</v>
      </c>
      <c r="BM171" s="165" t="s">
        <v>305</v>
      </c>
    </row>
    <row r="172" spans="1:65" s="2" customFormat="1" ht="33" customHeight="1">
      <c r="A172" s="29"/>
      <c r="B172" s="152"/>
      <c r="C172" s="153" t="s">
        <v>246</v>
      </c>
      <c r="D172" s="153" t="s">
        <v>181</v>
      </c>
      <c r="E172" s="154" t="s">
        <v>2456</v>
      </c>
      <c r="F172" s="155" t="s">
        <v>2457</v>
      </c>
      <c r="G172" s="156" t="s">
        <v>191</v>
      </c>
      <c r="H172" s="157">
        <v>1.103</v>
      </c>
      <c r="I172" s="158"/>
      <c r="J172" s="151">
        <v>0</v>
      </c>
      <c r="K172" s="160"/>
      <c r="L172" s="30"/>
      <c r="M172" s="161" t="s">
        <v>1</v>
      </c>
      <c r="N172" s="162" t="s">
        <v>35</v>
      </c>
      <c r="O172" s="58"/>
      <c r="P172" s="163">
        <f t="shared" si="18"/>
        <v>0</v>
      </c>
      <c r="Q172" s="163">
        <v>0</v>
      </c>
      <c r="R172" s="163">
        <f t="shared" si="19"/>
        <v>0</v>
      </c>
      <c r="S172" s="163">
        <v>0</v>
      </c>
      <c r="T172" s="164">
        <f t="shared" si="20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5" t="s">
        <v>213</v>
      </c>
      <c r="AT172" s="165" t="s">
        <v>181</v>
      </c>
      <c r="AU172" s="165" t="s">
        <v>82</v>
      </c>
      <c r="AY172" s="14" t="s">
        <v>179</v>
      </c>
      <c r="BE172" s="166">
        <f t="shared" si="21"/>
        <v>0</v>
      </c>
      <c r="BF172" s="166">
        <f t="shared" si="22"/>
        <v>0</v>
      </c>
      <c r="BG172" s="166">
        <f t="shared" si="23"/>
        <v>0</v>
      </c>
      <c r="BH172" s="166">
        <f t="shared" si="24"/>
        <v>0</v>
      </c>
      <c r="BI172" s="166">
        <f t="shared" si="25"/>
        <v>0</v>
      </c>
      <c r="BJ172" s="14" t="s">
        <v>82</v>
      </c>
      <c r="BK172" s="166">
        <f t="shared" si="26"/>
        <v>0</v>
      </c>
      <c r="BL172" s="14" t="s">
        <v>213</v>
      </c>
      <c r="BM172" s="165" t="s">
        <v>308</v>
      </c>
    </row>
    <row r="173" spans="1:65" s="2" customFormat="1" ht="24.2" customHeight="1">
      <c r="A173" s="29"/>
      <c r="B173" s="152"/>
      <c r="C173" s="153" t="s">
        <v>309</v>
      </c>
      <c r="D173" s="153" t="s">
        <v>181</v>
      </c>
      <c r="E173" s="154" t="s">
        <v>2458</v>
      </c>
      <c r="F173" s="155" t="s">
        <v>2459</v>
      </c>
      <c r="G173" s="156" t="s">
        <v>585</v>
      </c>
      <c r="H173" s="178"/>
      <c r="I173" s="158"/>
      <c r="J173" s="151">
        <v>0</v>
      </c>
      <c r="K173" s="160"/>
      <c r="L173" s="30"/>
      <c r="M173" s="161" t="s">
        <v>1</v>
      </c>
      <c r="N173" s="162" t="s">
        <v>35</v>
      </c>
      <c r="O173" s="58"/>
      <c r="P173" s="163">
        <f t="shared" si="18"/>
        <v>0</v>
      </c>
      <c r="Q173" s="163">
        <v>0</v>
      </c>
      <c r="R173" s="163">
        <f t="shared" si="19"/>
        <v>0</v>
      </c>
      <c r="S173" s="163">
        <v>0</v>
      </c>
      <c r="T173" s="164">
        <f t="shared" si="20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5" t="s">
        <v>213</v>
      </c>
      <c r="AT173" s="165" t="s">
        <v>181</v>
      </c>
      <c r="AU173" s="165" t="s">
        <v>82</v>
      </c>
      <c r="AY173" s="14" t="s">
        <v>179</v>
      </c>
      <c r="BE173" s="166">
        <f t="shared" si="21"/>
        <v>0</v>
      </c>
      <c r="BF173" s="166">
        <f t="shared" si="22"/>
        <v>0</v>
      </c>
      <c r="BG173" s="166">
        <f t="shared" si="23"/>
        <v>0</v>
      </c>
      <c r="BH173" s="166">
        <f t="shared" si="24"/>
        <v>0</v>
      </c>
      <c r="BI173" s="166">
        <f t="shared" si="25"/>
        <v>0</v>
      </c>
      <c r="BJ173" s="14" t="s">
        <v>82</v>
      </c>
      <c r="BK173" s="166">
        <f t="shared" si="26"/>
        <v>0</v>
      </c>
      <c r="BL173" s="14" t="s">
        <v>213</v>
      </c>
      <c r="BM173" s="165" t="s">
        <v>312</v>
      </c>
    </row>
    <row r="174" spans="1:65" s="12" customFormat="1" ht="22.9" customHeight="1">
      <c r="B174" s="139"/>
      <c r="D174" s="140" t="s">
        <v>68</v>
      </c>
      <c r="E174" s="150" t="s">
        <v>2460</v>
      </c>
      <c r="F174" s="150" t="s">
        <v>2461</v>
      </c>
      <c r="I174" s="142"/>
      <c r="J174" s="151">
        <v>0</v>
      </c>
      <c r="L174" s="139"/>
      <c r="M174" s="144"/>
      <c r="N174" s="145"/>
      <c r="O174" s="145"/>
      <c r="P174" s="146">
        <f>SUM(P175:P179)</f>
        <v>0</v>
      </c>
      <c r="Q174" s="145"/>
      <c r="R174" s="146">
        <f>SUM(R175:R179)</f>
        <v>6.2599999999999999E-3</v>
      </c>
      <c r="S174" s="145"/>
      <c r="T174" s="147">
        <f>SUM(T175:T179)</f>
        <v>0</v>
      </c>
      <c r="AR174" s="140" t="s">
        <v>82</v>
      </c>
      <c r="AT174" s="148" t="s">
        <v>68</v>
      </c>
      <c r="AU174" s="148" t="s">
        <v>76</v>
      </c>
      <c r="AY174" s="140" t="s">
        <v>179</v>
      </c>
      <c r="BK174" s="149">
        <f>SUM(BK175:BK179)</f>
        <v>0</v>
      </c>
    </row>
    <row r="175" spans="1:65" s="2" customFormat="1" ht="16.5" customHeight="1">
      <c r="A175" s="29"/>
      <c r="B175" s="152"/>
      <c r="C175" s="153" t="s">
        <v>250</v>
      </c>
      <c r="D175" s="153" t="s">
        <v>181</v>
      </c>
      <c r="E175" s="154" t="s">
        <v>2527</v>
      </c>
      <c r="F175" s="155" t="s">
        <v>2528</v>
      </c>
      <c r="G175" s="156" t="s">
        <v>217</v>
      </c>
      <c r="H175" s="157">
        <v>2</v>
      </c>
      <c r="I175" s="158"/>
      <c r="J175" s="151">
        <v>0</v>
      </c>
      <c r="K175" s="160"/>
      <c r="L175" s="30"/>
      <c r="M175" s="161" t="s">
        <v>1</v>
      </c>
      <c r="N175" s="162" t="s">
        <v>35</v>
      </c>
      <c r="O175" s="58"/>
      <c r="P175" s="163">
        <f>O175*H175</f>
        <v>0</v>
      </c>
      <c r="Q175" s="163">
        <v>3.0000000000000001E-5</v>
      </c>
      <c r="R175" s="163">
        <f>Q175*H175</f>
        <v>6.0000000000000002E-5</v>
      </c>
      <c r="S175" s="163">
        <v>0</v>
      </c>
      <c r="T175" s="164">
        <f>S175*H175</f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5" t="s">
        <v>213</v>
      </c>
      <c r="AT175" s="165" t="s">
        <v>181</v>
      </c>
      <c r="AU175" s="165" t="s">
        <v>82</v>
      </c>
      <c r="AY175" s="14" t="s">
        <v>179</v>
      </c>
      <c r="BE175" s="166">
        <f>IF(N175="základná",J175,0)</f>
        <v>0</v>
      </c>
      <c r="BF175" s="166">
        <f>IF(N175="znížená",J175,0)</f>
        <v>0</v>
      </c>
      <c r="BG175" s="166">
        <f>IF(N175="zákl. prenesená",J175,0)</f>
        <v>0</v>
      </c>
      <c r="BH175" s="166">
        <f>IF(N175="zníž. prenesená",J175,0)</f>
        <v>0</v>
      </c>
      <c r="BI175" s="166">
        <f>IF(N175="nulová",J175,0)</f>
        <v>0</v>
      </c>
      <c r="BJ175" s="14" t="s">
        <v>82</v>
      </c>
      <c r="BK175" s="166">
        <f>ROUND(I175*H175,2)</f>
        <v>0</v>
      </c>
      <c r="BL175" s="14" t="s">
        <v>213</v>
      </c>
      <c r="BM175" s="165" t="s">
        <v>315</v>
      </c>
    </row>
    <row r="176" spans="1:65" s="2" customFormat="1" ht="21.75" customHeight="1">
      <c r="A176" s="29"/>
      <c r="B176" s="152"/>
      <c r="C176" s="167" t="s">
        <v>316</v>
      </c>
      <c r="D176" s="167" t="s">
        <v>202</v>
      </c>
      <c r="E176" s="168" t="s">
        <v>2530</v>
      </c>
      <c r="F176" s="169" t="s">
        <v>2531</v>
      </c>
      <c r="G176" s="170" t="s">
        <v>217</v>
      </c>
      <c r="H176" s="171">
        <v>2</v>
      </c>
      <c r="I176" s="172"/>
      <c r="J176" s="151">
        <v>0</v>
      </c>
      <c r="K176" s="174"/>
      <c r="L176" s="175"/>
      <c r="M176" s="176" t="s">
        <v>1</v>
      </c>
      <c r="N176" s="177" t="s">
        <v>35</v>
      </c>
      <c r="O176" s="58"/>
      <c r="P176" s="163">
        <f>O176*H176</f>
        <v>0</v>
      </c>
      <c r="Q176" s="163">
        <v>3.8999999999999999E-4</v>
      </c>
      <c r="R176" s="163">
        <f>Q176*H176</f>
        <v>7.7999999999999999E-4</v>
      </c>
      <c r="S176" s="163">
        <v>0</v>
      </c>
      <c r="T176" s="164">
        <f>S176*H176</f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5" t="s">
        <v>242</v>
      </c>
      <c r="AT176" s="165" t="s">
        <v>202</v>
      </c>
      <c r="AU176" s="165" t="s">
        <v>82</v>
      </c>
      <c r="AY176" s="14" t="s">
        <v>179</v>
      </c>
      <c r="BE176" s="166">
        <f>IF(N176="základná",J176,0)</f>
        <v>0</v>
      </c>
      <c r="BF176" s="166">
        <f>IF(N176="znížená",J176,0)</f>
        <v>0</v>
      </c>
      <c r="BG176" s="166">
        <f>IF(N176="zákl. prenesená",J176,0)</f>
        <v>0</v>
      </c>
      <c r="BH176" s="166">
        <f>IF(N176="zníž. prenesená",J176,0)</f>
        <v>0</v>
      </c>
      <c r="BI176" s="166">
        <f>IF(N176="nulová",J176,0)</f>
        <v>0</v>
      </c>
      <c r="BJ176" s="14" t="s">
        <v>82</v>
      </c>
      <c r="BK176" s="166">
        <f>ROUND(I176*H176,2)</f>
        <v>0</v>
      </c>
      <c r="BL176" s="14" t="s">
        <v>213</v>
      </c>
      <c r="BM176" s="165" t="s">
        <v>319</v>
      </c>
    </row>
    <row r="177" spans="1:65" s="2" customFormat="1" ht="16.5" customHeight="1">
      <c r="A177" s="29"/>
      <c r="B177" s="152"/>
      <c r="C177" s="153" t="s">
        <v>254</v>
      </c>
      <c r="D177" s="153" t="s">
        <v>181</v>
      </c>
      <c r="E177" s="154" t="s">
        <v>2549</v>
      </c>
      <c r="F177" s="155" t="s">
        <v>2550</v>
      </c>
      <c r="G177" s="156" t="s">
        <v>217</v>
      </c>
      <c r="H177" s="157">
        <v>2</v>
      </c>
      <c r="I177" s="158"/>
      <c r="J177" s="151">
        <v>0</v>
      </c>
      <c r="K177" s="160"/>
      <c r="L177" s="30"/>
      <c r="M177" s="161" t="s">
        <v>1</v>
      </c>
      <c r="N177" s="162" t="s">
        <v>35</v>
      </c>
      <c r="O177" s="58"/>
      <c r="P177" s="163">
        <f>O177*H177</f>
        <v>0</v>
      </c>
      <c r="Q177" s="163">
        <v>3.0000000000000001E-5</v>
      </c>
      <c r="R177" s="163">
        <f>Q177*H177</f>
        <v>6.0000000000000002E-5</v>
      </c>
      <c r="S177" s="163">
        <v>0</v>
      </c>
      <c r="T177" s="164">
        <f>S177*H177</f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5" t="s">
        <v>213</v>
      </c>
      <c r="AT177" s="165" t="s">
        <v>181</v>
      </c>
      <c r="AU177" s="165" t="s">
        <v>82</v>
      </c>
      <c r="AY177" s="14" t="s">
        <v>179</v>
      </c>
      <c r="BE177" s="166">
        <f>IF(N177="základná",J177,0)</f>
        <v>0</v>
      </c>
      <c r="BF177" s="166">
        <f>IF(N177="znížená",J177,0)</f>
        <v>0</v>
      </c>
      <c r="BG177" s="166">
        <f>IF(N177="zákl. prenesená",J177,0)</f>
        <v>0</v>
      </c>
      <c r="BH177" s="166">
        <f>IF(N177="zníž. prenesená",J177,0)</f>
        <v>0</v>
      </c>
      <c r="BI177" s="166">
        <f>IF(N177="nulová",J177,0)</f>
        <v>0</v>
      </c>
      <c r="BJ177" s="14" t="s">
        <v>82</v>
      </c>
      <c r="BK177" s="166">
        <f>ROUND(I177*H177,2)</f>
        <v>0</v>
      </c>
      <c r="BL177" s="14" t="s">
        <v>213</v>
      </c>
      <c r="BM177" s="165" t="s">
        <v>322</v>
      </c>
    </row>
    <row r="178" spans="1:65" s="2" customFormat="1" ht="16.5" customHeight="1">
      <c r="A178" s="29"/>
      <c r="B178" s="152"/>
      <c r="C178" s="167" t="s">
        <v>323</v>
      </c>
      <c r="D178" s="167" t="s">
        <v>202</v>
      </c>
      <c r="E178" s="168" t="s">
        <v>2567</v>
      </c>
      <c r="F178" s="169" t="s">
        <v>2564</v>
      </c>
      <c r="G178" s="170" t="s">
        <v>217</v>
      </c>
      <c r="H178" s="171">
        <v>4</v>
      </c>
      <c r="I178" s="172"/>
      <c r="J178" s="151">
        <v>0</v>
      </c>
      <c r="K178" s="174"/>
      <c r="L178" s="175"/>
      <c r="M178" s="176" t="s">
        <v>1</v>
      </c>
      <c r="N178" s="177" t="s">
        <v>35</v>
      </c>
      <c r="O178" s="58"/>
      <c r="P178" s="163">
        <f>O178*H178</f>
        <v>0</v>
      </c>
      <c r="Q178" s="163">
        <v>1.34E-3</v>
      </c>
      <c r="R178" s="163">
        <f>Q178*H178</f>
        <v>5.3600000000000002E-3</v>
      </c>
      <c r="S178" s="163">
        <v>0</v>
      </c>
      <c r="T178" s="164">
        <f>S178*H178</f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5" t="s">
        <v>242</v>
      </c>
      <c r="AT178" s="165" t="s">
        <v>202</v>
      </c>
      <c r="AU178" s="165" t="s">
        <v>82</v>
      </c>
      <c r="AY178" s="14" t="s">
        <v>179</v>
      </c>
      <c r="BE178" s="166">
        <f>IF(N178="základná",J178,0)</f>
        <v>0</v>
      </c>
      <c r="BF178" s="166">
        <f>IF(N178="znížená",J178,0)</f>
        <v>0</v>
      </c>
      <c r="BG178" s="166">
        <f>IF(N178="zákl. prenesená",J178,0)</f>
        <v>0</v>
      </c>
      <c r="BH178" s="166">
        <f>IF(N178="zníž. prenesená",J178,0)</f>
        <v>0</v>
      </c>
      <c r="BI178" s="166">
        <f>IF(N178="nulová",J178,0)</f>
        <v>0</v>
      </c>
      <c r="BJ178" s="14" t="s">
        <v>82</v>
      </c>
      <c r="BK178" s="166">
        <f>ROUND(I178*H178,2)</f>
        <v>0</v>
      </c>
      <c r="BL178" s="14" t="s">
        <v>213</v>
      </c>
      <c r="BM178" s="165" t="s">
        <v>326</v>
      </c>
    </row>
    <row r="179" spans="1:65" s="2" customFormat="1" ht="21.75" customHeight="1">
      <c r="A179" s="29"/>
      <c r="B179" s="152"/>
      <c r="C179" s="153" t="s">
        <v>257</v>
      </c>
      <c r="D179" s="153" t="s">
        <v>181</v>
      </c>
      <c r="E179" s="154" t="s">
        <v>2928</v>
      </c>
      <c r="F179" s="155" t="s">
        <v>2929</v>
      </c>
      <c r="G179" s="156" t="s">
        <v>585</v>
      </c>
      <c r="H179" s="178"/>
      <c r="I179" s="158"/>
      <c r="J179" s="151">
        <v>0</v>
      </c>
      <c r="K179" s="160"/>
      <c r="L179" s="30"/>
      <c r="M179" s="161" t="s">
        <v>1</v>
      </c>
      <c r="N179" s="162" t="s">
        <v>35</v>
      </c>
      <c r="O179" s="58"/>
      <c r="P179" s="163">
        <f>O179*H179</f>
        <v>0</v>
      </c>
      <c r="Q179" s="163">
        <v>0</v>
      </c>
      <c r="R179" s="163">
        <f>Q179*H179</f>
        <v>0</v>
      </c>
      <c r="S179" s="163">
        <v>0</v>
      </c>
      <c r="T179" s="164">
        <f>S179*H179</f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5" t="s">
        <v>213</v>
      </c>
      <c r="AT179" s="165" t="s">
        <v>181</v>
      </c>
      <c r="AU179" s="165" t="s">
        <v>82</v>
      </c>
      <c r="AY179" s="14" t="s">
        <v>179</v>
      </c>
      <c r="BE179" s="166">
        <f>IF(N179="základná",J179,0)</f>
        <v>0</v>
      </c>
      <c r="BF179" s="166">
        <f>IF(N179="znížená",J179,0)</f>
        <v>0</v>
      </c>
      <c r="BG179" s="166">
        <f>IF(N179="zákl. prenesená",J179,0)</f>
        <v>0</v>
      </c>
      <c r="BH179" s="166">
        <f>IF(N179="zníž. prenesená",J179,0)</f>
        <v>0</v>
      </c>
      <c r="BI179" s="166">
        <f>IF(N179="nulová",J179,0)</f>
        <v>0</v>
      </c>
      <c r="BJ179" s="14" t="s">
        <v>82</v>
      </c>
      <c r="BK179" s="166">
        <f>ROUND(I179*H179,2)</f>
        <v>0</v>
      </c>
      <c r="BL179" s="14" t="s">
        <v>213</v>
      </c>
      <c r="BM179" s="165" t="s">
        <v>329</v>
      </c>
    </row>
    <row r="180" spans="1:65" s="12" customFormat="1" ht="25.9" customHeight="1">
      <c r="B180" s="139"/>
      <c r="D180" s="140" t="s">
        <v>68</v>
      </c>
      <c r="E180" s="141" t="s">
        <v>1346</v>
      </c>
      <c r="F180" s="141" t="s">
        <v>1347</v>
      </c>
      <c r="I180" s="142"/>
      <c r="J180" s="151">
        <v>0</v>
      </c>
      <c r="L180" s="139"/>
      <c r="M180" s="144"/>
      <c r="N180" s="145"/>
      <c r="O180" s="145"/>
      <c r="P180" s="146">
        <f>P181</f>
        <v>0</v>
      </c>
      <c r="Q180" s="145"/>
      <c r="R180" s="146">
        <f>R181</f>
        <v>0</v>
      </c>
      <c r="S180" s="145"/>
      <c r="T180" s="147">
        <f>T181</f>
        <v>0</v>
      </c>
      <c r="AR180" s="140" t="s">
        <v>185</v>
      </c>
      <c r="AT180" s="148" t="s">
        <v>68</v>
      </c>
      <c r="AU180" s="148" t="s">
        <v>69</v>
      </c>
      <c r="AY180" s="140" t="s">
        <v>179</v>
      </c>
      <c r="BK180" s="149">
        <f>BK181</f>
        <v>0</v>
      </c>
    </row>
    <row r="181" spans="1:65" s="2" customFormat="1" ht="24.2" customHeight="1">
      <c r="A181" s="29"/>
      <c r="B181" s="152"/>
      <c r="C181" s="153" t="s">
        <v>330</v>
      </c>
      <c r="D181" s="153" t="s">
        <v>181</v>
      </c>
      <c r="E181" s="154" t="s">
        <v>1348</v>
      </c>
      <c r="F181" s="155" t="s">
        <v>2799</v>
      </c>
      <c r="G181" s="156" t="s">
        <v>1350</v>
      </c>
      <c r="H181" s="157">
        <v>10</v>
      </c>
      <c r="I181" s="158"/>
      <c r="J181" s="151">
        <v>0</v>
      </c>
      <c r="K181" s="160"/>
      <c r="L181" s="30"/>
      <c r="M181" s="179" t="s">
        <v>1</v>
      </c>
      <c r="N181" s="180" t="s">
        <v>35</v>
      </c>
      <c r="O181" s="181"/>
      <c r="P181" s="182">
        <f>O181*H181</f>
        <v>0</v>
      </c>
      <c r="Q181" s="182">
        <v>0</v>
      </c>
      <c r="R181" s="182">
        <f>Q181*H181</f>
        <v>0</v>
      </c>
      <c r="S181" s="182">
        <v>0</v>
      </c>
      <c r="T181" s="183">
        <f>S181*H181</f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5" t="s">
        <v>1351</v>
      </c>
      <c r="AT181" s="165" t="s">
        <v>181</v>
      </c>
      <c r="AU181" s="165" t="s">
        <v>76</v>
      </c>
      <c r="AY181" s="14" t="s">
        <v>179</v>
      </c>
      <c r="BE181" s="166">
        <f>IF(N181="základná",J181,0)</f>
        <v>0</v>
      </c>
      <c r="BF181" s="166">
        <f>IF(N181="znížená",J181,0)</f>
        <v>0</v>
      </c>
      <c r="BG181" s="166">
        <f>IF(N181="zákl. prenesená",J181,0)</f>
        <v>0</v>
      </c>
      <c r="BH181" s="166">
        <f>IF(N181="zníž. prenesená",J181,0)</f>
        <v>0</v>
      </c>
      <c r="BI181" s="166">
        <f>IF(N181="nulová",J181,0)</f>
        <v>0</v>
      </c>
      <c r="BJ181" s="14" t="s">
        <v>82</v>
      </c>
      <c r="BK181" s="166">
        <f>ROUND(I181*H181,2)</f>
        <v>0</v>
      </c>
      <c r="BL181" s="14" t="s">
        <v>1351</v>
      </c>
      <c r="BM181" s="165" t="s">
        <v>333</v>
      </c>
    </row>
    <row r="182" spans="1:65" s="2" customFormat="1" ht="6.95" customHeight="1">
      <c r="A182" s="29"/>
      <c r="B182" s="47"/>
      <c r="C182" s="48"/>
      <c r="D182" s="48"/>
      <c r="E182" s="48"/>
      <c r="F182" s="48"/>
      <c r="G182" s="48"/>
      <c r="H182" s="48"/>
      <c r="I182" s="48"/>
      <c r="J182" s="48"/>
      <c r="K182" s="48"/>
      <c r="L182" s="30"/>
      <c r="M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</row>
  </sheetData>
  <autoFilter ref="C129:K181"/>
  <mergeCells count="12">
    <mergeCell ref="E122:H122"/>
    <mergeCell ref="L2:V2"/>
    <mergeCell ref="E85:H85"/>
    <mergeCell ref="E87:H87"/>
    <mergeCell ref="E89:H89"/>
    <mergeCell ref="E118:H118"/>
    <mergeCell ref="E120:H12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BM908"/>
  <sheetViews>
    <sheetView showGridLines="0" topLeftCell="A16" workbookViewId="0">
      <selection activeCell="J42" sqref="J42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 customWidth="1"/>
    <col min="15" max="20" width="14.1640625" style="1" hidden="1" customWidth="1"/>
    <col min="21" max="21" width="16.33203125" style="1" hidden="1" customWidth="1"/>
    <col min="22" max="22" width="12.33203125" style="1" hidden="1" customWidth="1"/>
    <col min="23" max="23" width="16.33203125" style="1" hidden="1" customWidth="1"/>
    <col min="24" max="24" width="12.33203125" style="1" hidden="1" customWidth="1"/>
    <col min="25" max="25" width="15" style="1" hidden="1" customWidth="1"/>
    <col min="26" max="26" width="11" style="1" hidden="1" customWidth="1"/>
    <col min="27" max="27" width="15" style="1" hidden="1" customWidth="1"/>
    <col min="28" max="28" width="16.33203125" style="1" hidden="1" customWidth="1"/>
    <col min="29" max="29" width="11" style="1" hidden="1" customWidth="1"/>
    <col min="30" max="30" width="15" style="1" hidden="1" customWidth="1"/>
    <col min="31" max="31" width="16.33203125" style="1" hidden="1" customWidth="1"/>
    <col min="32" max="43" width="0" hidden="1" customWidth="1"/>
    <col min="44" max="65" width="9.33203125" style="1" hidden="1" customWidth="1"/>
    <col min="66" max="70" width="0" hidden="1" customWidth="1"/>
  </cols>
  <sheetData>
    <row r="2" spans="1:46" s="1" customFormat="1" ht="36.950000000000003" customHeight="1">
      <c r="L2" s="350" t="s">
        <v>5</v>
      </c>
      <c r="M2" s="351"/>
      <c r="N2" s="351"/>
      <c r="O2" s="351"/>
      <c r="P2" s="351"/>
      <c r="Q2" s="351"/>
      <c r="R2" s="351"/>
      <c r="S2" s="351"/>
      <c r="T2" s="351"/>
      <c r="U2" s="351"/>
      <c r="V2" s="351"/>
      <c r="AT2" s="14" t="s">
        <v>83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5" customHeight="1">
      <c r="B4" s="17"/>
      <c r="D4" s="18" t="s">
        <v>129</v>
      </c>
      <c r="L4" s="17"/>
      <c r="M4" s="98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387" t="str">
        <f>'Rekapitulácia stavby'!K6</f>
        <v>Topoľčianky, Centrálny logistický sklad - rekonštrukcia tepelného hospodárstva</v>
      </c>
      <c r="F7" s="388"/>
      <c r="G7" s="388"/>
      <c r="H7" s="388"/>
      <c r="L7" s="17"/>
    </row>
    <row r="8" spans="1:46" s="1" customFormat="1" ht="12" customHeight="1">
      <c r="B8" s="17"/>
      <c r="D8" s="24" t="s">
        <v>130</v>
      </c>
      <c r="L8" s="17"/>
    </row>
    <row r="9" spans="1:46" s="2" customFormat="1" ht="16.5" customHeight="1">
      <c r="A9" s="29"/>
      <c r="B9" s="30"/>
      <c r="C9" s="29"/>
      <c r="D9" s="29"/>
      <c r="E9" s="387" t="s">
        <v>131</v>
      </c>
      <c r="F9" s="386"/>
      <c r="G9" s="386"/>
      <c r="H9" s="386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>
      <c r="A10" s="29"/>
      <c r="B10" s="30"/>
      <c r="C10" s="29"/>
      <c r="D10" s="24" t="s">
        <v>132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>
      <c r="A11" s="29"/>
      <c r="B11" s="30"/>
      <c r="C11" s="29"/>
      <c r="D11" s="29"/>
      <c r="E11" s="382" t="s">
        <v>133</v>
      </c>
      <c r="F11" s="386"/>
      <c r="G11" s="386"/>
      <c r="H11" s="386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>
      <c r="A13" s="29"/>
      <c r="B13" s="30"/>
      <c r="C13" s="29"/>
      <c r="D13" s="24" t="s">
        <v>15</v>
      </c>
      <c r="E13" s="29"/>
      <c r="F13" s="22" t="s">
        <v>1</v>
      </c>
      <c r="G13" s="29"/>
      <c r="H13" s="29"/>
      <c r="I13" s="24" t="s">
        <v>16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17</v>
      </c>
      <c r="E14" s="29"/>
      <c r="F14" s="22" t="s">
        <v>18</v>
      </c>
      <c r="G14" s="29"/>
      <c r="H14" s="29"/>
      <c r="I14" s="24" t="s">
        <v>19</v>
      </c>
      <c r="J14" s="55">
        <f>'Rekapitulácia stavby'!AN8</f>
        <v>45945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>
      <c r="A16" s="29"/>
      <c r="B16" s="30"/>
      <c r="C16" s="29"/>
      <c r="D16" s="24" t="s">
        <v>20</v>
      </c>
      <c r="E16" s="29"/>
      <c r="F16" s="29"/>
      <c r="G16" s="29"/>
      <c r="H16" s="29"/>
      <c r="I16" s="24" t="s">
        <v>21</v>
      </c>
      <c r="J16" s="22" t="str">
        <f>IF('Rekapitulácia stavby'!AN10="","",'Rekapitulácia stavby'!AN10)</f>
        <v/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>
      <c r="A17" s="29"/>
      <c r="B17" s="30"/>
      <c r="C17" s="29"/>
      <c r="D17" s="29"/>
      <c r="E17" s="22" t="str">
        <f>IF('Rekapitulácia stavby'!E11="","",'Rekapitulácia stavby'!E11)</f>
        <v xml:space="preserve"> </v>
      </c>
      <c r="F17" s="29"/>
      <c r="G17" s="29"/>
      <c r="H17" s="29"/>
      <c r="I17" s="24" t="s">
        <v>22</v>
      </c>
      <c r="J17" s="22" t="str">
        <f>IF('Rekapitulácia stavby'!AN11="","",'Rekapitulácia stavby'!AN11)</f>
        <v/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customHeight="1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>
      <c r="A19" s="29"/>
      <c r="B19" s="30"/>
      <c r="C19" s="29"/>
      <c r="D19" s="24" t="s">
        <v>23</v>
      </c>
      <c r="E19" s="29"/>
      <c r="F19" s="29"/>
      <c r="G19" s="29"/>
      <c r="H19" s="29"/>
      <c r="I19" s="24" t="s">
        <v>21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>
      <c r="A20" s="29"/>
      <c r="B20" s="30"/>
      <c r="C20" s="29"/>
      <c r="D20" s="29"/>
      <c r="E20" s="389" t="str">
        <f>'Rekapitulácia stavby'!E14</f>
        <v>Vyplň údaj</v>
      </c>
      <c r="F20" s="390"/>
      <c r="G20" s="390"/>
      <c r="H20" s="390"/>
      <c r="I20" s="24" t="s">
        <v>22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customHeight="1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>
      <c r="A22" s="29"/>
      <c r="B22" s="30"/>
      <c r="C22" s="29"/>
      <c r="D22" s="24" t="s">
        <v>25</v>
      </c>
      <c r="E22" s="29"/>
      <c r="F22" s="29"/>
      <c r="G22" s="29"/>
      <c r="H22" s="29"/>
      <c r="I22" s="24" t="s">
        <v>21</v>
      </c>
      <c r="J22" s="22" t="str">
        <f>IF('Rekapitulácia stavby'!AN16="","",'Rekapitulácia stavby'!AN16)</f>
        <v/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>
      <c r="A23" s="29"/>
      <c r="B23" s="30"/>
      <c r="C23" s="29"/>
      <c r="D23" s="29"/>
      <c r="E23" s="22" t="str">
        <f>IF('Rekapitulácia stavby'!E17="","",'Rekapitulácia stavby'!E17)</f>
        <v xml:space="preserve"> </v>
      </c>
      <c r="F23" s="29"/>
      <c r="G23" s="29"/>
      <c r="H23" s="29"/>
      <c r="I23" s="24" t="s">
        <v>22</v>
      </c>
      <c r="J23" s="22" t="str">
        <f>IF('Rekapitulácia stavby'!AN17="","",'Rekapitulácia stavby'!AN17)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customHeight="1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>
      <c r="A25" s="29"/>
      <c r="B25" s="30"/>
      <c r="C25" s="29"/>
      <c r="D25" s="24" t="s">
        <v>26</v>
      </c>
      <c r="E25" s="29"/>
      <c r="F25" s="29"/>
      <c r="G25" s="29"/>
      <c r="H25" s="29"/>
      <c r="I25" s="24" t="s">
        <v>21</v>
      </c>
      <c r="J25" s="22" t="str">
        <f>IF('Rekapitulácia stavby'!AN19="","",'Rekapitulácia stavby'!AN19)</f>
        <v/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24" t="s">
        <v>22</v>
      </c>
      <c r="J26" s="22" t="str">
        <f>IF('Rekapitulácia stavby'!AN20="","",'Rekapitulácia stavby'!AN20)</f>
        <v/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>
      <c r="A28" s="29"/>
      <c r="B28" s="30"/>
      <c r="C28" s="29"/>
      <c r="D28" s="24" t="s">
        <v>28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>
      <c r="A29" s="99"/>
      <c r="B29" s="100"/>
      <c r="C29" s="99"/>
      <c r="D29" s="99"/>
      <c r="E29" s="378" t="s">
        <v>1</v>
      </c>
      <c r="F29" s="378"/>
      <c r="G29" s="378"/>
      <c r="H29" s="378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102" t="s">
        <v>29</v>
      </c>
      <c r="E32" s="29"/>
      <c r="F32" s="29"/>
      <c r="G32" s="29"/>
      <c r="H32" s="29"/>
      <c r="I32" s="29"/>
      <c r="J32" s="71"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31</v>
      </c>
      <c r="G34" s="29"/>
      <c r="H34" s="29"/>
      <c r="I34" s="33" t="s">
        <v>30</v>
      </c>
      <c r="J34" s="33" t="s">
        <v>32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3" t="s">
        <v>33</v>
      </c>
      <c r="E35" s="35" t="s">
        <v>34</v>
      </c>
      <c r="F35" s="104">
        <f>ROUND((SUM(BE146:BE907)),  2)</f>
        <v>0</v>
      </c>
      <c r="G35" s="105"/>
      <c r="H35" s="105"/>
      <c r="I35" s="106">
        <v>0.23</v>
      </c>
      <c r="J35" s="104">
        <f>ROUND(((SUM(BE146:BE907))*I35),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35</v>
      </c>
      <c r="F36" s="104">
        <f>ROUND((SUM(BF146:BF907)),  2)</f>
        <v>0</v>
      </c>
      <c r="G36" s="105"/>
      <c r="H36" s="105"/>
      <c r="I36" s="106">
        <v>0.23</v>
      </c>
      <c r="J36" s="104">
        <f>ROUND(((SUM(BF146:BF907))*I36),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36</v>
      </c>
      <c r="F37" s="107">
        <f>ROUND((SUM(BG146:BG907)),  2)</f>
        <v>0</v>
      </c>
      <c r="G37" s="29"/>
      <c r="H37" s="29"/>
      <c r="I37" s="108">
        <v>0.23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37</v>
      </c>
      <c r="F38" s="107">
        <f>ROUND((SUM(BH146:BH907)),  2)</f>
        <v>0</v>
      </c>
      <c r="G38" s="29"/>
      <c r="H38" s="29"/>
      <c r="I38" s="108">
        <v>0.23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38</v>
      </c>
      <c r="F39" s="104">
        <f>ROUND((SUM(BI146:BI907)), 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9"/>
      <c r="D41" s="110" t="s">
        <v>39</v>
      </c>
      <c r="E41" s="60"/>
      <c r="F41" s="60"/>
      <c r="G41" s="111" t="s">
        <v>40</v>
      </c>
      <c r="H41" s="112" t="s">
        <v>41</v>
      </c>
      <c r="I41" s="60"/>
      <c r="J41" s="113"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42</v>
      </c>
      <c r="E50" s="44"/>
      <c r="F50" s="44"/>
      <c r="G50" s="43" t="s">
        <v>43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44</v>
      </c>
      <c r="E61" s="32"/>
      <c r="F61" s="115" t="s">
        <v>45</v>
      </c>
      <c r="G61" s="45" t="s">
        <v>44</v>
      </c>
      <c r="H61" s="32"/>
      <c r="I61" s="32"/>
      <c r="J61" s="116" t="s">
        <v>45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46</v>
      </c>
      <c r="E65" s="46"/>
      <c r="F65" s="46"/>
      <c r="G65" s="43" t="s">
        <v>47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44</v>
      </c>
      <c r="E76" s="32"/>
      <c r="F76" s="115" t="s">
        <v>45</v>
      </c>
      <c r="G76" s="45" t="s">
        <v>44</v>
      </c>
      <c r="H76" s="32"/>
      <c r="I76" s="32"/>
      <c r="J76" s="116" t="s">
        <v>45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hidden="1" customHeight="1">
      <c r="A82" s="29"/>
      <c r="B82" s="30"/>
      <c r="C82" s="18" t="s">
        <v>134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hidden="1" customHeight="1">
      <c r="A85" s="29"/>
      <c r="B85" s="30"/>
      <c r="C85" s="29"/>
      <c r="D85" s="29"/>
      <c r="E85" s="387" t="str">
        <f>E7</f>
        <v>Topoľčianky, Centrálny logistický sklad - rekonštrukcia tepelného hospodárstva</v>
      </c>
      <c r="F85" s="388"/>
      <c r="G85" s="388"/>
      <c r="H85" s="388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hidden="1" customHeight="1">
      <c r="B86" s="17"/>
      <c r="C86" s="24" t="s">
        <v>130</v>
      </c>
      <c r="L86" s="17"/>
    </row>
    <row r="87" spans="1:31" s="2" customFormat="1" ht="16.5" hidden="1" customHeight="1">
      <c r="A87" s="29"/>
      <c r="B87" s="30"/>
      <c r="C87" s="29"/>
      <c r="D87" s="29"/>
      <c r="E87" s="387" t="s">
        <v>131</v>
      </c>
      <c r="F87" s="386"/>
      <c r="G87" s="386"/>
      <c r="H87" s="386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hidden="1" customHeight="1">
      <c r="A88" s="29"/>
      <c r="B88" s="30"/>
      <c r="C88" s="24" t="s">
        <v>132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hidden="1" customHeight="1">
      <c r="A89" s="29"/>
      <c r="B89" s="30"/>
      <c r="C89" s="29"/>
      <c r="D89" s="29"/>
      <c r="E89" s="382" t="str">
        <f>E11</f>
        <v>E1.1,2 - Architektúra +  statika + BP</v>
      </c>
      <c r="F89" s="386"/>
      <c r="G89" s="386"/>
      <c r="H89" s="386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hidden="1" customHeight="1">
      <c r="A91" s="29"/>
      <c r="B91" s="30"/>
      <c r="C91" s="24" t="s">
        <v>17</v>
      </c>
      <c r="D91" s="29"/>
      <c r="E91" s="29"/>
      <c r="F91" s="22" t="str">
        <f>F14</f>
        <v xml:space="preserve"> </v>
      </c>
      <c r="G91" s="29"/>
      <c r="H91" s="29"/>
      <c r="I91" s="24" t="s">
        <v>19</v>
      </c>
      <c r="J91" s="55">
        <f>IF(J14="","",J14)</f>
        <v>45945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hidden="1" customHeight="1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hidden="1" customHeight="1">
      <c r="A93" s="29"/>
      <c r="B93" s="30"/>
      <c r="C93" s="24" t="s">
        <v>20</v>
      </c>
      <c r="D93" s="29"/>
      <c r="E93" s="29"/>
      <c r="F93" s="22" t="str">
        <f>E17</f>
        <v xml:space="preserve"> </v>
      </c>
      <c r="G93" s="29"/>
      <c r="H93" s="29"/>
      <c r="I93" s="24" t="s">
        <v>25</v>
      </c>
      <c r="J93" s="27" t="str">
        <f>E23</f>
        <v xml:space="preserve">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hidden="1" customHeight="1">
      <c r="A94" s="29"/>
      <c r="B94" s="30"/>
      <c r="C94" s="24" t="s">
        <v>23</v>
      </c>
      <c r="D94" s="29"/>
      <c r="E94" s="29"/>
      <c r="F94" s="22" t="str">
        <f>IF(E20="","",E20)</f>
        <v>Vyplň údaj</v>
      </c>
      <c r="G94" s="29"/>
      <c r="H94" s="29"/>
      <c r="I94" s="24" t="s">
        <v>26</v>
      </c>
      <c r="J94" s="27" t="str">
        <f>E26</f>
        <v xml:space="preserve">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hidden="1" customHeight="1">
      <c r="A96" s="29"/>
      <c r="B96" s="30"/>
      <c r="C96" s="117" t="s">
        <v>135</v>
      </c>
      <c r="D96" s="109"/>
      <c r="E96" s="109"/>
      <c r="F96" s="109"/>
      <c r="G96" s="109"/>
      <c r="H96" s="109"/>
      <c r="I96" s="109"/>
      <c r="J96" s="118" t="s">
        <v>136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hidden="1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hidden="1" customHeight="1">
      <c r="A98" s="29"/>
      <c r="B98" s="30"/>
      <c r="C98" s="119" t="s">
        <v>137</v>
      </c>
      <c r="D98" s="29"/>
      <c r="E98" s="29"/>
      <c r="F98" s="29"/>
      <c r="G98" s="29"/>
      <c r="H98" s="29"/>
      <c r="I98" s="29"/>
      <c r="J98" s="71">
        <f>J146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138</v>
      </c>
    </row>
    <row r="99" spans="1:47" s="9" customFormat="1" ht="24.95" hidden="1" customHeight="1">
      <c r="B99" s="120"/>
      <c r="D99" s="121" t="s">
        <v>139</v>
      </c>
      <c r="E99" s="122"/>
      <c r="F99" s="122"/>
      <c r="G99" s="122"/>
      <c r="H99" s="122"/>
      <c r="I99" s="122"/>
      <c r="J99" s="123">
        <f>J147</f>
        <v>0</v>
      </c>
      <c r="L99" s="120"/>
    </row>
    <row r="100" spans="1:47" s="10" customFormat="1" ht="19.899999999999999" hidden="1" customHeight="1">
      <c r="B100" s="124"/>
      <c r="D100" s="125" t="s">
        <v>140</v>
      </c>
      <c r="E100" s="126"/>
      <c r="F100" s="126"/>
      <c r="G100" s="126"/>
      <c r="H100" s="126"/>
      <c r="I100" s="126"/>
      <c r="J100" s="127">
        <f>J148</f>
        <v>0</v>
      </c>
      <c r="L100" s="124"/>
    </row>
    <row r="101" spans="1:47" s="10" customFormat="1" ht="19.899999999999999" hidden="1" customHeight="1">
      <c r="B101" s="124"/>
      <c r="D101" s="125" t="s">
        <v>141</v>
      </c>
      <c r="E101" s="126"/>
      <c r="F101" s="126"/>
      <c r="G101" s="126"/>
      <c r="H101" s="126"/>
      <c r="I101" s="126"/>
      <c r="J101" s="127">
        <f>J159</f>
        <v>0</v>
      </c>
      <c r="L101" s="124"/>
    </row>
    <row r="102" spans="1:47" s="10" customFormat="1" ht="19.899999999999999" hidden="1" customHeight="1">
      <c r="B102" s="124"/>
      <c r="D102" s="125" t="s">
        <v>142</v>
      </c>
      <c r="E102" s="126"/>
      <c r="F102" s="126"/>
      <c r="G102" s="126"/>
      <c r="H102" s="126"/>
      <c r="I102" s="126"/>
      <c r="J102" s="127">
        <f>J169</f>
        <v>0</v>
      </c>
      <c r="L102" s="124"/>
    </row>
    <row r="103" spans="1:47" s="10" customFormat="1" ht="19.899999999999999" hidden="1" customHeight="1">
      <c r="B103" s="124"/>
      <c r="D103" s="125" t="s">
        <v>143</v>
      </c>
      <c r="E103" s="126"/>
      <c r="F103" s="126"/>
      <c r="G103" s="126"/>
      <c r="H103" s="126"/>
      <c r="I103" s="126"/>
      <c r="J103" s="127">
        <f>J212</f>
        <v>0</v>
      </c>
      <c r="L103" s="124"/>
    </row>
    <row r="104" spans="1:47" s="10" customFormat="1" ht="19.899999999999999" hidden="1" customHeight="1">
      <c r="B104" s="124"/>
      <c r="D104" s="125" t="s">
        <v>144</v>
      </c>
      <c r="E104" s="126"/>
      <c r="F104" s="126"/>
      <c r="G104" s="126"/>
      <c r="H104" s="126"/>
      <c r="I104" s="126"/>
      <c r="J104" s="127">
        <f>J223</f>
        <v>0</v>
      </c>
      <c r="L104" s="124"/>
    </row>
    <row r="105" spans="1:47" s="10" customFormat="1" ht="19.899999999999999" hidden="1" customHeight="1">
      <c r="B105" s="124"/>
      <c r="D105" s="125" t="s">
        <v>145</v>
      </c>
      <c r="E105" s="126"/>
      <c r="F105" s="126"/>
      <c r="G105" s="126"/>
      <c r="H105" s="126"/>
      <c r="I105" s="126"/>
      <c r="J105" s="127">
        <f>J236</f>
        <v>0</v>
      </c>
      <c r="L105" s="124"/>
    </row>
    <row r="106" spans="1:47" s="10" customFormat="1" ht="19.899999999999999" hidden="1" customHeight="1">
      <c r="B106" s="124"/>
      <c r="D106" s="125" t="s">
        <v>146</v>
      </c>
      <c r="E106" s="126"/>
      <c r="F106" s="126"/>
      <c r="G106" s="126"/>
      <c r="H106" s="126"/>
      <c r="I106" s="126"/>
      <c r="J106" s="127">
        <f>J342</f>
        <v>0</v>
      </c>
      <c r="L106" s="124"/>
    </row>
    <row r="107" spans="1:47" s="10" customFormat="1" ht="19.899999999999999" hidden="1" customHeight="1">
      <c r="B107" s="124"/>
      <c r="D107" s="125" t="s">
        <v>147</v>
      </c>
      <c r="E107" s="126"/>
      <c r="F107" s="126"/>
      <c r="G107" s="126"/>
      <c r="H107" s="126"/>
      <c r="I107" s="126"/>
      <c r="J107" s="127">
        <f>J509</f>
        <v>0</v>
      </c>
      <c r="L107" s="124"/>
    </row>
    <row r="108" spans="1:47" s="9" customFormat="1" ht="24.95" hidden="1" customHeight="1">
      <c r="B108" s="120"/>
      <c r="D108" s="121" t="s">
        <v>148</v>
      </c>
      <c r="E108" s="122"/>
      <c r="F108" s="122"/>
      <c r="G108" s="122"/>
      <c r="H108" s="122"/>
      <c r="I108" s="122"/>
      <c r="J108" s="123">
        <f>J511</f>
        <v>0</v>
      </c>
      <c r="L108" s="120"/>
    </row>
    <row r="109" spans="1:47" s="10" customFormat="1" ht="19.899999999999999" hidden="1" customHeight="1">
      <c r="B109" s="124"/>
      <c r="D109" s="125" t="s">
        <v>149</v>
      </c>
      <c r="E109" s="126"/>
      <c r="F109" s="126"/>
      <c r="G109" s="126"/>
      <c r="H109" s="126"/>
      <c r="I109" s="126"/>
      <c r="J109" s="127">
        <f>J512</f>
        <v>0</v>
      </c>
      <c r="L109" s="124"/>
    </row>
    <row r="110" spans="1:47" s="10" customFormat="1" ht="19.899999999999999" hidden="1" customHeight="1">
      <c r="B110" s="124"/>
      <c r="D110" s="125" t="s">
        <v>150</v>
      </c>
      <c r="E110" s="126"/>
      <c r="F110" s="126"/>
      <c r="G110" s="126"/>
      <c r="H110" s="126"/>
      <c r="I110" s="126"/>
      <c r="J110" s="127">
        <f>J539</f>
        <v>0</v>
      </c>
      <c r="L110" s="124"/>
    </row>
    <row r="111" spans="1:47" s="10" customFormat="1" ht="19.899999999999999" hidden="1" customHeight="1">
      <c r="B111" s="124"/>
      <c r="D111" s="125" t="s">
        <v>151</v>
      </c>
      <c r="E111" s="126"/>
      <c r="F111" s="126"/>
      <c r="G111" s="126"/>
      <c r="H111" s="126"/>
      <c r="I111" s="126"/>
      <c r="J111" s="127">
        <f>J547</f>
        <v>0</v>
      </c>
      <c r="L111" s="124"/>
    </row>
    <row r="112" spans="1:47" s="10" customFormat="1" ht="19.899999999999999" hidden="1" customHeight="1">
      <c r="B112" s="124"/>
      <c r="D112" s="125" t="s">
        <v>152</v>
      </c>
      <c r="E112" s="126"/>
      <c r="F112" s="126"/>
      <c r="G112" s="126"/>
      <c r="H112" s="126"/>
      <c r="I112" s="126"/>
      <c r="J112" s="127">
        <f>J555</f>
        <v>0</v>
      </c>
      <c r="L112" s="124"/>
    </row>
    <row r="113" spans="1:31" s="10" customFormat="1" ht="19.899999999999999" hidden="1" customHeight="1">
      <c r="B113" s="124"/>
      <c r="D113" s="125" t="s">
        <v>153</v>
      </c>
      <c r="E113" s="126"/>
      <c r="F113" s="126"/>
      <c r="G113" s="126"/>
      <c r="H113" s="126"/>
      <c r="I113" s="126"/>
      <c r="J113" s="127">
        <f>J581</f>
        <v>0</v>
      </c>
      <c r="L113" s="124"/>
    </row>
    <row r="114" spans="1:31" s="10" customFormat="1" ht="19.899999999999999" hidden="1" customHeight="1">
      <c r="B114" s="124"/>
      <c r="D114" s="125" t="s">
        <v>154</v>
      </c>
      <c r="E114" s="126"/>
      <c r="F114" s="126"/>
      <c r="G114" s="126"/>
      <c r="H114" s="126"/>
      <c r="I114" s="126"/>
      <c r="J114" s="127">
        <f>J597</f>
        <v>0</v>
      </c>
      <c r="L114" s="124"/>
    </row>
    <row r="115" spans="1:31" s="10" customFormat="1" ht="19.899999999999999" hidden="1" customHeight="1">
      <c r="B115" s="124"/>
      <c r="D115" s="125" t="s">
        <v>155</v>
      </c>
      <c r="E115" s="126"/>
      <c r="F115" s="126"/>
      <c r="G115" s="126"/>
      <c r="H115" s="126"/>
      <c r="I115" s="126"/>
      <c r="J115" s="127">
        <f>J647</f>
        <v>0</v>
      </c>
      <c r="L115" s="124"/>
    </row>
    <row r="116" spans="1:31" s="10" customFormat="1" ht="19.899999999999999" hidden="1" customHeight="1">
      <c r="B116" s="124"/>
      <c r="D116" s="125" t="s">
        <v>156</v>
      </c>
      <c r="E116" s="126"/>
      <c r="F116" s="126"/>
      <c r="G116" s="126"/>
      <c r="H116" s="126"/>
      <c r="I116" s="126"/>
      <c r="J116" s="127">
        <f>J665</f>
        <v>0</v>
      </c>
      <c r="L116" s="124"/>
    </row>
    <row r="117" spans="1:31" s="10" customFormat="1" ht="19.899999999999999" hidden="1" customHeight="1">
      <c r="B117" s="124"/>
      <c r="D117" s="125" t="s">
        <v>157</v>
      </c>
      <c r="E117" s="126"/>
      <c r="F117" s="126"/>
      <c r="G117" s="126"/>
      <c r="H117" s="126"/>
      <c r="I117" s="126"/>
      <c r="J117" s="127">
        <f>J800</f>
        <v>0</v>
      </c>
      <c r="L117" s="124"/>
    </row>
    <row r="118" spans="1:31" s="10" customFormat="1" ht="19.899999999999999" hidden="1" customHeight="1">
      <c r="B118" s="124"/>
      <c r="D118" s="125" t="s">
        <v>158</v>
      </c>
      <c r="E118" s="126"/>
      <c r="F118" s="126"/>
      <c r="G118" s="126"/>
      <c r="H118" s="126"/>
      <c r="I118" s="126"/>
      <c r="J118" s="127">
        <f>J807</f>
        <v>0</v>
      </c>
      <c r="L118" s="124"/>
    </row>
    <row r="119" spans="1:31" s="10" customFormat="1" ht="19.899999999999999" hidden="1" customHeight="1">
      <c r="B119" s="124"/>
      <c r="D119" s="125" t="s">
        <v>159</v>
      </c>
      <c r="E119" s="126"/>
      <c r="F119" s="126"/>
      <c r="G119" s="126"/>
      <c r="H119" s="126"/>
      <c r="I119" s="126"/>
      <c r="J119" s="127">
        <f>J818</f>
        <v>0</v>
      </c>
      <c r="L119" s="124"/>
    </row>
    <row r="120" spans="1:31" s="10" customFormat="1" ht="19.899999999999999" hidden="1" customHeight="1">
      <c r="B120" s="124"/>
      <c r="D120" s="125" t="s">
        <v>160</v>
      </c>
      <c r="E120" s="126"/>
      <c r="F120" s="126"/>
      <c r="G120" s="126"/>
      <c r="H120" s="126"/>
      <c r="I120" s="126"/>
      <c r="J120" s="127">
        <f>J826</f>
        <v>0</v>
      </c>
      <c r="L120" s="124"/>
    </row>
    <row r="121" spans="1:31" s="10" customFormat="1" ht="19.899999999999999" hidden="1" customHeight="1">
      <c r="B121" s="124"/>
      <c r="D121" s="125" t="s">
        <v>161</v>
      </c>
      <c r="E121" s="126"/>
      <c r="F121" s="126"/>
      <c r="G121" s="126"/>
      <c r="H121" s="126"/>
      <c r="I121" s="126"/>
      <c r="J121" s="127">
        <f>J875</f>
        <v>0</v>
      </c>
      <c r="L121" s="124"/>
    </row>
    <row r="122" spans="1:31" s="10" customFormat="1" ht="19.899999999999999" hidden="1" customHeight="1">
      <c r="B122" s="124"/>
      <c r="D122" s="125" t="s">
        <v>162</v>
      </c>
      <c r="E122" s="126"/>
      <c r="F122" s="126"/>
      <c r="G122" s="126"/>
      <c r="H122" s="126"/>
      <c r="I122" s="126"/>
      <c r="J122" s="127">
        <f>J893</f>
        <v>0</v>
      </c>
      <c r="L122" s="124"/>
    </row>
    <row r="123" spans="1:31" s="9" customFormat="1" ht="24.95" hidden="1" customHeight="1">
      <c r="B123" s="120"/>
      <c r="D123" s="121" t="s">
        <v>163</v>
      </c>
      <c r="E123" s="122"/>
      <c r="F123" s="122"/>
      <c r="G123" s="122"/>
      <c r="H123" s="122"/>
      <c r="I123" s="122"/>
      <c r="J123" s="123">
        <f>J899</f>
        <v>0</v>
      </c>
      <c r="L123" s="120"/>
    </row>
    <row r="124" spans="1:31" s="10" customFormat="1" ht="19.899999999999999" hidden="1" customHeight="1">
      <c r="B124" s="124"/>
      <c r="D124" s="125" t="s">
        <v>164</v>
      </c>
      <c r="E124" s="126"/>
      <c r="F124" s="126"/>
      <c r="G124" s="126"/>
      <c r="H124" s="126"/>
      <c r="I124" s="126"/>
      <c r="J124" s="127">
        <f>J900</f>
        <v>0</v>
      </c>
      <c r="L124" s="124"/>
    </row>
    <row r="125" spans="1:31" s="2" customFormat="1" ht="21.75" hidden="1" customHeight="1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6.95" hidden="1" customHeight="1">
      <c r="A126" s="29"/>
      <c r="B126" s="47"/>
      <c r="C126" s="48"/>
      <c r="D126" s="48"/>
      <c r="E126" s="48"/>
      <c r="F126" s="48"/>
      <c r="G126" s="48"/>
      <c r="H126" s="48"/>
      <c r="I126" s="48"/>
      <c r="J126" s="48"/>
      <c r="K126" s="48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hidden="1"/>
    <row r="128" spans="1:31" hidden="1"/>
    <row r="129" spans="1:31" hidden="1"/>
    <row r="130" spans="1:31" s="2" customFormat="1" ht="6.95" customHeight="1">
      <c r="A130" s="29"/>
      <c r="B130" s="49"/>
      <c r="C130" s="50"/>
      <c r="D130" s="50"/>
      <c r="E130" s="50"/>
      <c r="F130" s="50"/>
      <c r="G130" s="50"/>
      <c r="H130" s="50"/>
      <c r="I130" s="50"/>
      <c r="J130" s="50"/>
      <c r="K130" s="50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31" s="2" customFormat="1" ht="24.95" customHeight="1">
      <c r="A131" s="29"/>
      <c r="B131" s="30"/>
      <c r="C131" s="18" t="s">
        <v>165</v>
      </c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31" s="2" customFormat="1" ht="6.95" customHeight="1">
      <c r="A132" s="29"/>
      <c r="B132" s="30"/>
      <c r="C132" s="29"/>
      <c r="D132" s="29"/>
      <c r="E132" s="29"/>
      <c r="F132" s="29"/>
      <c r="G132" s="29"/>
      <c r="H132" s="29"/>
      <c r="I132" s="29"/>
      <c r="J132" s="29"/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31" s="2" customFormat="1" ht="12" customHeight="1">
      <c r="A133" s="29"/>
      <c r="B133" s="30"/>
      <c r="C133" s="24" t="s">
        <v>14</v>
      </c>
      <c r="D133" s="29"/>
      <c r="E133" s="29"/>
      <c r="F133" s="29"/>
      <c r="G133" s="29"/>
      <c r="H133" s="29"/>
      <c r="I133" s="29"/>
      <c r="J133" s="29"/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31" s="2" customFormat="1" ht="16.5" customHeight="1">
      <c r="A134" s="29"/>
      <c r="B134" s="30"/>
      <c r="C134" s="29"/>
      <c r="D134" s="29"/>
      <c r="E134" s="387" t="str">
        <f>E7</f>
        <v>Topoľčianky, Centrálny logistický sklad - rekonštrukcia tepelného hospodárstva</v>
      </c>
      <c r="F134" s="388"/>
      <c r="G134" s="388"/>
      <c r="H134" s="388"/>
      <c r="I134" s="29"/>
      <c r="J134" s="29"/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31" s="1" customFormat="1" ht="12" customHeight="1">
      <c r="B135" s="17"/>
      <c r="C135" s="24" t="s">
        <v>130</v>
      </c>
      <c r="L135" s="17"/>
    </row>
    <row r="136" spans="1:31" s="2" customFormat="1" ht="16.5" customHeight="1">
      <c r="A136" s="29"/>
      <c r="B136" s="30"/>
      <c r="C136" s="29"/>
      <c r="D136" s="29"/>
      <c r="E136" s="387" t="s">
        <v>131</v>
      </c>
      <c r="F136" s="386"/>
      <c r="G136" s="386"/>
      <c r="H136" s="386"/>
      <c r="I136" s="29"/>
      <c r="J136" s="29"/>
      <c r="K136" s="29"/>
      <c r="L136" s="42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  <row r="137" spans="1:31" s="2" customFormat="1" ht="12" customHeight="1">
      <c r="A137" s="29"/>
      <c r="B137" s="30"/>
      <c r="C137" s="24" t="s">
        <v>132</v>
      </c>
      <c r="D137" s="29"/>
      <c r="E137" s="29"/>
      <c r="F137" s="29"/>
      <c r="G137" s="29"/>
      <c r="H137" s="29"/>
      <c r="I137" s="29"/>
      <c r="J137" s="29"/>
      <c r="K137" s="29"/>
      <c r="L137" s="42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</row>
    <row r="138" spans="1:31" s="2" customFormat="1" ht="16.5" customHeight="1">
      <c r="A138" s="29"/>
      <c r="B138" s="30"/>
      <c r="C138" s="29"/>
      <c r="D138" s="29"/>
      <c r="E138" s="382" t="str">
        <f>E11</f>
        <v>E1.1,2 - Architektúra +  statika + BP</v>
      </c>
      <c r="F138" s="386"/>
      <c r="G138" s="386"/>
      <c r="H138" s="386"/>
      <c r="I138" s="29"/>
      <c r="J138" s="29"/>
      <c r="K138" s="29"/>
      <c r="L138" s="42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</row>
    <row r="139" spans="1:31" s="2" customFormat="1" ht="6.95" customHeight="1">
      <c r="A139" s="29"/>
      <c r="B139" s="30"/>
      <c r="C139" s="29"/>
      <c r="D139" s="29"/>
      <c r="E139" s="29"/>
      <c r="F139" s="29"/>
      <c r="G139" s="29"/>
      <c r="H139" s="29"/>
      <c r="I139" s="29"/>
      <c r="J139" s="29"/>
      <c r="K139" s="29"/>
      <c r="L139" s="42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</row>
    <row r="140" spans="1:31" s="2" customFormat="1" ht="12" customHeight="1">
      <c r="A140" s="29"/>
      <c r="B140" s="30"/>
      <c r="C140" s="24" t="s">
        <v>17</v>
      </c>
      <c r="D140" s="29"/>
      <c r="E140" s="29"/>
      <c r="F140" s="22" t="str">
        <f>F14</f>
        <v xml:space="preserve"> </v>
      </c>
      <c r="G140" s="29"/>
      <c r="H140" s="29"/>
      <c r="I140" s="24" t="s">
        <v>19</v>
      </c>
      <c r="J140" s="55">
        <f>IF(J14="","",J14)</f>
        <v>45945</v>
      </c>
      <c r="K140" s="29"/>
      <c r="L140" s="42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</row>
    <row r="141" spans="1:31" s="2" customFormat="1" ht="6.95" customHeight="1">
      <c r="A141" s="29"/>
      <c r="B141" s="30"/>
      <c r="C141" s="29"/>
      <c r="D141" s="29"/>
      <c r="E141" s="29"/>
      <c r="F141" s="29"/>
      <c r="G141" s="29"/>
      <c r="H141" s="29"/>
      <c r="I141" s="29"/>
      <c r="J141" s="29"/>
      <c r="K141" s="29"/>
      <c r="L141" s="42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</row>
    <row r="142" spans="1:31" s="2" customFormat="1" ht="15.2" customHeight="1">
      <c r="A142" s="29"/>
      <c r="B142" s="30"/>
      <c r="C142" s="24" t="s">
        <v>20</v>
      </c>
      <c r="D142" s="29"/>
      <c r="E142" s="29"/>
      <c r="F142" s="22" t="str">
        <f>E17</f>
        <v xml:space="preserve"> </v>
      </c>
      <c r="G142" s="29"/>
      <c r="H142" s="29"/>
      <c r="I142" s="24" t="s">
        <v>25</v>
      </c>
      <c r="J142" s="27" t="str">
        <f>E23</f>
        <v xml:space="preserve"> </v>
      </c>
      <c r="K142" s="29"/>
      <c r="L142" s="42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</row>
    <row r="143" spans="1:31" s="2" customFormat="1" ht="15.2" customHeight="1">
      <c r="A143" s="29"/>
      <c r="B143" s="30"/>
      <c r="C143" s="24" t="s">
        <v>23</v>
      </c>
      <c r="D143" s="29"/>
      <c r="E143" s="29"/>
      <c r="F143" s="22" t="str">
        <f>IF(E20="","",E20)</f>
        <v>Vyplň údaj</v>
      </c>
      <c r="G143" s="29"/>
      <c r="H143" s="29"/>
      <c r="I143" s="24" t="s">
        <v>26</v>
      </c>
      <c r="J143" s="27" t="str">
        <f>E26</f>
        <v xml:space="preserve"> </v>
      </c>
      <c r="K143" s="29"/>
      <c r="L143" s="42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</row>
    <row r="144" spans="1:31" s="2" customFormat="1" ht="10.35" customHeight="1">
      <c r="A144" s="29"/>
      <c r="B144" s="30"/>
      <c r="C144" s="29"/>
      <c r="D144" s="29"/>
      <c r="E144" s="29"/>
      <c r="F144" s="29"/>
      <c r="G144" s="29"/>
      <c r="H144" s="29"/>
      <c r="I144" s="29"/>
      <c r="J144" s="29"/>
      <c r="K144" s="29"/>
      <c r="L144" s="42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</row>
    <row r="145" spans="1:65" s="11" customFormat="1" ht="29.25" customHeight="1">
      <c r="A145" s="128"/>
      <c r="B145" s="129"/>
      <c r="C145" s="130" t="s">
        <v>166</v>
      </c>
      <c r="D145" s="131" t="s">
        <v>54</v>
      </c>
      <c r="E145" s="131" t="s">
        <v>50</v>
      </c>
      <c r="F145" s="131" t="s">
        <v>51</v>
      </c>
      <c r="G145" s="131" t="s">
        <v>167</v>
      </c>
      <c r="H145" s="131" t="s">
        <v>168</v>
      </c>
      <c r="I145" s="131" t="s">
        <v>169</v>
      </c>
      <c r="J145" s="132" t="s">
        <v>136</v>
      </c>
      <c r="K145" s="133" t="s">
        <v>170</v>
      </c>
      <c r="L145" s="134"/>
      <c r="M145" s="62" t="s">
        <v>1</v>
      </c>
      <c r="N145" s="63" t="s">
        <v>33</v>
      </c>
      <c r="O145" s="63" t="s">
        <v>171</v>
      </c>
      <c r="P145" s="63" t="s">
        <v>172</v>
      </c>
      <c r="Q145" s="63" t="s">
        <v>173</v>
      </c>
      <c r="R145" s="63" t="s">
        <v>174</v>
      </c>
      <c r="S145" s="63" t="s">
        <v>175</v>
      </c>
      <c r="T145" s="64" t="s">
        <v>176</v>
      </c>
      <c r="U145" s="128"/>
      <c r="V145" s="128"/>
      <c r="W145" s="128"/>
      <c r="X145" s="128"/>
      <c r="Y145" s="128"/>
      <c r="Z145" s="128"/>
      <c r="AA145" s="128"/>
      <c r="AB145" s="128"/>
      <c r="AC145" s="128"/>
      <c r="AD145" s="128"/>
      <c r="AE145" s="128"/>
    </row>
    <row r="146" spans="1:65" s="2" customFormat="1" ht="22.9" customHeight="1">
      <c r="A146" s="29"/>
      <c r="B146" s="30"/>
      <c r="C146" s="69" t="s">
        <v>137</v>
      </c>
      <c r="D146" s="29"/>
      <c r="E146" s="29"/>
      <c r="F146" s="29"/>
      <c r="G146" s="29"/>
      <c r="H146" s="29"/>
      <c r="I146" s="29"/>
      <c r="J146" s="135">
        <v>0</v>
      </c>
      <c r="K146" s="29"/>
      <c r="L146" s="30"/>
      <c r="M146" s="65"/>
      <c r="N146" s="56"/>
      <c r="O146" s="66"/>
      <c r="P146" s="136">
        <f>P147+P511+P899</f>
        <v>1.5326139999999999</v>
      </c>
      <c r="Q146" s="66"/>
      <c r="R146" s="136">
        <f>R147+R511+R899</f>
        <v>166.85176036816</v>
      </c>
      <c r="S146" s="66"/>
      <c r="T146" s="137">
        <f>T147+T511+T899</f>
        <v>71.321272000000008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T146" s="14" t="s">
        <v>68</v>
      </c>
      <c r="AU146" s="14" t="s">
        <v>138</v>
      </c>
      <c r="BK146" s="138">
        <f>BK147+BK511+BK899</f>
        <v>0</v>
      </c>
    </row>
    <row r="147" spans="1:65" s="12" customFormat="1" ht="25.9" customHeight="1">
      <c r="B147" s="139"/>
      <c r="D147" s="140" t="s">
        <v>68</v>
      </c>
      <c r="E147" s="141" t="s">
        <v>177</v>
      </c>
      <c r="F147" s="141" t="s">
        <v>178</v>
      </c>
      <c r="I147" s="142"/>
      <c r="J147" s="143">
        <v>0</v>
      </c>
      <c r="L147" s="139"/>
      <c r="M147" s="144"/>
      <c r="N147" s="145"/>
      <c r="O147" s="145"/>
      <c r="P147" s="146">
        <f>P148+P159+P169+P212+P223+P236+P342+P509</f>
        <v>0</v>
      </c>
      <c r="Q147" s="145"/>
      <c r="R147" s="146">
        <f>R148+R159+R169+R212+R223+R236+R342+R509</f>
        <v>158.49015184818001</v>
      </c>
      <c r="S147" s="145"/>
      <c r="T147" s="147">
        <f>T148+T159+T169+T212+T223+T236+T342+T509</f>
        <v>65.100670000000008</v>
      </c>
      <c r="AR147" s="140" t="s">
        <v>76</v>
      </c>
      <c r="AT147" s="148" t="s">
        <v>68</v>
      </c>
      <c r="AU147" s="148" t="s">
        <v>69</v>
      </c>
      <c r="AY147" s="140" t="s">
        <v>179</v>
      </c>
      <c r="BK147" s="149">
        <f>BK148+BK159+BK169+BK212+BK223+BK236+BK342+BK509</f>
        <v>0</v>
      </c>
    </row>
    <row r="148" spans="1:65" s="12" customFormat="1" ht="22.9" customHeight="1">
      <c r="B148" s="139"/>
      <c r="D148" s="140" t="s">
        <v>68</v>
      </c>
      <c r="E148" s="150" t="s">
        <v>76</v>
      </c>
      <c r="F148" s="150" t="s">
        <v>180</v>
      </c>
      <c r="I148" s="142"/>
      <c r="J148" s="151">
        <v>0</v>
      </c>
      <c r="L148" s="139"/>
      <c r="M148" s="144"/>
      <c r="N148" s="145"/>
      <c r="O148" s="145"/>
      <c r="P148" s="146">
        <f>SUM(P149:P156)</f>
        <v>0</v>
      </c>
      <c r="Q148" s="145"/>
      <c r="R148" s="146">
        <f>SUM(R149:R156)</f>
        <v>0</v>
      </c>
      <c r="S148" s="145"/>
      <c r="T148" s="147">
        <f>SUM(T149:T156)</f>
        <v>11.032499999999999</v>
      </c>
      <c r="AR148" s="140" t="s">
        <v>76</v>
      </c>
      <c r="AT148" s="148" t="s">
        <v>68</v>
      </c>
      <c r="AU148" s="148" t="s">
        <v>76</v>
      </c>
      <c r="AY148" s="140" t="s">
        <v>179</v>
      </c>
      <c r="BK148" s="149">
        <f>SUM(BK149:BK156)</f>
        <v>0</v>
      </c>
    </row>
    <row r="149" spans="1:65" s="2" customFormat="1" ht="33" customHeight="1">
      <c r="A149" s="29"/>
      <c r="B149" s="152"/>
      <c r="C149" s="153" t="s">
        <v>76</v>
      </c>
      <c r="D149" s="153" t="s">
        <v>181</v>
      </c>
      <c r="E149" s="154" t="s">
        <v>182</v>
      </c>
      <c r="F149" s="155" t="s">
        <v>183</v>
      </c>
      <c r="G149" s="156" t="s">
        <v>184</v>
      </c>
      <c r="H149" s="157">
        <v>22.9</v>
      </c>
      <c r="I149" s="158"/>
      <c r="J149" s="159">
        <v>0</v>
      </c>
      <c r="K149" s="160"/>
      <c r="L149" s="30"/>
      <c r="M149" s="161" t="s">
        <v>1</v>
      </c>
      <c r="N149" s="162" t="s">
        <v>35</v>
      </c>
      <c r="O149" s="58"/>
      <c r="P149" s="163">
        <f>O149*H149</f>
        <v>0</v>
      </c>
      <c r="Q149" s="163">
        <v>0</v>
      </c>
      <c r="R149" s="163">
        <f>Q149*H149</f>
        <v>0</v>
      </c>
      <c r="S149" s="163">
        <v>0.22500000000000001</v>
      </c>
      <c r="T149" s="164">
        <f>S149*H149</f>
        <v>5.1524999999999999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5" t="s">
        <v>185</v>
      </c>
      <c r="AT149" s="165" t="s">
        <v>181</v>
      </c>
      <c r="AU149" s="165" t="s">
        <v>82</v>
      </c>
      <c r="AY149" s="14" t="s">
        <v>179</v>
      </c>
      <c r="BE149" s="166">
        <f>IF(N149="základná",J149,0)</f>
        <v>0</v>
      </c>
      <c r="BF149" s="166">
        <f>IF(N149="znížená",J149,0)</f>
        <v>0</v>
      </c>
      <c r="BG149" s="166">
        <f>IF(N149="zákl. prenesená",J149,0)</f>
        <v>0</v>
      </c>
      <c r="BH149" s="166">
        <f>IF(N149="zníž. prenesená",J149,0)</f>
        <v>0</v>
      </c>
      <c r="BI149" s="166">
        <f>IF(N149="nulová",J149,0)</f>
        <v>0</v>
      </c>
      <c r="BJ149" s="14" t="s">
        <v>82</v>
      </c>
      <c r="BK149" s="166">
        <f>ROUND(I149*H149,2)</f>
        <v>0</v>
      </c>
      <c r="BL149" s="14" t="s">
        <v>185</v>
      </c>
      <c r="BM149" s="165" t="s">
        <v>82</v>
      </c>
    </row>
    <row r="150" spans="1:65" s="2" customFormat="1" ht="22.5">
      <c r="A150" s="29"/>
      <c r="B150" s="152"/>
      <c r="C150" s="153"/>
      <c r="D150" s="153"/>
      <c r="E150" s="154"/>
      <c r="F150" s="184" t="s">
        <v>2981</v>
      </c>
      <c r="G150" s="185"/>
      <c r="H150" s="186">
        <f>ROUND((5.3+14.3)*0.6,2)</f>
        <v>11.76</v>
      </c>
      <c r="I150" s="194"/>
      <c r="J150" s="159"/>
      <c r="K150" s="160"/>
      <c r="L150" s="30"/>
      <c r="M150" s="161"/>
      <c r="N150" s="162"/>
      <c r="O150" s="58"/>
      <c r="P150" s="163"/>
      <c r="Q150" s="163"/>
      <c r="R150" s="163"/>
      <c r="S150" s="163"/>
      <c r="T150" s="164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5"/>
      <c r="AT150" s="165"/>
      <c r="AU150" s="165"/>
      <c r="AY150" s="14"/>
      <c r="BE150" s="166"/>
      <c r="BF150" s="166"/>
      <c r="BG150" s="166"/>
      <c r="BH150" s="166"/>
      <c r="BI150" s="166"/>
      <c r="BJ150" s="14"/>
      <c r="BK150" s="166"/>
      <c r="BL150" s="14"/>
      <c r="BM150" s="165"/>
    </row>
    <row r="151" spans="1:65" s="2" customFormat="1" ht="22.5">
      <c r="A151" s="29"/>
      <c r="B151" s="152"/>
      <c r="C151" s="153"/>
      <c r="D151" s="153"/>
      <c r="E151" s="154"/>
      <c r="F151" s="184" t="s">
        <v>2982</v>
      </c>
      <c r="G151" s="185"/>
      <c r="H151" s="186">
        <f>ROUND(3.8*0.6+10.245*0.725+1.3*1.1,2)</f>
        <v>11.14</v>
      </c>
      <c r="I151" s="194"/>
      <c r="J151" s="159"/>
      <c r="K151" s="160"/>
      <c r="L151" s="30"/>
      <c r="M151" s="161"/>
      <c r="N151" s="162"/>
      <c r="O151" s="58"/>
      <c r="P151" s="163"/>
      <c r="Q151" s="163"/>
      <c r="R151" s="163"/>
      <c r="S151" s="163"/>
      <c r="T151" s="164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5"/>
      <c r="AT151" s="165"/>
      <c r="AU151" s="165"/>
      <c r="AY151" s="14"/>
      <c r="BE151" s="166"/>
      <c r="BF151" s="166"/>
      <c r="BG151" s="166"/>
      <c r="BH151" s="166"/>
      <c r="BI151" s="166"/>
      <c r="BJ151" s="14"/>
      <c r="BK151" s="166"/>
      <c r="BL151" s="14"/>
      <c r="BM151" s="165"/>
    </row>
    <row r="152" spans="1:65" s="2" customFormat="1" ht="12">
      <c r="A152" s="29"/>
      <c r="B152" s="152"/>
      <c r="C152" s="153"/>
      <c r="D152" s="153"/>
      <c r="E152" s="154"/>
      <c r="F152" s="187" t="s">
        <v>2983</v>
      </c>
      <c r="G152" s="188"/>
      <c r="H152" s="189">
        <f>SUM(H150:H151)</f>
        <v>22.9</v>
      </c>
      <c r="I152" s="194"/>
      <c r="J152" s="159"/>
      <c r="K152" s="160"/>
      <c r="L152" s="30"/>
      <c r="M152" s="161"/>
      <c r="N152" s="162"/>
      <c r="O152" s="58"/>
      <c r="P152" s="163"/>
      <c r="Q152" s="163"/>
      <c r="R152" s="163"/>
      <c r="S152" s="163"/>
      <c r="T152" s="164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5"/>
      <c r="AT152" s="165"/>
      <c r="AU152" s="165"/>
      <c r="AY152" s="14"/>
      <c r="BE152" s="166"/>
      <c r="BF152" s="166"/>
      <c r="BG152" s="166"/>
      <c r="BH152" s="166"/>
      <c r="BI152" s="166"/>
      <c r="BJ152" s="14"/>
      <c r="BK152" s="166"/>
      <c r="BL152" s="14"/>
      <c r="BM152" s="165"/>
    </row>
    <row r="153" spans="1:65" s="2" customFormat="1" ht="33" customHeight="1">
      <c r="A153" s="29"/>
      <c r="B153" s="152"/>
      <c r="C153" s="153" t="s">
        <v>82</v>
      </c>
      <c r="D153" s="153" t="s">
        <v>181</v>
      </c>
      <c r="E153" s="154" t="s">
        <v>186</v>
      </c>
      <c r="F153" s="155" t="s">
        <v>187</v>
      </c>
      <c r="G153" s="156" t="s">
        <v>184</v>
      </c>
      <c r="H153" s="157">
        <v>11.76</v>
      </c>
      <c r="I153" s="158"/>
      <c r="J153" s="159">
        <v>0</v>
      </c>
      <c r="K153" s="160"/>
      <c r="L153" s="30"/>
      <c r="M153" s="161" t="s">
        <v>1</v>
      </c>
      <c r="N153" s="162" t="s">
        <v>35</v>
      </c>
      <c r="O153" s="58"/>
      <c r="P153" s="163">
        <f>O153*H153</f>
        <v>0</v>
      </c>
      <c r="Q153" s="163">
        <v>0</v>
      </c>
      <c r="R153" s="163">
        <f>Q153*H153</f>
        <v>0</v>
      </c>
      <c r="S153" s="163">
        <v>0.5</v>
      </c>
      <c r="T153" s="164">
        <f>S153*H153</f>
        <v>5.88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5" t="s">
        <v>185</v>
      </c>
      <c r="AT153" s="165" t="s">
        <v>181</v>
      </c>
      <c r="AU153" s="165" t="s">
        <v>82</v>
      </c>
      <c r="AY153" s="14" t="s">
        <v>179</v>
      </c>
      <c r="BE153" s="166">
        <f>IF(N153="základná",J153,0)</f>
        <v>0</v>
      </c>
      <c r="BF153" s="166">
        <f>IF(N153="znížená",J153,0)</f>
        <v>0</v>
      </c>
      <c r="BG153" s="166">
        <f>IF(N153="zákl. prenesená",J153,0)</f>
        <v>0</v>
      </c>
      <c r="BH153" s="166">
        <f>IF(N153="zníž. prenesená",J153,0)</f>
        <v>0</v>
      </c>
      <c r="BI153" s="166">
        <f>IF(N153="nulová",J153,0)</f>
        <v>0</v>
      </c>
      <c r="BJ153" s="14" t="s">
        <v>82</v>
      </c>
      <c r="BK153" s="166">
        <f>ROUND(I153*H153,2)</f>
        <v>0</v>
      </c>
      <c r="BL153" s="14" t="s">
        <v>185</v>
      </c>
      <c r="BM153" s="165" t="s">
        <v>185</v>
      </c>
    </row>
    <row r="154" spans="1:65" s="2" customFormat="1" ht="22.5">
      <c r="A154" s="29"/>
      <c r="B154" s="152"/>
      <c r="C154" s="153"/>
      <c r="D154" s="153"/>
      <c r="E154" s="154"/>
      <c r="F154" s="184" t="s">
        <v>2984</v>
      </c>
      <c r="G154" s="185"/>
      <c r="H154" s="186">
        <f>ROUND((5.3+14.3)*0.6,2)</f>
        <v>11.76</v>
      </c>
      <c r="I154" s="194"/>
      <c r="J154" s="159"/>
      <c r="K154" s="160"/>
      <c r="L154" s="30"/>
      <c r="M154" s="161"/>
      <c r="N154" s="162"/>
      <c r="O154" s="58"/>
      <c r="P154" s="163"/>
      <c r="Q154" s="163"/>
      <c r="R154" s="163"/>
      <c r="S154" s="163"/>
      <c r="T154" s="164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5"/>
      <c r="AT154" s="165"/>
      <c r="AU154" s="165"/>
      <c r="AY154" s="14"/>
      <c r="BE154" s="166"/>
      <c r="BF154" s="166"/>
      <c r="BG154" s="166"/>
      <c r="BH154" s="166"/>
      <c r="BI154" s="166"/>
      <c r="BJ154" s="14"/>
      <c r="BK154" s="166"/>
      <c r="BL154" s="14"/>
      <c r="BM154" s="165"/>
    </row>
    <row r="155" spans="1:65" s="2" customFormat="1" ht="12">
      <c r="A155" s="29"/>
      <c r="B155" s="152"/>
      <c r="C155" s="153"/>
      <c r="D155" s="153"/>
      <c r="E155" s="154"/>
      <c r="F155" s="187" t="s">
        <v>2983</v>
      </c>
      <c r="G155" s="188"/>
      <c r="H155" s="189">
        <f>SUM(H154:H154)</f>
        <v>11.76</v>
      </c>
      <c r="I155" s="194"/>
      <c r="J155" s="159"/>
      <c r="K155" s="160"/>
      <c r="L155" s="30"/>
      <c r="M155" s="161"/>
      <c r="N155" s="162"/>
      <c r="O155" s="58"/>
      <c r="P155" s="163"/>
      <c r="Q155" s="163"/>
      <c r="R155" s="163"/>
      <c r="S155" s="163"/>
      <c r="T155" s="164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5"/>
      <c r="AT155" s="165"/>
      <c r="AU155" s="165"/>
      <c r="AY155" s="14"/>
      <c r="BE155" s="166"/>
      <c r="BF155" s="166"/>
      <c r="BG155" s="166"/>
      <c r="BH155" s="166"/>
      <c r="BI155" s="166"/>
      <c r="BJ155" s="14"/>
      <c r="BK155" s="166"/>
      <c r="BL155" s="14"/>
      <c r="BM155" s="165"/>
    </row>
    <row r="156" spans="1:65" s="2" customFormat="1" ht="24.2" customHeight="1">
      <c r="A156" s="29"/>
      <c r="B156" s="152"/>
      <c r="C156" s="153" t="s">
        <v>188</v>
      </c>
      <c r="D156" s="153" t="s">
        <v>181</v>
      </c>
      <c r="E156" s="154" t="s">
        <v>189</v>
      </c>
      <c r="F156" s="155" t="s">
        <v>190</v>
      </c>
      <c r="G156" s="156" t="s">
        <v>191</v>
      </c>
      <c r="H156" s="157">
        <v>5.88</v>
      </c>
      <c r="I156" s="158"/>
      <c r="J156" s="159">
        <v>0</v>
      </c>
      <c r="K156" s="160"/>
      <c r="L156" s="30"/>
      <c r="M156" s="161" t="s">
        <v>1</v>
      </c>
      <c r="N156" s="162" t="s">
        <v>35</v>
      </c>
      <c r="O156" s="58"/>
      <c r="P156" s="163">
        <f>O156*H156</f>
        <v>0</v>
      </c>
      <c r="Q156" s="163">
        <v>0</v>
      </c>
      <c r="R156" s="163">
        <f>Q156*H156</f>
        <v>0</v>
      </c>
      <c r="S156" s="163">
        <v>0</v>
      </c>
      <c r="T156" s="164">
        <f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5" t="s">
        <v>185</v>
      </c>
      <c r="AT156" s="165" t="s">
        <v>181</v>
      </c>
      <c r="AU156" s="165" t="s">
        <v>82</v>
      </c>
      <c r="AY156" s="14" t="s">
        <v>179</v>
      </c>
      <c r="BE156" s="166">
        <f>IF(N156="základná",J156,0)</f>
        <v>0</v>
      </c>
      <c r="BF156" s="166">
        <f>IF(N156="znížená",J156,0)</f>
        <v>0</v>
      </c>
      <c r="BG156" s="166">
        <f>IF(N156="zákl. prenesená",J156,0)</f>
        <v>0</v>
      </c>
      <c r="BH156" s="166">
        <f>IF(N156="zníž. prenesená",J156,0)</f>
        <v>0</v>
      </c>
      <c r="BI156" s="166">
        <f>IF(N156="nulová",J156,0)</f>
        <v>0</v>
      </c>
      <c r="BJ156" s="14" t="s">
        <v>82</v>
      </c>
      <c r="BK156" s="166">
        <f>ROUND(I156*H156,2)</f>
        <v>0</v>
      </c>
      <c r="BL156" s="14" t="s">
        <v>185</v>
      </c>
      <c r="BM156" s="165" t="s">
        <v>192</v>
      </c>
    </row>
    <row r="157" spans="1:65" s="2" customFormat="1" ht="12">
      <c r="A157" s="29"/>
      <c r="B157" s="152"/>
      <c r="C157" s="153"/>
      <c r="D157" s="153"/>
      <c r="E157" s="154"/>
      <c r="F157" s="184" t="s">
        <v>2985</v>
      </c>
      <c r="G157" s="185"/>
      <c r="H157" s="186">
        <f>ROUND(11.76*0.5,2)</f>
        <v>5.88</v>
      </c>
      <c r="I157" s="194"/>
      <c r="J157" s="159"/>
      <c r="K157" s="160"/>
      <c r="L157" s="30"/>
      <c r="M157" s="161"/>
      <c r="N157" s="162"/>
      <c r="O157" s="58"/>
      <c r="P157" s="163"/>
      <c r="Q157" s="163"/>
      <c r="R157" s="163"/>
      <c r="S157" s="163"/>
      <c r="T157" s="164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5"/>
      <c r="AT157" s="165"/>
      <c r="AU157" s="165"/>
      <c r="AY157" s="14"/>
      <c r="BE157" s="166"/>
      <c r="BF157" s="166"/>
      <c r="BG157" s="166"/>
      <c r="BH157" s="166"/>
      <c r="BI157" s="166"/>
      <c r="BJ157" s="14"/>
      <c r="BK157" s="166"/>
      <c r="BL157" s="14"/>
      <c r="BM157" s="165"/>
    </row>
    <row r="158" spans="1:65" s="2" customFormat="1" ht="12">
      <c r="A158" s="29"/>
      <c r="B158" s="152"/>
      <c r="C158" s="153"/>
      <c r="D158" s="153"/>
      <c r="E158" s="154"/>
      <c r="F158" s="187" t="s">
        <v>2983</v>
      </c>
      <c r="G158" s="188"/>
      <c r="H158" s="189">
        <f>SUM(H157:H157)</f>
        <v>5.88</v>
      </c>
      <c r="I158" s="194"/>
      <c r="J158" s="159"/>
      <c r="K158" s="160"/>
      <c r="L158" s="30"/>
      <c r="M158" s="161"/>
      <c r="N158" s="162"/>
      <c r="O158" s="58"/>
      <c r="P158" s="163"/>
      <c r="Q158" s="163"/>
      <c r="R158" s="163"/>
      <c r="S158" s="163"/>
      <c r="T158" s="164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5"/>
      <c r="AT158" s="165"/>
      <c r="AU158" s="165"/>
      <c r="AY158" s="14"/>
      <c r="BE158" s="166"/>
      <c r="BF158" s="166"/>
      <c r="BG158" s="166"/>
      <c r="BH158" s="166"/>
      <c r="BI158" s="166"/>
      <c r="BJ158" s="14"/>
      <c r="BK158" s="166"/>
      <c r="BL158" s="14"/>
      <c r="BM158" s="165"/>
    </row>
    <row r="159" spans="1:65" s="12" customFormat="1" ht="22.9" customHeight="1">
      <c r="B159" s="139"/>
      <c r="D159" s="140" t="s">
        <v>68</v>
      </c>
      <c r="E159" s="150" t="s">
        <v>82</v>
      </c>
      <c r="F159" s="150" t="s">
        <v>193</v>
      </c>
      <c r="I159" s="142"/>
      <c r="J159" s="151">
        <v>0</v>
      </c>
      <c r="L159" s="139"/>
      <c r="M159" s="144"/>
      <c r="N159" s="145"/>
      <c r="O159" s="145"/>
      <c r="P159" s="146">
        <f>SUM(P160:P166)</f>
        <v>0</v>
      </c>
      <c r="Q159" s="145"/>
      <c r="R159" s="146">
        <f>SUM(R160:R166)</f>
        <v>1.997021387</v>
      </c>
      <c r="S159" s="145"/>
      <c r="T159" s="147">
        <f>SUM(T160:T166)</f>
        <v>0</v>
      </c>
      <c r="AR159" s="140" t="s">
        <v>76</v>
      </c>
      <c r="AT159" s="148" t="s">
        <v>68</v>
      </c>
      <c r="AU159" s="148" t="s">
        <v>76</v>
      </c>
      <c r="AY159" s="140" t="s">
        <v>179</v>
      </c>
      <c r="BK159" s="149">
        <f>SUM(BK160:BK166)</f>
        <v>0</v>
      </c>
    </row>
    <row r="160" spans="1:65" s="2" customFormat="1" ht="24.2" customHeight="1">
      <c r="A160" s="29"/>
      <c r="B160" s="152"/>
      <c r="C160" s="153" t="s">
        <v>185</v>
      </c>
      <c r="D160" s="153" t="s">
        <v>181</v>
      </c>
      <c r="E160" s="154" t="s">
        <v>194</v>
      </c>
      <c r="F160" s="155" t="s">
        <v>195</v>
      </c>
      <c r="G160" s="156" t="s">
        <v>196</v>
      </c>
      <c r="H160" s="157">
        <v>0.91</v>
      </c>
      <c r="I160" s="158"/>
      <c r="J160" s="159">
        <v>0</v>
      </c>
      <c r="K160" s="160"/>
      <c r="L160" s="30"/>
      <c r="M160" s="161" t="s">
        <v>1</v>
      </c>
      <c r="N160" s="162" t="s">
        <v>35</v>
      </c>
      <c r="O160" s="58"/>
      <c r="P160" s="163">
        <f>O160*H160</f>
        <v>0</v>
      </c>
      <c r="Q160" s="163">
        <v>2.1940757</v>
      </c>
      <c r="R160" s="163">
        <f>Q160*H160</f>
        <v>1.9966088870000001</v>
      </c>
      <c r="S160" s="163">
        <v>0</v>
      </c>
      <c r="T160" s="164">
        <f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5" t="s">
        <v>185</v>
      </c>
      <c r="AT160" s="165" t="s">
        <v>181</v>
      </c>
      <c r="AU160" s="165" t="s">
        <v>82</v>
      </c>
      <c r="AY160" s="14" t="s">
        <v>179</v>
      </c>
      <c r="BE160" s="166">
        <f>IF(N160="základná",J160,0)</f>
        <v>0</v>
      </c>
      <c r="BF160" s="166">
        <f>IF(N160="znížená",J160,0)</f>
        <v>0</v>
      </c>
      <c r="BG160" s="166">
        <f>IF(N160="zákl. prenesená",J160,0)</f>
        <v>0</v>
      </c>
      <c r="BH160" s="166">
        <f>IF(N160="zníž. prenesená",J160,0)</f>
        <v>0</v>
      </c>
      <c r="BI160" s="166">
        <f>IF(N160="nulová",J160,0)</f>
        <v>0</v>
      </c>
      <c r="BJ160" s="14" t="s">
        <v>82</v>
      </c>
      <c r="BK160" s="166">
        <f>ROUND(I160*H160,2)</f>
        <v>0</v>
      </c>
      <c r="BL160" s="14" t="s">
        <v>185</v>
      </c>
      <c r="BM160" s="165" t="s">
        <v>197</v>
      </c>
    </row>
    <row r="161" spans="1:65" s="2" customFormat="1" ht="22.5">
      <c r="A161" s="29"/>
      <c r="B161" s="152"/>
      <c r="C161" s="153"/>
      <c r="D161" s="153"/>
      <c r="E161" s="154"/>
      <c r="F161" s="184" t="s">
        <v>2986</v>
      </c>
      <c r="G161" s="185"/>
      <c r="H161" s="186">
        <f>ROUND((3.5*0.3+10.56*0.4+1*0.8)*0.15,2)</f>
        <v>0.91</v>
      </c>
      <c r="I161" s="194"/>
      <c r="J161" s="159"/>
      <c r="K161" s="160"/>
      <c r="L161" s="30"/>
      <c r="M161" s="161"/>
      <c r="N161" s="162"/>
      <c r="O161" s="58"/>
      <c r="P161" s="163"/>
      <c r="Q161" s="163"/>
      <c r="R161" s="163"/>
      <c r="S161" s="163"/>
      <c r="T161" s="164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5"/>
      <c r="AT161" s="165"/>
      <c r="AU161" s="165"/>
      <c r="AY161" s="14"/>
      <c r="BE161" s="166"/>
      <c r="BF161" s="166"/>
      <c r="BG161" s="166"/>
      <c r="BH161" s="166"/>
      <c r="BI161" s="166"/>
      <c r="BJ161" s="14"/>
      <c r="BK161" s="166"/>
      <c r="BL161" s="14"/>
      <c r="BM161" s="165"/>
    </row>
    <row r="162" spans="1:65" s="2" customFormat="1" ht="12">
      <c r="A162" s="29"/>
      <c r="B162" s="152"/>
      <c r="C162" s="153"/>
      <c r="D162" s="153"/>
      <c r="E162" s="154"/>
      <c r="F162" s="187" t="s">
        <v>2983</v>
      </c>
      <c r="G162" s="188"/>
      <c r="H162" s="189">
        <f>SUM(H161:H161)</f>
        <v>0.91</v>
      </c>
      <c r="I162" s="194"/>
      <c r="J162" s="159"/>
      <c r="K162" s="160"/>
      <c r="L162" s="30"/>
      <c r="M162" s="161"/>
      <c r="N162" s="162"/>
      <c r="O162" s="58"/>
      <c r="P162" s="163"/>
      <c r="Q162" s="163"/>
      <c r="R162" s="163"/>
      <c r="S162" s="163"/>
      <c r="T162" s="164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5"/>
      <c r="AT162" s="165"/>
      <c r="AU162" s="165"/>
      <c r="AY162" s="14"/>
      <c r="BE162" s="166"/>
      <c r="BF162" s="166"/>
      <c r="BG162" s="166"/>
      <c r="BH162" s="166"/>
      <c r="BI162" s="166"/>
      <c r="BJ162" s="14"/>
      <c r="BK162" s="166"/>
      <c r="BL162" s="14"/>
      <c r="BM162" s="165"/>
    </row>
    <row r="163" spans="1:65" s="2" customFormat="1" ht="24.2" customHeight="1">
      <c r="A163" s="29"/>
      <c r="B163" s="152"/>
      <c r="C163" s="153" t="s">
        <v>198</v>
      </c>
      <c r="D163" s="153" t="s">
        <v>181</v>
      </c>
      <c r="E163" s="154" t="s">
        <v>199</v>
      </c>
      <c r="F163" s="155" t="s">
        <v>200</v>
      </c>
      <c r="G163" s="156" t="s">
        <v>184</v>
      </c>
      <c r="H163" s="157">
        <v>12.5</v>
      </c>
      <c r="I163" s="158"/>
      <c r="J163" s="159">
        <v>0</v>
      </c>
      <c r="K163" s="160"/>
      <c r="L163" s="30"/>
      <c r="M163" s="161" t="s">
        <v>1</v>
      </c>
      <c r="N163" s="162" t="s">
        <v>35</v>
      </c>
      <c r="O163" s="58"/>
      <c r="P163" s="163">
        <f>O163*H163</f>
        <v>0</v>
      </c>
      <c r="Q163" s="163">
        <v>3.3000000000000003E-5</v>
      </c>
      <c r="R163" s="163">
        <f>Q163*H163</f>
        <v>4.1250000000000005E-4</v>
      </c>
      <c r="S163" s="163">
        <v>0</v>
      </c>
      <c r="T163" s="164">
        <f>S163*H163</f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5" t="s">
        <v>185</v>
      </c>
      <c r="AT163" s="165" t="s">
        <v>181</v>
      </c>
      <c r="AU163" s="165" t="s">
        <v>82</v>
      </c>
      <c r="AY163" s="14" t="s">
        <v>179</v>
      </c>
      <c r="BE163" s="166">
        <f>IF(N163="základná",J163,0)</f>
        <v>0</v>
      </c>
      <c r="BF163" s="166">
        <f>IF(N163="znížená",J163,0)</f>
        <v>0</v>
      </c>
      <c r="BG163" s="166">
        <f>IF(N163="zákl. prenesená",J163,0)</f>
        <v>0</v>
      </c>
      <c r="BH163" s="166">
        <f>IF(N163="zníž. prenesená",J163,0)</f>
        <v>0</v>
      </c>
      <c r="BI163" s="166">
        <f>IF(N163="nulová",J163,0)</f>
        <v>0</v>
      </c>
      <c r="BJ163" s="14" t="s">
        <v>82</v>
      </c>
      <c r="BK163" s="166">
        <f>ROUND(I163*H163,2)</f>
        <v>0</v>
      </c>
      <c r="BL163" s="14" t="s">
        <v>185</v>
      </c>
      <c r="BM163" s="165" t="s">
        <v>201</v>
      </c>
    </row>
    <row r="164" spans="1:65" s="2" customFormat="1" ht="12">
      <c r="A164" s="29"/>
      <c r="B164" s="152"/>
      <c r="C164" s="153"/>
      <c r="D164" s="153"/>
      <c r="E164" s="154"/>
      <c r="F164" s="184" t="s">
        <v>2987</v>
      </c>
      <c r="G164" s="185"/>
      <c r="H164" s="186">
        <f>ROUNDUP((5.3+4.84+7.64)*0.7,1)</f>
        <v>12.5</v>
      </c>
      <c r="I164" s="194"/>
      <c r="J164" s="159"/>
      <c r="K164" s="160"/>
      <c r="L164" s="30"/>
      <c r="M164" s="161"/>
      <c r="N164" s="162"/>
      <c r="O164" s="58"/>
      <c r="P164" s="163"/>
      <c r="Q164" s="163"/>
      <c r="R164" s="163"/>
      <c r="S164" s="163"/>
      <c r="T164" s="164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5"/>
      <c r="AT164" s="165"/>
      <c r="AU164" s="165"/>
      <c r="AY164" s="14"/>
      <c r="BE164" s="166"/>
      <c r="BF164" s="166"/>
      <c r="BG164" s="166"/>
      <c r="BH164" s="166"/>
      <c r="BI164" s="166"/>
      <c r="BJ164" s="14"/>
      <c r="BK164" s="166"/>
      <c r="BL164" s="14"/>
      <c r="BM164" s="165"/>
    </row>
    <row r="165" spans="1:65" s="2" customFormat="1" ht="12">
      <c r="A165" s="29"/>
      <c r="B165" s="152"/>
      <c r="C165" s="153"/>
      <c r="D165" s="153"/>
      <c r="E165" s="154"/>
      <c r="F165" s="187" t="s">
        <v>2983</v>
      </c>
      <c r="G165" s="188"/>
      <c r="H165" s="189">
        <f>SUM(H164:H164)</f>
        <v>12.5</v>
      </c>
      <c r="I165" s="194"/>
      <c r="J165" s="159"/>
      <c r="K165" s="160"/>
      <c r="L165" s="30"/>
      <c r="M165" s="161"/>
      <c r="N165" s="162"/>
      <c r="O165" s="58"/>
      <c r="P165" s="163"/>
      <c r="Q165" s="163"/>
      <c r="R165" s="163"/>
      <c r="S165" s="163"/>
      <c r="T165" s="164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5"/>
      <c r="AT165" s="165"/>
      <c r="AU165" s="165"/>
      <c r="AY165" s="14"/>
      <c r="BE165" s="166"/>
      <c r="BF165" s="166"/>
      <c r="BG165" s="166"/>
      <c r="BH165" s="166"/>
      <c r="BI165" s="166"/>
      <c r="BJ165" s="14"/>
      <c r="BK165" s="166"/>
      <c r="BL165" s="14"/>
      <c r="BM165" s="165"/>
    </row>
    <row r="166" spans="1:65" s="2" customFormat="1" ht="16.5" customHeight="1">
      <c r="A166" s="29"/>
      <c r="B166" s="152"/>
      <c r="C166" s="167" t="s">
        <v>192</v>
      </c>
      <c r="D166" s="167" t="s">
        <v>202</v>
      </c>
      <c r="E166" s="168" t="s">
        <v>203</v>
      </c>
      <c r="F166" s="169" t="s">
        <v>204</v>
      </c>
      <c r="G166" s="170" t="s">
        <v>184</v>
      </c>
      <c r="H166" s="171">
        <v>13.2</v>
      </c>
      <c r="I166" s="172"/>
      <c r="J166" s="173">
        <v>0</v>
      </c>
      <c r="K166" s="174"/>
      <c r="L166" s="175"/>
      <c r="M166" s="176" t="s">
        <v>1</v>
      </c>
      <c r="N166" s="177" t="s">
        <v>35</v>
      </c>
      <c r="O166" s="58"/>
      <c r="P166" s="163">
        <f>O166*H166</f>
        <v>0</v>
      </c>
      <c r="Q166" s="163">
        <v>0</v>
      </c>
      <c r="R166" s="163">
        <f>Q166*H166</f>
        <v>0</v>
      </c>
      <c r="S166" s="163">
        <v>0</v>
      </c>
      <c r="T166" s="164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5" t="s">
        <v>197</v>
      </c>
      <c r="AT166" s="165" t="s">
        <v>202</v>
      </c>
      <c r="AU166" s="165" t="s">
        <v>82</v>
      </c>
      <c r="AY166" s="14" t="s">
        <v>179</v>
      </c>
      <c r="BE166" s="166">
        <f>IF(N166="základná",J166,0)</f>
        <v>0</v>
      </c>
      <c r="BF166" s="166">
        <f>IF(N166="znížená",J166,0)</f>
        <v>0</v>
      </c>
      <c r="BG166" s="166">
        <f>IF(N166="zákl. prenesená",J166,0)</f>
        <v>0</v>
      </c>
      <c r="BH166" s="166">
        <f>IF(N166="zníž. prenesená",J166,0)</f>
        <v>0</v>
      </c>
      <c r="BI166" s="166">
        <f>IF(N166="nulová",J166,0)</f>
        <v>0</v>
      </c>
      <c r="BJ166" s="14" t="s">
        <v>82</v>
      </c>
      <c r="BK166" s="166">
        <f>ROUND(I166*H166,2)</f>
        <v>0</v>
      </c>
      <c r="BL166" s="14" t="s">
        <v>185</v>
      </c>
      <c r="BM166" s="165" t="s">
        <v>205</v>
      </c>
    </row>
    <row r="167" spans="1:65" s="2" customFormat="1" ht="12">
      <c r="A167" s="29"/>
      <c r="B167" s="152"/>
      <c r="C167" s="153"/>
      <c r="D167" s="153"/>
      <c r="E167" s="154"/>
      <c r="F167" s="190" t="s">
        <v>2988</v>
      </c>
      <c r="G167" s="191"/>
      <c r="H167" s="192">
        <f>ROUNDUP(12.5*1.05,1)</f>
        <v>13.2</v>
      </c>
      <c r="I167" s="194"/>
      <c r="J167" s="159"/>
      <c r="K167" s="160"/>
      <c r="L167" s="30"/>
      <c r="M167" s="161"/>
      <c r="N167" s="162"/>
      <c r="O167" s="58"/>
      <c r="P167" s="163"/>
      <c r="Q167" s="163"/>
      <c r="R167" s="163"/>
      <c r="S167" s="163"/>
      <c r="T167" s="164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5"/>
      <c r="AT167" s="165"/>
      <c r="AU167" s="165"/>
      <c r="AY167" s="14"/>
      <c r="BE167" s="166"/>
      <c r="BF167" s="166"/>
      <c r="BG167" s="166"/>
      <c r="BH167" s="166"/>
      <c r="BI167" s="166"/>
      <c r="BJ167" s="14"/>
      <c r="BK167" s="166"/>
      <c r="BL167" s="14"/>
      <c r="BM167" s="165"/>
    </row>
    <row r="168" spans="1:65" s="2" customFormat="1" ht="12">
      <c r="A168" s="29"/>
      <c r="B168" s="152"/>
      <c r="C168" s="153"/>
      <c r="D168" s="153"/>
      <c r="E168" s="154"/>
      <c r="F168" s="187" t="s">
        <v>2983</v>
      </c>
      <c r="G168" s="188"/>
      <c r="H168" s="189">
        <f>SUM(H167:H167)</f>
        <v>13.2</v>
      </c>
      <c r="I168" s="194"/>
      <c r="J168" s="159"/>
      <c r="K168" s="160"/>
      <c r="L168" s="30"/>
      <c r="M168" s="161"/>
      <c r="N168" s="162"/>
      <c r="O168" s="58"/>
      <c r="P168" s="163"/>
      <c r="Q168" s="163"/>
      <c r="R168" s="163"/>
      <c r="S168" s="163"/>
      <c r="T168" s="164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5"/>
      <c r="AT168" s="165"/>
      <c r="AU168" s="165"/>
      <c r="AY168" s="14"/>
      <c r="BE168" s="166"/>
      <c r="BF168" s="166"/>
      <c r="BG168" s="166"/>
      <c r="BH168" s="166"/>
      <c r="BI168" s="166"/>
      <c r="BJ168" s="14"/>
      <c r="BK168" s="166"/>
      <c r="BL168" s="14"/>
      <c r="BM168" s="165"/>
    </row>
    <row r="169" spans="1:65" s="12" customFormat="1" ht="22.9" customHeight="1">
      <c r="B169" s="139"/>
      <c r="D169" s="140" t="s">
        <v>68</v>
      </c>
      <c r="E169" s="150" t="s">
        <v>188</v>
      </c>
      <c r="F169" s="150" t="s">
        <v>206</v>
      </c>
      <c r="I169" s="142"/>
      <c r="J169" s="151">
        <v>0</v>
      </c>
      <c r="L169" s="139"/>
      <c r="M169" s="144"/>
      <c r="N169" s="145"/>
      <c r="O169" s="145"/>
      <c r="P169" s="146">
        <f>SUM(P170:P206)</f>
        <v>0</v>
      </c>
      <c r="Q169" s="145"/>
      <c r="R169" s="146">
        <f>SUM(R170:R206)</f>
        <v>7.7074447200000016</v>
      </c>
      <c r="S169" s="145"/>
      <c r="T169" s="147">
        <f>SUM(T170:T206)</f>
        <v>0</v>
      </c>
      <c r="AR169" s="140" t="s">
        <v>76</v>
      </c>
      <c r="AT169" s="148" t="s">
        <v>68</v>
      </c>
      <c r="AU169" s="148" t="s">
        <v>76</v>
      </c>
      <c r="AY169" s="140" t="s">
        <v>179</v>
      </c>
      <c r="BK169" s="149">
        <f>SUM(BK170:BK206)</f>
        <v>0</v>
      </c>
    </row>
    <row r="170" spans="1:65" s="2" customFormat="1" ht="37.9" customHeight="1">
      <c r="A170" s="29"/>
      <c r="B170" s="152"/>
      <c r="C170" s="153" t="s">
        <v>207</v>
      </c>
      <c r="D170" s="153" t="s">
        <v>181</v>
      </c>
      <c r="E170" s="154" t="s">
        <v>208</v>
      </c>
      <c r="F170" s="155" t="s">
        <v>209</v>
      </c>
      <c r="G170" s="156" t="s">
        <v>196</v>
      </c>
      <c r="H170" s="157">
        <v>1.36</v>
      </c>
      <c r="I170" s="158"/>
      <c r="J170" s="159">
        <v>0</v>
      </c>
      <c r="K170" s="160"/>
      <c r="L170" s="30"/>
      <c r="M170" s="161" t="s">
        <v>1</v>
      </c>
      <c r="N170" s="162" t="s">
        <v>35</v>
      </c>
      <c r="O170" s="58"/>
      <c r="P170" s="163">
        <f t="shared" ref="P170:P206" si="0">O170*H170</f>
        <v>0</v>
      </c>
      <c r="Q170" s="163">
        <v>1.92736</v>
      </c>
      <c r="R170" s="163">
        <f t="shared" ref="R170:R206" si="1">Q170*H170</f>
        <v>2.6212096000000003</v>
      </c>
      <c r="S170" s="163">
        <v>0</v>
      </c>
      <c r="T170" s="164">
        <f t="shared" ref="T170:T206" si="2"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5" t="s">
        <v>185</v>
      </c>
      <c r="AT170" s="165" t="s">
        <v>181</v>
      </c>
      <c r="AU170" s="165" t="s">
        <v>82</v>
      </c>
      <c r="AY170" s="14" t="s">
        <v>179</v>
      </c>
      <c r="BE170" s="166">
        <f t="shared" ref="BE170:BE206" si="3">IF(N170="základná",J170,0)</f>
        <v>0</v>
      </c>
      <c r="BF170" s="166">
        <f t="shared" ref="BF170:BF206" si="4">IF(N170="znížená",J170,0)</f>
        <v>0</v>
      </c>
      <c r="BG170" s="166">
        <f t="shared" ref="BG170:BG206" si="5">IF(N170="zákl. prenesená",J170,0)</f>
        <v>0</v>
      </c>
      <c r="BH170" s="166">
        <f t="shared" ref="BH170:BH206" si="6">IF(N170="zníž. prenesená",J170,0)</f>
        <v>0</v>
      </c>
      <c r="BI170" s="166">
        <f t="shared" ref="BI170:BI206" si="7">IF(N170="nulová",J170,0)</f>
        <v>0</v>
      </c>
      <c r="BJ170" s="14" t="s">
        <v>82</v>
      </c>
      <c r="BK170" s="166">
        <f t="shared" ref="BK170:BK206" si="8">ROUND(I170*H170,2)</f>
        <v>0</v>
      </c>
      <c r="BL170" s="14" t="s">
        <v>185</v>
      </c>
      <c r="BM170" s="165" t="s">
        <v>210</v>
      </c>
    </row>
    <row r="171" spans="1:65" s="2" customFormat="1" ht="12">
      <c r="A171" s="29"/>
      <c r="B171" s="152"/>
      <c r="C171" s="153"/>
      <c r="D171" s="153"/>
      <c r="E171" s="154"/>
      <c r="F171" s="193" t="s">
        <v>2989</v>
      </c>
      <c r="G171" s="185"/>
      <c r="H171" s="192"/>
      <c r="I171" s="194"/>
      <c r="J171" s="159"/>
      <c r="K171" s="160"/>
      <c r="L171" s="30"/>
      <c r="M171" s="161"/>
      <c r="N171" s="162"/>
      <c r="O171" s="58"/>
      <c r="P171" s="163"/>
      <c r="Q171" s="163"/>
      <c r="R171" s="163"/>
      <c r="S171" s="163"/>
      <c r="T171" s="164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5"/>
      <c r="AT171" s="165"/>
      <c r="AU171" s="165"/>
      <c r="AY171" s="14"/>
      <c r="BE171" s="166"/>
      <c r="BF171" s="166"/>
      <c r="BG171" s="166"/>
      <c r="BH171" s="166"/>
      <c r="BI171" s="166"/>
      <c r="BJ171" s="14"/>
      <c r="BK171" s="166"/>
      <c r="BL171" s="14"/>
      <c r="BM171" s="165"/>
    </row>
    <row r="172" spans="1:65" s="2" customFormat="1" ht="12">
      <c r="A172" s="29"/>
      <c r="B172" s="152"/>
      <c r="C172" s="153"/>
      <c r="D172" s="153"/>
      <c r="E172" s="154"/>
      <c r="F172" s="184" t="s">
        <v>2990</v>
      </c>
      <c r="G172" s="185"/>
      <c r="H172" s="192">
        <f>ROUND((0.6*0.6+2*1.02*0.75+2*1*0.5)*0.3,2)</f>
        <v>0.87</v>
      </c>
      <c r="I172" s="194"/>
      <c r="J172" s="159"/>
      <c r="K172" s="160"/>
      <c r="L172" s="30"/>
      <c r="M172" s="161"/>
      <c r="N172" s="162"/>
      <c r="O172" s="58"/>
      <c r="P172" s="163"/>
      <c r="Q172" s="163"/>
      <c r="R172" s="163"/>
      <c r="S172" s="163"/>
      <c r="T172" s="164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5"/>
      <c r="AT172" s="165"/>
      <c r="AU172" s="165"/>
      <c r="AY172" s="14"/>
      <c r="BE172" s="166"/>
      <c r="BF172" s="166"/>
      <c r="BG172" s="166"/>
      <c r="BH172" s="166"/>
      <c r="BI172" s="166"/>
      <c r="BJ172" s="14"/>
      <c r="BK172" s="166"/>
      <c r="BL172" s="14"/>
      <c r="BM172" s="165"/>
    </row>
    <row r="173" spans="1:65" s="2" customFormat="1" ht="12">
      <c r="A173" s="29"/>
      <c r="B173" s="152"/>
      <c r="C173" s="153"/>
      <c r="D173" s="153"/>
      <c r="E173" s="154"/>
      <c r="F173" s="184" t="s">
        <v>2991</v>
      </c>
      <c r="G173" s="185"/>
      <c r="H173" s="186">
        <f>ROUND(3*1.2*0.25*0.3,2)</f>
        <v>0.27</v>
      </c>
      <c r="I173" s="194"/>
      <c r="J173" s="159"/>
      <c r="K173" s="160"/>
      <c r="L173" s="30"/>
      <c r="M173" s="161"/>
      <c r="N173" s="162"/>
      <c r="O173" s="58"/>
      <c r="P173" s="163"/>
      <c r="Q173" s="163"/>
      <c r="R173" s="163"/>
      <c r="S173" s="163"/>
      <c r="T173" s="164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5"/>
      <c r="AT173" s="165"/>
      <c r="AU173" s="165"/>
      <c r="AY173" s="14"/>
      <c r="BE173" s="166"/>
      <c r="BF173" s="166"/>
      <c r="BG173" s="166"/>
      <c r="BH173" s="166"/>
      <c r="BI173" s="166"/>
      <c r="BJ173" s="14"/>
      <c r="BK173" s="166"/>
      <c r="BL173" s="14"/>
      <c r="BM173" s="165"/>
    </row>
    <row r="174" spans="1:65" s="2" customFormat="1" ht="12">
      <c r="A174" s="29"/>
      <c r="B174" s="152"/>
      <c r="C174" s="153"/>
      <c r="D174" s="153"/>
      <c r="E174" s="154"/>
      <c r="F174" s="193" t="s">
        <v>2992</v>
      </c>
      <c r="G174" s="185"/>
      <c r="H174" s="192"/>
      <c r="I174" s="194"/>
      <c r="J174" s="159"/>
      <c r="K174" s="160"/>
      <c r="L174" s="30"/>
      <c r="M174" s="161"/>
      <c r="N174" s="162"/>
      <c r="O174" s="58"/>
      <c r="P174" s="163"/>
      <c r="Q174" s="163"/>
      <c r="R174" s="163"/>
      <c r="S174" s="163"/>
      <c r="T174" s="164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5"/>
      <c r="AT174" s="165"/>
      <c r="AU174" s="165"/>
      <c r="AY174" s="14"/>
      <c r="BE174" s="166"/>
      <c r="BF174" s="166"/>
      <c r="BG174" s="166"/>
      <c r="BH174" s="166"/>
      <c r="BI174" s="166"/>
      <c r="BJ174" s="14"/>
      <c r="BK174" s="166"/>
      <c r="BL174" s="14"/>
      <c r="BM174" s="165"/>
    </row>
    <row r="175" spans="1:65" s="2" customFormat="1" ht="12">
      <c r="A175" s="29"/>
      <c r="B175" s="152"/>
      <c r="C175" s="153"/>
      <c r="D175" s="153"/>
      <c r="E175" s="154"/>
      <c r="F175" s="184" t="s">
        <v>2993</v>
      </c>
      <c r="G175" s="185"/>
      <c r="H175" s="192">
        <f>ROUND(0.66*0.66*0.51,2)</f>
        <v>0.22</v>
      </c>
      <c r="I175" s="194"/>
      <c r="J175" s="159"/>
      <c r="K175" s="160"/>
      <c r="L175" s="30"/>
      <c r="M175" s="161"/>
      <c r="N175" s="162"/>
      <c r="O175" s="58"/>
      <c r="P175" s="163"/>
      <c r="Q175" s="163"/>
      <c r="R175" s="163"/>
      <c r="S175" s="163"/>
      <c r="T175" s="164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5"/>
      <c r="AT175" s="165"/>
      <c r="AU175" s="165"/>
      <c r="AY175" s="14"/>
      <c r="BE175" s="166"/>
      <c r="BF175" s="166"/>
      <c r="BG175" s="166"/>
      <c r="BH175" s="166"/>
      <c r="BI175" s="166"/>
      <c r="BJ175" s="14"/>
      <c r="BK175" s="166"/>
      <c r="BL175" s="14"/>
      <c r="BM175" s="165"/>
    </row>
    <row r="176" spans="1:65" s="2" customFormat="1" ht="12">
      <c r="A176" s="29"/>
      <c r="B176" s="152"/>
      <c r="C176" s="153"/>
      <c r="D176" s="153"/>
      <c r="E176" s="154"/>
      <c r="F176" s="187" t="s">
        <v>2983</v>
      </c>
      <c r="G176" s="188"/>
      <c r="H176" s="189">
        <f>SUM(H171:H175)</f>
        <v>1.36</v>
      </c>
      <c r="I176" s="194"/>
      <c r="J176" s="159"/>
      <c r="K176" s="160"/>
      <c r="L176" s="30"/>
      <c r="M176" s="161"/>
      <c r="N176" s="162"/>
      <c r="O176" s="58"/>
      <c r="P176" s="163"/>
      <c r="Q176" s="163"/>
      <c r="R176" s="163"/>
      <c r="S176" s="163"/>
      <c r="T176" s="164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5"/>
      <c r="AT176" s="165"/>
      <c r="AU176" s="165"/>
      <c r="AY176" s="14"/>
      <c r="BE176" s="166"/>
      <c r="BF176" s="166"/>
      <c r="BG176" s="166"/>
      <c r="BH176" s="166"/>
      <c r="BI176" s="166"/>
      <c r="BJ176" s="14"/>
      <c r="BK176" s="166"/>
      <c r="BL176" s="14"/>
      <c r="BM176" s="165"/>
    </row>
    <row r="177" spans="1:65" s="2" customFormat="1" ht="33" customHeight="1">
      <c r="A177" s="29"/>
      <c r="B177" s="152"/>
      <c r="C177" s="153" t="s">
        <v>197</v>
      </c>
      <c r="D177" s="153" t="s">
        <v>181</v>
      </c>
      <c r="E177" s="154" t="s">
        <v>211</v>
      </c>
      <c r="F177" s="155" t="s">
        <v>212</v>
      </c>
      <c r="G177" s="156" t="s">
        <v>196</v>
      </c>
      <c r="H177" s="157">
        <v>2.16</v>
      </c>
      <c r="I177" s="158"/>
      <c r="J177" s="159">
        <v>0</v>
      </c>
      <c r="K177" s="160"/>
      <c r="L177" s="30"/>
      <c r="M177" s="161" t="s">
        <v>1</v>
      </c>
      <c r="N177" s="162" t="s">
        <v>35</v>
      </c>
      <c r="O177" s="58"/>
      <c r="P177" s="163">
        <f t="shared" si="0"/>
        <v>0</v>
      </c>
      <c r="Q177" s="163">
        <v>1.92736</v>
      </c>
      <c r="R177" s="163">
        <f t="shared" si="1"/>
        <v>4.1630976000000004</v>
      </c>
      <c r="S177" s="163">
        <v>0</v>
      </c>
      <c r="T177" s="164">
        <f t="shared" si="2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5" t="s">
        <v>185</v>
      </c>
      <c r="AT177" s="165" t="s">
        <v>181</v>
      </c>
      <c r="AU177" s="165" t="s">
        <v>82</v>
      </c>
      <c r="AY177" s="14" t="s">
        <v>179</v>
      </c>
      <c r="BE177" s="166">
        <f t="shared" si="3"/>
        <v>0</v>
      </c>
      <c r="BF177" s="166">
        <f t="shared" si="4"/>
        <v>0</v>
      </c>
      <c r="BG177" s="166">
        <f t="shared" si="5"/>
        <v>0</v>
      </c>
      <c r="BH177" s="166">
        <f t="shared" si="6"/>
        <v>0</v>
      </c>
      <c r="BI177" s="166">
        <f t="shared" si="7"/>
        <v>0</v>
      </c>
      <c r="BJ177" s="14" t="s">
        <v>82</v>
      </c>
      <c r="BK177" s="166">
        <f t="shared" si="8"/>
        <v>0</v>
      </c>
      <c r="BL177" s="14" t="s">
        <v>185</v>
      </c>
      <c r="BM177" s="165" t="s">
        <v>213</v>
      </c>
    </row>
    <row r="178" spans="1:65" s="2" customFormat="1" ht="12">
      <c r="A178" s="29"/>
      <c r="B178" s="152"/>
      <c r="C178" s="153"/>
      <c r="D178" s="153"/>
      <c r="E178" s="154"/>
      <c r="F178" s="193" t="s">
        <v>2989</v>
      </c>
      <c r="G178" s="185"/>
      <c r="H178" s="192"/>
      <c r="I178" s="194"/>
      <c r="J178" s="159"/>
      <c r="K178" s="160"/>
      <c r="L178" s="30"/>
      <c r="M178" s="161"/>
      <c r="N178" s="162"/>
      <c r="O178" s="58"/>
      <c r="P178" s="163"/>
      <c r="Q178" s="163"/>
      <c r="R178" s="163"/>
      <c r="S178" s="163"/>
      <c r="T178" s="164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5"/>
      <c r="AT178" s="165"/>
      <c r="AU178" s="165"/>
      <c r="AY178" s="14"/>
      <c r="BE178" s="166"/>
      <c r="BF178" s="166"/>
      <c r="BG178" s="166"/>
      <c r="BH178" s="166"/>
      <c r="BI178" s="166"/>
      <c r="BJ178" s="14"/>
      <c r="BK178" s="166"/>
      <c r="BL178" s="14"/>
      <c r="BM178" s="165"/>
    </row>
    <row r="179" spans="1:65" s="2" customFormat="1" ht="12">
      <c r="A179" s="29"/>
      <c r="B179" s="152"/>
      <c r="C179" s="153"/>
      <c r="D179" s="153"/>
      <c r="E179" s="154"/>
      <c r="F179" s="184" t="s">
        <v>2994</v>
      </c>
      <c r="G179" s="185"/>
      <c r="H179" s="192">
        <f>ROUND(5*1.2*1.2*0.3,2)</f>
        <v>2.16</v>
      </c>
      <c r="I179" s="194"/>
      <c r="J179" s="159"/>
      <c r="K179" s="160"/>
      <c r="L179" s="30"/>
      <c r="M179" s="161"/>
      <c r="N179" s="162"/>
      <c r="O179" s="58"/>
      <c r="P179" s="163"/>
      <c r="Q179" s="163"/>
      <c r="R179" s="163"/>
      <c r="S179" s="163"/>
      <c r="T179" s="164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5"/>
      <c r="AT179" s="165"/>
      <c r="AU179" s="165"/>
      <c r="AY179" s="14"/>
      <c r="BE179" s="166"/>
      <c r="BF179" s="166"/>
      <c r="BG179" s="166"/>
      <c r="BH179" s="166"/>
      <c r="BI179" s="166"/>
      <c r="BJ179" s="14"/>
      <c r="BK179" s="166"/>
      <c r="BL179" s="14"/>
      <c r="BM179" s="165"/>
    </row>
    <row r="180" spans="1:65" s="2" customFormat="1" ht="12">
      <c r="A180" s="29"/>
      <c r="B180" s="152"/>
      <c r="C180" s="153"/>
      <c r="D180" s="153"/>
      <c r="E180" s="154"/>
      <c r="F180" s="187" t="s">
        <v>2983</v>
      </c>
      <c r="G180" s="188"/>
      <c r="H180" s="189">
        <f>SUM(H178:H179)</f>
        <v>2.16</v>
      </c>
      <c r="I180" s="194"/>
      <c r="J180" s="159"/>
      <c r="K180" s="160"/>
      <c r="L180" s="30"/>
      <c r="M180" s="161"/>
      <c r="N180" s="162"/>
      <c r="O180" s="58"/>
      <c r="P180" s="163"/>
      <c r="Q180" s="163"/>
      <c r="R180" s="163"/>
      <c r="S180" s="163"/>
      <c r="T180" s="164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5"/>
      <c r="AT180" s="165"/>
      <c r="AU180" s="165"/>
      <c r="AY180" s="14"/>
      <c r="BE180" s="166"/>
      <c r="BF180" s="166"/>
      <c r="BG180" s="166"/>
      <c r="BH180" s="166"/>
      <c r="BI180" s="166"/>
      <c r="BJ180" s="14"/>
      <c r="BK180" s="166"/>
      <c r="BL180" s="14"/>
      <c r="BM180" s="165"/>
    </row>
    <row r="181" spans="1:65" s="2" customFormat="1" ht="24.2" customHeight="1">
      <c r="A181" s="29"/>
      <c r="B181" s="152"/>
      <c r="C181" s="153" t="s">
        <v>214</v>
      </c>
      <c r="D181" s="153" t="s">
        <v>181</v>
      </c>
      <c r="E181" s="154" t="s">
        <v>215</v>
      </c>
      <c r="F181" s="155" t="s">
        <v>216</v>
      </c>
      <c r="G181" s="156" t="s">
        <v>217</v>
      </c>
      <c r="H181" s="157">
        <v>1</v>
      </c>
      <c r="I181" s="158"/>
      <c r="J181" s="159">
        <v>0</v>
      </c>
      <c r="K181" s="160"/>
      <c r="L181" s="30"/>
      <c r="M181" s="161" t="s">
        <v>1</v>
      </c>
      <c r="N181" s="162" t="s">
        <v>35</v>
      </c>
      <c r="O181" s="58"/>
      <c r="P181" s="163">
        <f t="shared" si="0"/>
        <v>0</v>
      </c>
      <c r="Q181" s="163">
        <v>2.5704040000000001E-2</v>
      </c>
      <c r="R181" s="163">
        <f t="shared" si="1"/>
        <v>2.5704040000000001E-2</v>
      </c>
      <c r="S181" s="163">
        <v>0</v>
      </c>
      <c r="T181" s="164">
        <f t="shared" si="2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5" t="s">
        <v>185</v>
      </c>
      <c r="AT181" s="165" t="s">
        <v>181</v>
      </c>
      <c r="AU181" s="165" t="s">
        <v>82</v>
      </c>
      <c r="AY181" s="14" t="s">
        <v>179</v>
      </c>
      <c r="BE181" s="166">
        <f t="shared" si="3"/>
        <v>0</v>
      </c>
      <c r="BF181" s="166">
        <f t="shared" si="4"/>
        <v>0</v>
      </c>
      <c r="BG181" s="166">
        <f t="shared" si="5"/>
        <v>0</v>
      </c>
      <c r="BH181" s="166">
        <f t="shared" si="6"/>
        <v>0</v>
      </c>
      <c r="BI181" s="166">
        <f t="shared" si="7"/>
        <v>0</v>
      </c>
      <c r="BJ181" s="14" t="s">
        <v>82</v>
      </c>
      <c r="BK181" s="166">
        <f t="shared" si="8"/>
        <v>0</v>
      </c>
      <c r="BL181" s="14" t="s">
        <v>185</v>
      </c>
      <c r="BM181" s="165" t="s">
        <v>218</v>
      </c>
    </row>
    <row r="182" spans="1:65" s="2" customFormat="1" ht="12">
      <c r="A182" s="29"/>
      <c r="B182" s="152"/>
      <c r="C182" s="153"/>
      <c r="D182" s="153"/>
      <c r="E182" s="154"/>
      <c r="F182" s="184" t="s">
        <v>2995</v>
      </c>
      <c r="G182" s="185"/>
      <c r="H182" s="186">
        <v>1</v>
      </c>
      <c r="I182" s="194"/>
      <c r="J182" s="159"/>
      <c r="K182" s="160"/>
      <c r="L182" s="30"/>
      <c r="M182" s="161"/>
      <c r="N182" s="162"/>
      <c r="O182" s="58"/>
      <c r="P182" s="163"/>
      <c r="Q182" s="163"/>
      <c r="R182" s="163"/>
      <c r="S182" s="163"/>
      <c r="T182" s="164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65"/>
      <c r="AT182" s="165"/>
      <c r="AU182" s="165"/>
      <c r="AY182" s="14"/>
      <c r="BE182" s="166"/>
      <c r="BF182" s="166"/>
      <c r="BG182" s="166"/>
      <c r="BH182" s="166"/>
      <c r="BI182" s="166"/>
      <c r="BJ182" s="14"/>
      <c r="BK182" s="166"/>
      <c r="BL182" s="14"/>
      <c r="BM182" s="165"/>
    </row>
    <row r="183" spans="1:65" s="2" customFormat="1" ht="12">
      <c r="A183" s="29"/>
      <c r="B183" s="152"/>
      <c r="C183" s="153"/>
      <c r="D183" s="153"/>
      <c r="E183" s="154"/>
      <c r="F183" s="187" t="s">
        <v>2983</v>
      </c>
      <c r="G183" s="188"/>
      <c r="H183" s="189">
        <f>SUM(H182:H182)</f>
        <v>1</v>
      </c>
      <c r="I183" s="194"/>
      <c r="J183" s="159"/>
      <c r="K183" s="160"/>
      <c r="L183" s="30"/>
      <c r="M183" s="161"/>
      <c r="N183" s="162"/>
      <c r="O183" s="58"/>
      <c r="P183" s="163"/>
      <c r="Q183" s="163"/>
      <c r="R183" s="163"/>
      <c r="S183" s="163"/>
      <c r="T183" s="164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5"/>
      <c r="AT183" s="165"/>
      <c r="AU183" s="165"/>
      <c r="AY183" s="14"/>
      <c r="BE183" s="166"/>
      <c r="BF183" s="166"/>
      <c r="BG183" s="166"/>
      <c r="BH183" s="166"/>
      <c r="BI183" s="166"/>
      <c r="BJ183" s="14"/>
      <c r="BK183" s="166"/>
      <c r="BL183" s="14"/>
      <c r="BM183" s="165"/>
    </row>
    <row r="184" spans="1:65" s="2" customFormat="1" ht="24.2" customHeight="1">
      <c r="A184" s="29"/>
      <c r="B184" s="152"/>
      <c r="C184" s="153" t="s">
        <v>201</v>
      </c>
      <c r="D184" s="153" t="s">
        <v>181</v>
      </c>
      <c r="E184" s="154" t="s">
        <v>219</v>
      </c>
      <c r="F184" s="155" t="s">
        <v>220</v>
      </c>
      <c r="G184" s="156" t="s">
        <v>217</v>
      </c>
      <c r="H184" s="157">
        <v>1</v>
      </c>
      <c r="I184" s="158"/>
      <c r="J184" s="159">
        <v>0</v>
      </c>
      <c r="K184" s="160"/>
      <c r="L184" s="30"/>
      <c r="M184" s="161" t="s">
        <v>1</v>
      </c>
      <c r="N184" s="162" t="s">
        <v>35</v>
      </c>
      <c r="O184" s="58"/>
      <c r="P184" s="163">
        <f t="shared" si="0"/>
        <v>0</v>
      </c>
      <c r="Q184" s="163">
        <v>3.1926040000000003E-2</v>
      </c>
      <c r="R184" s="163">
        <f t="shared" si="1"/>
        <v>3.1926040000000003E-2</v>
      </c>
      <c r="S184" s="163">
        <v>0</v>
      </c>
      <c r="T184" s="164">
        <f t="shared" si="2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5" t="s">
        <v>185</v>
      </c>
      <c r="AT184" s="165" t="s">
        <v>181</v>
      </c>
      <c r="AU184" s="165" t="s">
        <v>82</v>
      </c>
      <c r="AY184" s="14" t="s">
        <v>179</v>
      </c>
      <c r="BE184" s="166">
        <f t="shared" si="3"/>
        <v>0</v>
      </c>
      <c r="BF184" s="166">
        <f t="shared" si="4"/>
        <v>0</v>
      </c>
      <c r="BG184" s="166">
        <f t="shared" si="5"/>
        <v>0</v>
      </c>
      <c r="BH184" s="166">
        <f t="shared" si="6"/>
        <v>0</v>
      </c>
      <c r="BI184" s="166">
        <f t="shared" si="7"/>
        <v>0</v>
      </c>
      <c r="BJ184" s="14" t="s">
        <v>82</v>
      </c>
      <c r="BK184" s="166">
        <f t="shared" si="8"/>
        <v>0</v>
      </c>
      <c r="BL184" s="14" t="s">
        <v>185</v>
      </c>
      <c r="BM184" s="165" t="s">
        <v>221</v>
      </c>
    </row>
    <row r="185" spans="1:65" s="2" customFormat="1" ht="12">
      <c r="A185" s="29"/>
      <c r="B185" s="152"/>
      <c r="C185" s="153"/>
      <c r="D185" s="153"/>
      <c r="E185" s="154"/>
      <c r="F185" s="184" t="s">
        <v>2996</v>
      </c>
      <c r="G185" s="185"/>
      <c r="H185" s="186">
        <v>1</v>
      </c>
      <c r="I185" s="194"/>
      <c r="J185" s="159"/>
      <c r="K185" s="160"/>
      <c r="L185" s="30"/>
      <c r="M185" s="161"/>
      <c r="N185" s="162"/>
      <c r="O185" s="58"/>
      <c r="P185" s="163"/>
      <c r="Q185" s="163"/>
      <c r="R185" s="163"/>
      <c r="S185" s="163"/>
      <c r="T185" s="164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5"/>
      <c r="AT185" s="165"/>
      <c r="AU185" s="165"/>
      <c r="AY185" s="14"/>
      <c r="BE185" s="166"/>
      <c r="BF185" s="166"/>
      <c r="BG185" s="166"/>
      <c r="BH185" s="166"/>
      <c r="BI185" s="166"/>
      <c r="BJ185" s="14"/>
      <c r="BK185" s="166"/>
      <c r="BL185" s="14"/>
      <c r="BM185" s="165"/>
    </row>
    <row r="186" spans="1:65" s="2" customFormat="1" ht="12">
      <c r="A186" s="29"/>
      <c r="B186" s="152"/>
      <c r="C186" s="153"/>
      <c r="D186" s="153"/>
      <c r="E186" s="154"/>
      <c r="F186" s="187" t="s">
        <v>2983</v>
      </c>
      <c r="G186" s="188"/>
      <c r="H186" s="189">
        <f>SUM(H185:H185)</f>
        <v>1</v>
      </c>
      <c r="I186" s="194"/>
      <c r="J186" s="159"/>
      <c r="K186" s="160"/>
      <c r="L186" s="30"/>
      <c r="M186" s="161"/>
      <c r="N186" s="162"/>
      <c r="O186" s="58"/>
      <c r="P186" s="163"/>
      <c r="Q186" s="163"/>
      <c r="R186" s="163"/>
      <c r="S186" s="163"/>
      <c r="T186" s="164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5"/>
      <c r="AT186" s="165"/>
      <c r="AU186" s="165"/>
      <c r="AY186" s="14"/>
      <c r="BE186" s="166"/>
      <c r="BF186" s="166"/>
      <c r="BG186" s="166"/>
      <c r="BH186" s="166"/>
      <c r="BI186" s="166"/>
      <c r="BJ186" s="14"/>
      <c r="BK186" s="166"/>
      <c r="BL186" s="14"/>
      <c r="BM186" s="165"/>
    </row>
    <row r="187" spans="1:65" s="2" customFormat="1" ht="24.2" customHeight="1">
      <c r="A187" s="29"/>
      <c r="B187" s="152"/>
      <c r="C187" s="153" t="s">
        <v>222</v>
      </c>
      <c r="D187" s="153" t="s">
        <v>181</v>
      </c>
      <c r="E187" s="154" t="s">
        <v>223</v>
      </c>
      <c r="F187" s="155" t="s">
        <v>224</v>
      </c>
      <c r="G187" s="156" t="s">
        <v>217</v>
      </c>
      <c r="H187" s="157">
        <v>10</v>
      </c>
      <c r="I187" s="158"/>
      <c r="J187" s="159">
        <v>0</v>
      </c>
      <c r="K187" s="160"/>
      <c r="L187" s="30"/>
      <c r="M187" s="161" t="s">
        <v>1</v>
      </c>
      <c r="N187" s="162" t="s">
        <v>35</v>
      </c>
      <c r="O187" s="58"/>
      <c r="P187" s="163">
        <f t="shared" si="0"/>
        <v>0</v>
      </c>
      <c r="Q187" s="163">
        <v>3.8148040000000001E-2</v>
      </c>
      <c r="R187" s="163">
        <f t="shared" si="1"/>
        <v>0.3814804</v>
      </c>
      <c r="S187" s="163">
        <v>0</v>
      </c>
      <c r="T187" s="164">
        <f t="shared" si="2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5" t="s">
        <v>185</v>
      </c>
      <c r="AT187" s="165" t="s">
        <v>181</v>
      </c>
      <c r="AU187" s="165" t="s">
        <v>82</v>
      </c>
      <c r="AY187" s="14" t="s">
        <v>179</v>
      </c>
      <c r="BE187" s="166">
        <f t="shared" si="3"/>
        <v>0</v>
      </c>
      <c r="BF187" s="166">
        <f t="shared" si="4"/>
        <v>0</v>
      </c>
      <c r="BG187" s="166">
        <f t="shared" si="5"/>
        <v>0</v>
      </c>
      <c r="BH187" s="166">
        <f t="shared" si="6"/>
        <v>0</v>
      </c>
      <c r="BI187" s="166">
        <f t="shared" si="7"/>
        <v>0</v>
      </c>
      <c r="BJ187" s="14" t="s">
        <v>82</v>
      </c>
      <c r="BK187" s="166">
        <f t="shared" si="8"/>
        <v>0</v>
      </c>
      <c r="BL187" s="14" t="s">
        <v>185</v>
      </c>
      <c r="BM187" s="165" t="s">
        <v>225</v>
      </c>
    </row>
    <row r="188" spans="1:65" s="2" customFormat="1" ht="12">
      <c r="A188" s="29"/>
      <c r="B188" s="152"/>
      <c r="C188" s="153"/>
      <c r="D188" s="153"/>
      <c r="E188" s="154"/>
      <c r="F188" s="184" t="s">
        <v>2997</v>
      </c>
      <c r="G188" s="185"/>
      <c r="H188" s="186">
        <v>10</v>
      </c>
      <c r="I188" s="194"/>
      <c r="J188" s="159"/>
      <c r="K188" s="160"/>
      <c r="L188" s="30"/>
      <c r="M188" s="161"/>
      <c r="N188" s="162"/>
      <c r="O188" s="58"/>
      <c r="P188" s="163"/>
      <c r="Q188" s="163"/>
      <c r="R188" s="163"/>
      <c r="S188" s="163"/>
      <c r="T188" s="164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5"/>
      <c r="AT188" s="165"/>
      <c r="AU188" s="165"/>
      <c r="AY188" s="14"/>
      <c r="BE188" s="166"/>
      <c r="BF188" s="166"/>
      <c r="BG188" s="166"/>
      <c r="BH188" s="166"/>
      <c r="BI188" s="166"/>
      <c r="BJ188" s="14"/>
      <c r="BK188" s="166"/>
      <c r="BL188" s="14"/>
      <c r="BM188" s="165"/>
    </row>
    <row r="189" spans="1:65" s="2" customFormat="1" ht="12">
      <c r="A189" s="29"/>
      <c r="B189" s="152"/>
      <c r="C189" s="153"/>
      <c r="D189" s="153"/>
      <c r="E189" s="154"/>
      <c r="F189" s="187" t="s">
        <v>2983</v>
      </c>
      <c r="G189" s="188"/>
      <c r="H189" s="189">
        <f>SUM(H188:H188)</f>
        <v>10</v>
      </c>
      <c r="I189" s="194"/>
      <c r="J189" s="159"/>
      <c r="K189" s="160"/>
      <c r="L189" s="30"/>
      <c r="M189" s="161"/>
      <c r="N189" s="162"/>
      <c r="O189" s="58"/>
      <c r="P189" s="163"/>
      <c r="Q189" s="163"/>
      <c r="R189" s="163"/>
      <c r="S189" s="163"/>
      <c r="T189" s="164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65"/>
      <c r="AT189" s="165"/>
      <c r="AU189" s="165"/>
      <c r="AY189" s="14"/>
      <c r="BE189" s="166"/>
      <c r="BF189" s="166"/>
      <c r="BG189" s="166"/>
      <c r="BH189" s="166"/>
      <c r="BI189" s="166"/>
      <c r="BJ189" s="14"/>
      <c r="BK189" s="166"/>
      <c r="BL189" s="14"/>
      <c r="BM189" s="165"/>
    </row>
    <row r="190" spans="1:65" s="2" customFormat="1" ht="24.2" customHeight="1">
      <c r="A190" s="29"/>
      <c r="B190" s="152"/>
      <c r="C190" s="153" t="s">
        <v>205</v>
      </c>
      <c r="D190" s="153" t="s">
        <v>181</v>
      </c>
      <c r="E190" s="154" t="s">
        <v>226</v>
      </c>
      <c r="F190" s="155" t="s">
        <v>227</v>
      </c>
      <c r="G190" s="156" t="s">
        <v>217</v>
      </c>
      <c r="H190" s="157">
        <v>1</v>
      </c>
      <c r="I190" s="158"/>
      <c r="J190" s="159">
        <v>0</v>
      </c>
      <c r="K190" s="160"/>
      <c r="L190" s="30"/>
      <c r="M190" s="161" t="s">
        <v>1</v>
      </c>
      <c r="N190" s="162" t="s">
        <v>35</v>
      </c>
      <c r="O190" s="58"/>
      <c r="P190" s="163">
        <f t="shared" si="0"/>
        <v>0</v>
      </c>
      <c r="Q190" s="163">
        <v>6.7626039999999998E-2</v>
      </c>
      <c r="R190" s="163">
        <f t="shared" si="1"/>
        <v>6.7626039999999998E-2</v>
      </c>
      <c r="S190" s="163">
        <v>0</v>
      </c>
      <c r="T190" s="164">
        <f t="shared" si="2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65" t="s">
        <v>185</v>
      </c>
      <c r="AT190" s="165" t="s">
        <v>181</v>
      </c>
      <c r="AU190" s="165" t="s">
        <v>82</v>
      </c>
      <c r="AY190" s="14" t="s">
        <v>179</v>
      </c>
      <c r="BE190" s="166">
        <f t="shared" si="3"/>
        <v>0</v>
      </c>
      <c r="BF190" s="166">
        <f t="shared" si="4"/>
        <v>0</v>
      </c>
      <c r="BG190" s="166">
        <f t="shared" si="5"/>
        <v>0</v>
      </c>
      <c r="BH190" s="166">
        <f t="shared" si="6"/>
        <v>0</v>
      </c>
      <c r="BI190" s="166">
        <f t="shared" si="7"/>
        <v>0</v>
      </c>
      <c r="BJ190" s="14" t="s">
        <v>82</v>
      </c>
      <c r="BK190" s="166">
        <f t="shared" si="8"/>
        <v>0</v>
      </c>
      <c r="BL190" s="14" t="s">
        <v>185</v>
      </c>
      <c r="BM190" s="165" t="s">
        <v>228</v>
      </c>
    </row>
    <row r="191" spans="1:65" s="2" customFormat="1" ht="12">
      <c r="A191" s="29"/>
      <c r="B191" s="152"/>
      <c r="C191" s="153"/>
      <c r="D191" s="153"/>
      <c r="E191" s="154"/>
      <c r="F191" s="184" t="s">
        <v>2998</v>
      </c>
      <c r="G191" s="185"/>
      <c r="H191" s="186">
        <v>1</v>
      </c>
      <c r="I191" s="194"/>
      <c r="J191" s="159"/>
      <c r="K191" s="160"/>
      <c r="L191" s="30"/>
      <c r="M191" s="161"/>
      <c r="N191" s="162"/>
      <c r="O191" s="58"/>
      <c r="P191" s="163"/>
      <c r="Q191" s="163"/>
      <c r="R191" s="163"/>
      <c r="S191" s="163"/>
      <c r="T191" s="164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65"/>
      <c r="AT191" s="165"/>
      <c r="AU191" s="165"/>
      <c r="AY191" s="14"/>
      <c r="BE191" s="166"/>
      <c r="BF191" s="166"/>
      <c r="BG191" s="166"/>
      <c r="BH191" s="166"/>
      <c r="BI191" s="166"/>
      <c r="BJ191" s="14"/>
      <c r="BK191" s="166"/>
      <c r="BL191" s="14"/>
      <c r="BM191" s="165"/>
    </row>
    <row r="192" spans="1:65" s="2" customFormat="1" ht="12">
      <c r="A192" s="29"/>
      <c r="B192" s="152"/>
      <c r="C192" s="153"/>
      <c r="D192" s="153"/>
      <c r="E192" s="154"/>
      <c r="F192" s="187" t="s">
        <v>2983</v>
      </c>
      <c r="G192" s="188"/>
      <c r="H192" s="189">
        <f>SUM(H191:H191)</f>
        <v>1</v>
      </c>
      <c r="I192" s="194"/>
      <c r="J192" s="159"/>
      <c r="K192" s="160"/>
      <c r="L192" s="30"/>
      <c r="M192" s="161"/>
      <c r="N192" s="162"/>
      <c r="O192" s="58"/>
      <c r="P192" s="163"/>
      <c r="Q192" s="163"/>
      <c r="R192" s="163"/>
      <c r="S192" s="163"/>
      <c r="T192" s="164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65"/>
      <c r="AT192" s="165"/>
      <c r="AU192" s="165"/>
      <c r="AY192" s="14"/>
      <c r="BE192" s="166"/>
      <c r="BF192" s="166"/>
      <c r="BG192" s="166"/>
      <c r="BH192" s="166"/>
      <c r="BI192" s="166"/>
      <c r="BJ192" s="14"/>
      <c r="BK192" s="166"/>
      <c r="BL192" s="14"/>
      <c r="BM192" s="165"/>
    </row>
    <row r="193" spans="1:65" s="2" customFormat="1" ht="24.2" customHeight="1">
      <c r="A193" s="29"/>
      <c r="B193" s="152"/>
      <c r="C193" s="153" t="s">
        <v>229</v>
      </c>
      <c r="D193" s="153" t="s">
        <v>181</v>
      </c>
      <c r="E193" s="154" t="s">
        <v>230</v>
      </c>
      <c r="F193" s="155" t="s">
        <v>231</v>
      </c>
      <c r="G193" s="156" t="s">
        <v>217</v>
      </c>
      <c r="H193" s="157">
        <v>3</v>
      </c>
      <c r="I193" s="158"/>
      <c r="J193" s="159">
        <v>0</v>
      </c>
      <c r="K193" s="160"/>
      <c r="L193" s="30"/>
      <c r="M193" s="161" t="s">
        <v>1</v>
      </c>
      <c r="N193" s="162" t="s">
        <v>35</v>
      </c>
      <c r="O193" s="58"/>
      <c r="P193" s="163">
        <f t="shared" si="0"/>
        <v>0</v>
      </c>
      <c r="Q193" s="163">
        <v>4.6302999999999997E-2</v>
      </c>
      <c r="R193" s="163">
        <f t="shared" si="1"/>
        <v>0.138909</v>
      </c>
      <c r="S193" s="163">
        <v>0</v>
      </c>
      <c r="T193" s="164">
        <f t="shared" si="2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65" t="s">
        <v>185</v>
      </c>
      <c r="AT193" s="165" t="s">
        <v>181</v>
      </c>
      <c r="AU193" s="165" t="s">
        <v>82</v>
      </c>
      <c r="AY193" s="14" t="s">
        <v>179</v>
      </c>
      <c r="BE193" s="166">
        <f t="shared" si="3"/>
        <v>0</v>
      </c>
      <c r="BF193" s="166">
        <f t="shared" si="4"/>
        <v>0</v>
      </c>
      <c r="BG193" s="166">
        <f t="shared" si="5"/>
        <v>0</v>
      </c>
      <c r="BH193" s="166">
        <f t="shared" si="6"/>
        <v>0</v>
      </c>
      <c r="BI193" s="166">
        <f t="shared" si="7"/>
        <v>0</v>
      </c>
      <c r="BJ193" s="14" t="s">
        <v>82</v>
      </c>
      <c r="BK193" s="166">
        <f t="shared" si="8"/>
        <v>0</v>
      </c>
      <c r="BL193" s="14" t="s">
        <v>185</v>
      </c>
      <c r="BM193" s="165" t="s">
        <v>232</v>
      </c>
    </row>
    <row r="194" spans="1:65" s="2" customFormat="1" ht="12">
      <c r="A194" s="29"/>
      <c r="B194" s="152"/>
      <c r="C194" s="153"/>
      <c r="D194" s="153"/>
      <c r="E194" s="154"/>
      <c r="F194" s="184" t="s">
        <v>2999</v>
      </c>
      <c r="G194" s="185"/>
      <c r="H194" s="186">
        <v>3</v>
      </c>
      <c r="I194" s="194"/>
      <c r="J194" s="159"/>
      <c r="K194" s="160"/>
      <c r="L194" s="30"/>
      <c r="M194" s="161"/>
      <c r="N194" s="162"/>
      <c r="O194" s="58"/>
      <c r="P194" s="163"/>
      <c r="Q194" s="163"/>
      <c r="R194" s="163"/>
      <c r="S194" s="163"/>
      <c r="T194" s="164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65"/>
      <c r="AT194" s="165"/>
      <c r="AU194" s="165"/>
      <c r="AY194" s="14"/>
      <c r="BE194" s="166"/>
      <c r="BF194" s="166"/>
      <c r="BG194" s="166"/>
      <c r="BH194" s="166"/>
      <c r="BI194" s="166"/>
      <c r="BJ194" s="14"/>
      <c r="BK194" s="166"/>
      <c r="BL194" s="14"/>
      <c r="BM194" s="165"/>
    </row>
    <row r="195" spans="1:65" s="2" customFormat="1" ht="12">
      <c r="A195" s="29"/>
      <c r="B195" s="152"/>
      <c r="C195" s="153"/>
      <c r="D195" s="153"/>
      <c r="E195" s="154"/>
      <c r="F195" s="187" t="s">
        <v>2983</v>
      </c>
      <c r="G195" s="188"/>
      <c r="H195" s="189">
        <f>SUM(H194:H194)</f>
        <v>3</v>
      </c>
      <c r="I195" s="194"/>
      <c r="J195" s="159"/>
      <c r="K195" s="160"/>
      <c r="L195" s="30"/>
      <c r="M195" s="161"/>
      <c r="N195" s="162"/>
      <c r="O195" s="58"/>
      <c r="P195" s="163"/>
      <c r="Q195" s="163"/>
      <c r="R195" s="163"/>
      <c r="S195" s="163"/>
      <c r="T195" s="164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65"/>
      <c r="AT195" s="165"/>
      <c r="AU195" s="165"/>
      <c r="AY195" s="14"/>
      <c r="BE195" s="166"/>
      <c r="BF195" s="166"/>
      <c r="BG195" s="166"/>
      <c r="BH195" s="166"/>
      <c r="BI195" s="166"/>
      <c r="BJ195" s="14"/>
      <c r="BK195" s="166"/>
      <c r="BL195" s="14"/>
      <c r="BM195" s="165"/>
    </row>
    <row r="196" spans="1:65" s="2" customFormat="1" ht="24.2" customHeight="1">
      <c r="A196" s="29"/>
      <c r="B196" s="152"/>
      <c r="C196" s="153" t="s">
        <v>210</v>
      </c>
      <c r="D196" s="153" t="s">
        <v>181</v>
      </c>
      <c r="E196" s="154" t="s">
        <v>233</v>
      </c>
      <c r="F196" s="155" t="s">
        <v>234</v>
      </c>
      <c r="G196" s="156" t="s">
        <v>217</v>
      </c>
      <c r="H196" s="157">
        <v>2</v>
      </c>
      <c r="I196" s="158"/>
      <c r="J196" s="159">
        <v>0</v>
      </c>
      <c r="K196" s="160"/>
      <c r="L196" s="30"/>
      <c r="M196" s="161" t="s">
        <v>1</v>
      </c>
      <c r="N196" s="162" t="s">
        <v>35</v>
      </c>
      <c r="O196" s="58"/>
      <c r="P196" s="163">
        <f t="shared" si="0"/>
        <v>0</v>
      </c>
      <c r="Q196" s="163">
        <v>5.5482999999999998E-2</v>
      </c>
      <c r="R196" s="163">
        <f t="shared" si="1"/>
        <v>0.110966</v>
      </c>
      <c r="S196" s="163">
        <v>0</v>
      </c>
      <c r="T196" s="164">
        <f t="shared" si="2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65" t="s">
        <v>185</v>
      </c>
      <c r="AT196" s="165" t="s">
        <v>181</v>
      </c>
      <c r="AU196" s="165" t="s">
        <v>82</v>
      </c>
      <c r="AY196" s="14" t="s">
        <v>179</v>
      </c>
      <c r="BE196" s="166">
        <f t="shared" si="3"/>
        <v>0</v>
      </c>
      <c r="BF196" s="166">
        <f t="shared" si="4"/>
        <v>0</v>
      </c>
      <c r="BG196" s="166">
        <f t="shared" si="5"/>
        <v>0</v>
      </c>
      <c r="BH196" s="166">
        <f t="shared" si="6"/>
        <v>0</v>
      </c>
      <c r="BI196" s="166">
        <f t="shared" si="7"/>
        <v>0</v>
      </c>
      <c r="BJ196" s="14" t="s">
        <v>82</v>
      </c>
      <c r="BK196" s="166">
        <f t="shared" si="8"/>
        <v>0</v>
      </c>
      <c r="BL196" s="14" t="s">
        <v>185</v>
      </c>
      <c r="BM196" s="165" t="s">
        <v>235</v>
      </c>
    </row>
    <row r="197" spans="1:65" s="2" customFormat="1" ht="12">
      <c r="A197" s="29"/>
      <c r="B197" s="152"/>
      <c r="C197" s="153"/>
      <c r="D197" s="153"/>
      <c r="E197" s="154"/>
      <c r="F197" s="184" t="s">
        <v>3000</v>
      </c>
      <c r="G197" s="185"/>
      <c r="H197" s="186">
        <v>2</v>
      </c>
      <c r="I197" s="194"/>
      <c r="J197" s="159"/>
      <c r="K197" s="160"/>
      <c r="L197" s="30"/>
      <c r="M197" s="161"/>
      <c r="N197" s="162"/>
      <c r="O197" s="58"/>
      <c r="P197" s="163"/>
      <c r="Q197" s="163"/>
      <c r="R197" s="163"/>
      <c r="S197" s="163"/>
      <c r="T197" s="164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65"/>
      <c r="AT197" s="165"/>
      <c r="AU197" s="165"/>
      <c r="AY197" s="14"/>
      <c r="BE197" s="166"/>
      <c r="BF197" s="166"/>
      <c r="BG197" s="166"/>
      <c r="BH197" s="166"/>
      <c r="BI197" s="166"/>
      <c r="BJ197" s="14"/>
      <c r="BK197" s="166"/>
      <c r="BL197" s="14"/>
      <c r="BM197" s="165"/>
    </row>
    <row r="198" spans="1:65" s="2" customFormat="1" ht="12">
      <c r="A198" s="29"/>
      <c r="B198" s="152"/>
      <c r="C198" s="153"/>
      <c r="D198" s="153"/>
      <c r="E198" s="154"/>
      <c r="F198" s="187" t="s">
        <v>2983</v>
      </c>
      <c r="G198" s="188"/>
      <c r="H198" s="189">
        <f>SUM(H197:H197)</f>
        <v>2</v>
      </c>
      <c r="I198" s="194"/>
      <c r="J198" s="159"/>
      <c r="K198" s="160"/>
      <c r="L198" s="30"/>
      <c r="M198" s="161"/>
      <c r="N198" s="162"/>
      <c r="O198" s="58"/>
      <c r="P198" s="163"/>
      <c r="Q198" s="163"/>
      <c r="R198" s="163"/>
      <c r="S198" s="163"/>
      <c r="T198" s="164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65"/>
      <c r="AT198" s="165"/>
      <c r="AU198" s="165"/>
      <c r="AY198" s="14"/>
      <c r="BE198" s="166"/>
      <c r="BF198" s="166"/>
      <c r="BG198" s="166"/>
      <c r="BH198" s="166"/>
      <c r="BI198" s="166"/>
      <c r="BJ198" s="14"/>
      <c r="BK198" s="166"/>
      <c r="BL198" s="14"/>
      <c r="BM198" s="165"/>
    </row>
    <row r="199" spans="1:65" s="2" customFormat="1" ht="24.2" customHeight="1">
      <c r="A199" s="29"/>
      <c r="B199" s="152"/>
      <c r="C199" s="153" t="s">
        <v>236</v>
      </c>
      <c r="D199" s="153" t="s">
        <v>181</v>
      </c>
      <c r="E199" s="154" t="s">
        <v>237</v>
      </c>
      <c r="F199" s="155" t="s">
        <v>238</v>
      </c>
      <c r="G199" s="156" t="s">
        <v>217</v>
      </c>
      <c r="H199" s="157">
        <v>2</v>
      </c>
      <c r="I199" s="158"/>
      <c r="J199" s="159">
        <v>0</v>
      </c>
      <c r="K199" s="160"/>
      <c r="L199" s="30"/>
      <c r="M199" s="161" t="s">
        <v>1</v>
      </c>
      <c r="N199" s="162" t="s">
        <v>35</v>
      </c>
      <c r="O199" s="58"/>
      <c r="P199" s="163">
        <f t="shared" si="0"/>
        <v>0</v>
      </c>
      <c r="Q199" s="163">
        <v>8.3263000000000004E-2</v>
      </c>
      <c r="R199" s="163">
        <f t="shared" si="1"/>
        <v>0.16652600000000001</v>
      </c>
      <c r="S199" s="163">
        <v>0</v>
      </c>
      <c r="T199" s="164">
        <f t="shared" si="2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65" t="s">
        <v>185</v>
      </c>
      <c r="AT199" s="165" t="s">
        <v>181</v>
      </c>
      <c r="AU199" s="165" t="s">
        <v>82</v>
      </c>
      <c r="AY199" s="14" t="s">
        <v>179</v>
      </c>
      <c r="BE199" s="166">
        <f t="shared" si="3"/>
        <v>0</v>
      </c>
      <c r="BF199" s="166">
        <f t="shared" si="4"/>
        <v>0</v>
      </c>
      <c r="BG199" s="166">
        <f t="shared" si="5"/>
        <v>0</v>
      </c>
      <c r="BH199" s="166">
        <f t="shared" si="6"/>
        <v>0</v>
      </c>
      <c r="BI199" s="166">
        <f t="shared" si="7"/>
        <v>0</v>
      </c>
      <c r="BJ199" s="14" t="s">
        <v>82</v>
      </c>
      <c r="BK199" s="166">
        <f t="shared" si="8"/>
        <v>0</v>
      </c>
      <c r="BL199" s="14" t="s">
        <v>185</v>
      </c>
      <c r="BM199" s="165" t="s">
        <v>239</v>
      </c>
    </row>
    <row r="200" spans="1:65" s="2" customFormat="1" ht="12">
      <c r="A200" s="29"/>
      <c r="B200" s="152"/>
      <c r="C200" s="153"/>
      <c r="D200" s="153"/>
      <c r="E200" s="154"/>
      <c r="F200" s="184" t="s">
        <v>3001</v>
      </c>
      <c r="G200" s="185"/>
      <c r="H200" s="186">
        <v>2</v>
      </c>
      <c r="I200" s="194"/>
      <c r="J200" s="159"/>
      <c r="K200" s="160"/>
      <c r="L200" s="30"/>
      <c r="M200" s="161"/>
      <c r="N200" s="162"/>
      <c r="O200" s="58"/>
      <c r="P200" s="163"/>
      <c r="Q200" s="163"/>
      <c r="R200" s="163"/>
      <c r="S200" s="163"/>
      <c r="T200" s="164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65"/>
      <c r="AT200" s="165"/>
      <c r="AU200" s="165"/>
      <c r="AY200" s="14"/>
      <c r="BE200" s="166"/>
      <c r="BF200" s="166"/>
      <c r="BG200" s="166"/>
      <c r="BH200" s="166"/>
      <c r="BI200" s="166"/>
      <c r="BJ200" s="14"/>
      <c r="BK200" s="166"/>
      <c r="BL200" s="14"/>
      <c r="BM200" s="165"/>
    </row>
    <row r="201" spans="1:65" s="2" customFormat="1" ht="12">
      <c r="A201" s="29"/>
      <c r="B201" s="152"/>
      <c r="C201" s="153"/>
      <c r="D201" s="153"/>
      <c r="E201" s="154"/>
      <c r="F201" s="187" t="s">
        <v>2983</v>
      </c>
      <c r="G201" s="188"/>
      <c r="H201" s="189">
        <f>SUM(H200:H200)</f>
        <v>2</v>
      </c>
      <c r="I201" s="194"/>
      <c r="J201" s="159"/>
      <c r="K201" s="160"/>
      <c r="L201" s="30"/>
      <c r="M201" s="161"/>
      <c r="N201" s="162"/>
      <c r="O201" s="58"/>
      <c r="P201" s="163"/>
      <c r="Q201" s="163"/>
      <c r="R201" s="163"/>
      <c r="S201" s="163"/>
      <c r="T201" s="164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65"/>
      <c r="AT201" s="165"/>
      <c r="AU201" s="165"/>
      <c r="AY201" s="14"/>
      <c r="BE201" s="166"/>
      <c r="BF201" s="166"/>
      <c r="BG201" s="166"/>
      <c r="BH201" s="166"/>
      <c r="BI201" s="166"/>
      <c r="BJ201" s="14"/>
      <c r="BK201" s="166"/>
      <c r="BL201" s="14"/>
      <c r="BM201" s="165"/>
    </row>
    <row r="202" spans="1:65" s="2" customFormat="1" ht="37.9" customHeight="1">
      <c r="A202" s="29"/>
      <c r="B202" s="152"/>
      <c r="C202" s="153" t="s">
        <v>213</v>
      </c>
      <c r="D202" s="153" t="s">
        <v>181</v>
      </c>
      <c r="E202" s="154" t="s">
        <v>240</v>
      </c>
      <c r="F202" s="155" t="s">
        <v>241</v>
      </c>
      <c r="G202" s="156" t="s">
        <v>184</v>
      </c>
      <c r="H202" s="157">
        <v>6.41</v>
      </c>
      <c r="I202" s="158"/>
      <c r="J202" s="159">
        <v>0</v>
      </c>
      <c r="K202" s="160"/>
      <c r="L202" s="30"/>
      <c r="M202" s="161" t="s">
        <v>1</v>
      </c>
      <c r="N202" s="162" t="s">
        <v>35</v>
      </c>
      <c r="O202" s="58"/>
      <c r="P202" s="163">
        <f t="shared" si="0"/>
        <v>0</v>
      </c>
      <c r="Q202" s="163">
        <v>0</v>
      </c>
      <c r="R202" s="163">
        <f t="shared" si="1"/>
        <v>0</v>
      </c>
      <c r="S202" s="163">
        <v>0</v>
      </c>
      <c r="T202" s="164">
        <f t="shared" si="2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65" t="s">
        <v>185</v>
      </c>
      <c r="AT202" s="165" t="s">
        <v>181</v>
      </c>
      <c r="AU202" s="165" t="s">
        <v>82</v>
      </c>
      <c r="AY202" s="14" t="s">
        <v>179</v>
      </c>
      <c r="BE202" s="166">
        <f t="shared" si="3"/>
        <v>0</v>
      </c>
      <c r="BF202" s="166">
        <f t="shared" si="4"/>
        <v>0</v>
      </c>
      <c r="BG202" s="166">
        <f t="shared" si="5"/>
        <v>0</v>
      </c>
      <c r="BH202" s="166">
        <f t="shared" si="6"/>
        <v>0</v>
      </c>
      <c r="BI202" s="166">
        <f t="shared" si="7"/>
        <v>0</v>
      </c>
      <c r="BJ202" s="14" t="s">
        <v>82</v>
      </c>
      <c r="BK202" s="166">
        <f t="shared" si="8"/>
        <v>0</v>
      </c>
      <c r="BL202" s="14" t="s">
        <v>185</v>
      </c>
      <c r="BM202" s="165" t="s">
        <v>242</v>
      </c>
    </row>
    <row r="203" spans="1:65" s="209" customFormat="1" ht="12">
      <c r="A203" s="195"/>
      <c r="B203" s="196"/>
      <c r="C203" s="197"/>
      <c r="D203" s="197"/>
      <c r="E203" s="198"/>
      <c r="F203" s="199" t="s">
        <v>3002</v>
      </c>
      <c r="G203" s="200"/>
      <c r="H203" s="201"/>
      <c r="I203" s="194"/>
      <c r="J203" s="194"/>
      <c r="K203" s="202"/>
      <c r="L203" s="203"/>
      <c r="M203" s="204"/>
      <c r="N203" s="205"/>
      <c r="O203" s="206"/>
      <c r="P203" s="207"/>
      <c r="Q203" s="207"/>
      <c r="R203" s="207"/>
      <c r="S203" s="207"/>
      <c r="T203" s="208"/>
      <c r="U203" s="195"/>
      <c r="V203" s="195"/>
      <c r="W203" s="195"/>
      <c r="X203" s="195"/>
      <c r="Y203" s="195"/>
      <c r="Z203" s="195"/>
      <c r="AA203" s="195"/>
      <c r="AB203" s="195"/>
      <c r="AC203" s="195"/>
      <c r="AD203" s="195"/>
      <c r="AE203" s="195"/>
      <c r="AR203" s="210"/>
      <c r="AT203" s="210"/>
      <c r="AU203" s="210"/>
      <c r="AY203" s="211"/>
      <c r="BE203" s="212"/>
      <c r="BF203" s="212"/>
      <c r="BG203" s="212"/>
      <c r="BH203" s="212"/>
      <c r="BI203" s="212"/>
      <c r="BJ203" s="211"/>
      <c r="BK203" s="212"/>
      <c r="BL203" s="211"/>
      <c r="BM203" s="210"/>
    </row>
    <row r="204" spans="1:65" s="209" customFormat="1" ht="12">
      <c r="A204" s="195"/>
      <c r="B204" s="196"/>
      <c r="C204" s="197"/>
      <c r="D204" s="197"/>
      <c r="E204" s="198"/>
      <c r="F204" s="213" t="s">
        <v>3003</v>
      </c>
      <c r="G204" s="200"/>
      <c r="H204" s="214">
        <f>ROUND((0.9+1.4)*3.4-0.7*2.02,2)</f>
        <v>6.41</v>
      </c>
      <c r="I204" s="194"/>
      <c r="J204" s="194"/>
      <c r="K204" s="202"/>
      <c r="L204" s="203"/>
      <c r="M204" s="204"/>
      <c r="N204" s="205"/>
      <c r="O204" s="206"/>
      <c r="P204" s="207"/>
      <c r="Q204" s="207"/>
      <c r="R204" s="207"/>
      <c r="S204" s="207"/>
      <c r="T204" s="208"/>
      <c r="U204" s="195"/>
      <c r="V204" s="195"/>
      <c r="W204" s="195"/>
      <c r="X204" s="195"/>
      <c r="Y204" s="195"/>
      <c r="Z204" s="195"/>
      <c r="AA204" s="195"/>
      <c r="AB204" s="195"/>
      <c r="AC204" s="195"/>
      <c r="AD204" s="195"/>
      <c r="AE204" s="195"/>
      <c r="AR204" s="210"/>
      <c r="AT204" s="210"/>
      <c r="AU204" s="210"/>
      <c r="AY204" s="211"/>
      <c r="BE204" s="212"/>
      <c r="BF204" s="212"/>
      <c r="BG204" s="212"/>
      <c r="BH204" s="212"/>
      <c r="BI204" s="212"/>
      <c r="BJ204" s="211"/>
      <c r="BK204" s="212"/>
      <c r="BL204" s="211"/>
      <c r="BM204" s="210"/>
    </row>
    <row r="205" spans="1:65" s="209" customFormat="1" ht="12">
      <c r="A205" s="195"/>
      <c r="B205" s="196"/>
      <c r="C205" s="197"/>
      <c r="D205" s="197"/>
      <c r="E205" s="198"/>
      <c r="F205" s="215" t="s">
        <v>2983</v>
      </c>
      <c r="G205" s="216"/>
      <c r="H205" s="217">
        <f>SUM(H203:H204)</f>
        <v>6.41</v>
      </c>
      <c r="I205" s="194"/>
      <c r="J205" s="194"/>
      <c r="K205" s="202"/>
      <c r="L205" s="203"/>
      <c r="M205" s="204"/>
      <c r="N205" s="205"/>
      <c r="O205" s="206"/>
      <c r="P205" s="207"/>
      <c r="Q205" s="207"/>
      <c r="R205" s="207"/>
      <c r="S205" s="207"/>
      <c r="T205" s="208"/>
      <c r="U205" s="195"/>
      <c r="V205" s="195"/>
      <c r="W205" s="195"/>
      <c r="X205" s="195"/>
      <c r="Y205" s="195"/>
      <c r="Z205" s="195"/>
      <c r="AA205" s="195"/>
      <c r="AB205" s="195"/>
      <c r="AC205" s="195"/>
      <c r="AD205" s="195"/>
      <c r="AE205" s="195"/>
      <c r="AR205" s="210"/>
      <c r="AT205" s="210"/>
      <c r="AU205" s="210"/>
      <c r="AY205" s="211"/>
      <c r="BE205" s="212"/>
      <c r="BF205" s="212"/>
      <c r="BG205" s="212"/>
      <c r="BH205" s="212"/>
      <c r="BI205" s="212"/>
      <c r="BJ205" s="211"/>
      <c r="BK205" s="212"/>
      <c r="BL205" s="211"/>
      <c r="BM205" s="210"/>
    </row>
    <row r="206" spans="1:65" s="2" customFormat="1" ht="37.9" customHeight="1">
      <c r="A206" s="29"/>
      <c r="B206" s="152"/>
      <c r="C206" s="153" t="s">
        <v>243</v>
      </c>
      <c r="D206" s="153" t="s">
        <v>181</v>
      </c>
      <c r="E206" s="154" t="s">
        <v>244</v>
      </c>
      <c r="F206" s="155" t="s">
        <v>245</v>
      </c>
      <c r="G206" s="156" t="s">
        <v>184</v>
      </c>
      <c r="H206" s="157">
        <v>137.93</v>
      </c>
      <c r="I206" s="158"/>
      <c r="J206" s="159">
        <v>0</v>
      </c>
      <c r="K206" s="160"/>
      <c r="L206" s="30"/>
      <c r="M206" s="161" t="s">
        <v>1</v>
      </c>
      <c r="N206" s="162" t="s">
        <v>35</v>
      </c>
      <c r="O206" s="58"/>
      <c r="P206" s="163">
        <f t="shared" si="0"/>
        <v>0</v>
      </c>
      <c r="Q206" s="163">
        <v>0</v>
      </c>
      <c r="R206" s="163">
        <f t="shared" si="1"/>
        <v>0</v>
      </c>
      <c r="S206" s="163">
        <v>0</v>
      </c>
      <c r="T206" s="164">
        <f t="shared" si="2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65" t="s">
        <v>185</v>
      </c>
      <c r="AT206" s="165" t="s">
        <v>181</v>
      </c>
      <c r="AU206" s="165" t="s">
        <v>82</v>
      </c>
      <c r="AY206" s="14" t="s">
        <v>179</v>
      </c>
      <c r="BE206" s="166">
        <f t="shared" si="3"/>
        <v>0</v>
      </c>
      <c r="BF206" s="166">
        <f t="shared" si="4"/>
        <v>0</v>
      </c>
      <c r="BG206" s="166">
        <f t="shared" si="5"/>
        <v>0</v>
      </c>
      <c r="BH206" s="166">
        <f t="shared" si="6"/>
        <v>0</v>
      </c>
      <c r="BI206" s="166">
        <f t="shared" si="7"/>
        <v>0</v>
      </c>
      <c r="BJ206" s="14" t="s">
        <v>82</v>
      </c>
      <c r="BK206" s="166">
        <f t="shared" si="8"/>
        <v>0</v>
      </c>
      <c r="BL206" s="14" t="s">
        <v>185</v>
      </c>
      <c r="BM206" s="165" t="s">
        <v>246</v>
      </c>
    </row>
    <row r="207" spans="1:65" s="2" customFormat="1" ht="12">
      <c r="A207" s="29"/>
      <c r="B207" s="152"/>
      <c r="C207" s="153"/>
      <c r="D207" s="153"/>
      <c r="E207" s="154"/>
      <c r="F207" s="193" t="s">
        <v>3004</v>
      </c>
      <c r="G207" s="185"/>
      <c r="H207" s="192"/>
      <c r="I207" s="194"/>
      <c r="J207" s="159"/>
      <c r="K207" s="160"/>
      <c r="L207" s="30"/>
      <c r="M207" s="161"/>
      <c r="N207" s="162"/>
      <c r="O207" s="58"/>
      <c r="P207" s="163"/>
      <c r="Q207" s="163"/>
      <c r="R207" s="163"/>
      <c r="S207" s="163"/>
      <c r="T207" s="164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65"/>
      <c r="AT207" s="165"/>
      <c r="AU207" s="165"/>
      <c r="AY207" s="14"/>
      <c r="BE207" s="166"/>
      <c r="BF207" s="166"/>
      <c r="BG207" s="166"/>
      <c r="BH207" s="166"/>
      <c r="BI207" s="166"/>
      <c r="BJ207" s="14"/>
      <c r="BK207" s="166"/>
      <c r="BL207" s="14"/>
      <c r="BM207" s="165"/>
    </row>
    <row r="208" spans="1:65" s="2" customFormat="1" ht="22.5">
      <c r="A208" s="29"/>
      <c r="B208" s="152"/>
      <c r="C208" s="153"/>
      <c r="D208" s="153"/>
      <c r="E208" s="154"/>
      <c r="F208" s="184" t="s">
        <v>3005</v>
      </c>
      <c r="G208" s="185"/>
      <c r="H208" s="186">
        <f>ROUND((12.3+1.95+6.12+1.155+3.16+6.05+2.7+1.31)*3.95-(4*1.1*2.02+0.9*2.02+0.8*2.02),2)</f>
        <v>124.92</v>
      </c>
      <c r="I208" s="194"/>
      <c r="J208" s="159"/>
      <c r="K208" s="160"/>
      <c r="L208" s="30"/>
      <c r="M208" s="161"/>
      <c r="N208" s="162"/>
      <c r="O208" s="58"/>
      <c r="P208" s="163"/>
      <c r="Q208" s="163"/>
      <c r="R208" s="163"/>
      <c r="S208" s="163"/>
      <c r="T208" s="164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65"/>
      <c r="AT208" s="165"/>
      <c r="AU208" s="165"/>
      <c r="AY208" s="14"/>
      <c r="BE208" s="166"/>
      <c r="BF208" s="166"/>
      <c r="BG208" s="166"/>
      <c r="BH208" s="166"/>
      <c r="BI208" s="166"/>
      <c r="BJ208" s="14"/>
      <c r="BK208" s="166"/>
      <c r="BL208" s="14"/>
      <c r="BM208" s="165"/>
    </row>
    <row r="209" spans="1:65" s="2" customFormat="1" ht="12">
      <c r="A209" s="29"/>
      <c r="B209" s="152"/>
      <c r="C209" s="153"/>
      <c r="D209" s="153"/>
      <c r="E209" s="154"/>
      <c r="F209" s="184" t="s">
        <v>3006</v>
      </c>
      <c r="G209" s="185"/>
      <c r="H209" s="186">
        <f>ROUND(2.5*2.3-1.7*2.05,2)</f>
        <v>2.27</v>
      </c>
      <c r="I209" s="194"/>
      <c r="J209" s="159"/>
      <c r="K209" s="160"/>
      <c r="L209" s="30"/>
      <c r="M209" s="161"/>
      <c r="N209" s="162"/>
      <c r="O209" s="58"/>
      <c r="P209" s="163"/>
      <c r="Q209" s="163"/>
      <c r="R209" s="163"/>
      <c r="S209" s="163"/>
      <c r="T209" s="164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65"/>
      <c r="AT209" s="165"/>
      <c r="AU209" s="165"/>
      <c r="AY209" s="14"/>
      <c r="BE209" s="166"/>
      <c r="BF209" s="166"/>
      <c r="BG209" s="166"/>
      <c r="BH209" s="166"/>
      <c r="BI209" s="166"/>
      <c r="BJ209" s="14"/>
      <c r="BK209" s="166"/>
      <c r="BL209" s="14"/>
      <c r="BM209" s="165"/>
    </row>
    <row r="210" spans="1:65" s="2" customFormat="1" ht="12">
      <c r="A210" s="29"/>
      <c r="B210" s="152"/>
      <c r="C210" s="153"/>
      <c r="D210" s="153"/>
      <c r="E210" s="154"/>
      <c r="F210" s="184" t="s">
        <v>3007</v>
      </c>
      <c r="G210" s="185"/>
      <c r="H210" s="186">
        <f>ROUND(2.3*5.65-1.1*2.05,2)</f>
        <v>10.74</v>
      </c>
      <c r="I210" s="194"/>
      <c r="J210" s="159"/>
      <c r="K210" s="160"/>
      <c r="L210" s="30"/>
      <c r="M210" s="161"/>
      <c r="N210" s="162"/>
      <c r="O210" s="58"/>
      <c r="P210" s="163"/>
      <c r="Q210" s="163"/>
      <c r="R210" s="163"/>
      <c r="S210" s="163"/>
      <c r="T210" s="164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65"/>
      <c r="AT210" s="165"/>
      <c r="AU210" s="165"/>
      <c r="AY210" s="14"/>
      <c r="BE210" s="166"/>
      <c r="BF210" s="166"/>
      <c r="BG210" s="166"/>
      <c r="BH210" s="166"/>
      <c r="BI210" s="166"/>
      <c r="BJ210" s="14"/>
      <c r="BK210" s="166"/>
      <c r="BL210" s="14"/>
      <c r="BM210" s="165"/>
    </row>
    <row r="211" spans="1:65" s="2" customFormat="1" ht="12">
      <c r="A211" s="29"/>
      <c r="B211" s="152"/>
      <c r="C211" s="153"/>
      <c r="D211" s="153"/>
      <c r="E211" s="154"/>
      <c r="F211" s="187" t="s">
        <v>2983</v>
      </c>
      <c r="G211" s="188"/>
      <c r="H211" s="189">
        <f>SUM(H207:H210)</f>
        <v>137.93</v>
      </c>
      <c r="I211" s="194"/>
      <c r="J211" s="159"/>
      <c r="K211" s="160"/>
      <c r="L211" s="30"/>
      <c r="M211" s="161"/>
      <c r="N211" s="162"/>
      <c r="O211" s="58"/>
      <c r="P211" s="163"/>
      <c r="Q211" s="163"/>
      <c r="R211" s="163"/>
      <c r="S211" s="163"/>
      <c r="T211" s="164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65"/>
      <c r="AT211" s="165"/>
      <c r="AU211" s="165"/>
      <c r="AY211" s="14"/>
      <c r="BE211" s="166"/>
      <c r="BF211" s="166"/>
      <c r="BG211" s="166"/>
      <c r="BH211" s="166"/>
      <c r="BI211" s="166"/>
      <c r="BJ211" s="14"/>
      <c r="BK211" s="166"/>
      <c r="BL211" s="14"/>
      <c r="BM211" s="165"/>
    </row>
    <row r="212" spans="1:65" s="12" customFormat="1" ht="22.9" customHeight="1">
      <c r="B212" s="139"/>
      <c r="D212" s="140" t="s">
        <v>68</v>
      </c>
      <c r="E212" s="150" t="s">
        <v>185</v>
      </c>
      <c r="F212" s="150" t="s">
        <v>247</v>
      </c>
      <c r="I212" s="142"/>
      <c r="J212" s="151">
        <v>0</v>
      </c>
      <c r="L212" s="139"/>
      <c r="M212" s="144"/>
      <c r="N212" s="145"/>
      <c r="O212" s="145"/>
      <c r="P212" s="146">
        <f>SUM(P213:P220)</f>
        <v>0</v>
      </c>
      <c r="Q212" s="145"/>
      <c r="R212" s="146">
        <f>SUM(R213:R220)</f>
        <v>3.9072061680000006E-2</v>
      </c>
      <c r="S212" s="145"/>
      <c r="T212" s="147">
        <f>SUM(T213:T220)</f>
        <v>0</v>
      </c>
      <c r="AR212" s="140" t="s">
        <v>76</v>
      </c>
      <c r="AT212" s="148" t="s">
        <v>68</v>
      </c>
      <c r="AU212" s="148" t="s">
        <v>76</v>
      </c>
      <c r="AY212" s="140" t="s">
        <v>179</v>
      </c>
      <c r="BK212" s="149">
        <f>SUM(BK213:BK220)</f>
        <v>0</v>
      </c>
    </row>
    <row r="213" spans="1:65" s="2" customFormat="1" ht="24.2" customHeight="1">
      <c r="A213" s="29"/>
      <c r="B213" s="152"/>
      <c r="C213" s="153" t="s">
        <v>218</v>
      </c>
      <c r="D213" s="153" t="s">
        <v>181</v>
      </c>
      <c r="E213" s="154" t="s">
        <v>248</v>
      </c>
      <c r="F213" s="155" t="s">
        <v>249</v>
      </c>
      <c r="G213" s="156" t="s">
        <v>196</v>
      </c>
      <c r="H213" s="157">
        <v>0.96</v>
      </c>
      <c r="I213" s="158"/>
      <c r="J213" s="159">
        <v>0</v>
      </c>
      <c r="K213" s="160"/>
      <c r="L213" s="30"/>
      <c r="M213" s="161" t="s">
        <v>1</v>
      </c>
      <c r="N213" s="162" t="s">
        <v>35</v>
      </c>
      <c r="O213" s="58"/>
      <c r="P213" s="163">
        <f>O213*H213</f>
        <v>0</v>
      </c>
      <c r="Q213" s="163">
        <v>0</v>
      </c>
      <c r="R213" s="163">
        <f>Q213*H213</f>
        <v>0</v>
      </c>
      <c r="S213" s="163">
        <v>0</v>
      </c>
      <c r="T213" s="164">
        <f>S213*H213</f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65" t="s">
        <v>185</v>
      </c>
      <c r="AT213" s="165" t="s">
        <v>181</v>
      </c>
      <c r="AU213" s="165" t="s">
        <v>82</v>
      </c>
      <c r="AY213" s="14" t="s">
        <v>179</v>
      </c>
      <c r="BE213" s="166">
        <f>IF(N213="základná",J213,0)</f>
        <v>0</v>
      </c>
      <c r="BF213" s="166">
        <f>IF(N213="znížená",J213,0)</f>
        <v>0</v>
      </c>
      <c r="BG213" s="166">
        <f>IF(N213="zákl. prenesená",J213,0)</f>
        <v>0</v>
      </c>
      <c r="BH213" s="166">
        <f>IF(N213="zníž. prenesená",J213,0)</f>
        <v>0</v>
      </c>
      <c r="BI213" s="166">
        <f>IF(N213="nulová",J213,0)</f>
        <v>0</v>
      </c>
      <c r="BJ213" s="14" t="s">
        <v>82</v>
      </c>
      <c r="BK213" s="166">
        <f>ROUND(I213*H213,2)</f>
        <v>0</v>
      </c>
      <c r="BL213" s="14" t="s">
        <v>185</v>
      </c>
      <c r="BM213" s="165" t="s">
        <v>250</v>
      </c>
    </row>
    <row r="214" spans="1:65" s="2" customFormat="1" ht="22.5">
      <c r="A214" s="29"/>
      <c r="B214" s="152"/>
      <c r="C214" s="153"/>
      <c r="D214" s="153"/>
      <c r="E214" s="154"/>
      <c r="F214" s="184" t="s">
        <v>3008</v>
      </c>
      <c r="G214" s="185"/>
      <c r="H214" s="186">
        <f>ROUND(2.327*0.7*0.15+8*1/2*0.18125*0.26*0.7+1.82*0.4*0.8,2)</f>
        <v>0.96</v>
      </c>
      <c r="I214" s="194"/>
      <c r="J214" s="159"/>
      <c r="K214" s="160"/>
      <c r="L214" s="30"/>
      <c r="M214" s="161"/>
      <c r="N214" s="162"/>
      <c r="O214" s="58"/>
      <c r="P214" s="163"/>
      <c r="Q214" s="163"/>
      <c r="R214" s="163"/>
      <c r="S214" s="163"/>
      <c r="T214" s="164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65"/>
      <c r="AT214" s="165"/>
      <c r="AU214" s="165"/>
      <c r="AY214" s="14"/>
      <c r="BE214" s="166"/>
      <c r="BF214" s="166"/>
      <c r="BG214" s="166"/>
      <c r="BH214" s="166"/>
      <c r="BI214" s="166"/>
      <c r="BJ214" s="14"/>
      <c r="BK214" s="166"/>
      <c r="BL214" s="14"/>
      <c r="BM214" s="165"/>
    </row>
    <row r="215" spans="1:65" s="2" customFormat="1" ht="12">
      <c r="A215" s="29"/>
      <c r="B215" s="152"/>
      <c r="C215" s="153"/>
      <c r="D215" s="153"/>
      <c r="E215" s="154"/>
      <c r="F215" s="187" t="s">
        <v>2983</v>
      </c>
      <c r="G215" s="188"/>
      <c r="H215" s="189">
        <f>SUM(H214:H214)</f>
        <v>0.96</v>
      </c>
      <c r="I215" s="194"/>
      <c r="J215" s="159"/>
      <c r="K215" s="160"/>
      <c r="L215" s="30"/>
      <c r="M215" s="161"/>
      <c r="N215" s="162"/>
      <c r="O215" s="58"/>
      <c r="P215" s="163"/>
      <c r="Q215" s="163"/>
      <c r="R215" s="163"/>
      <c r="S215" s="163"/>
      <c r="T215" s="164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65"/>
      <c r="AT215" s="165"/>
      <c r="AU215" s="165"/>
      <c r="AY215" s="14"/>
      <c r="BE215" s="166"/>
      <c r="BF215" s="166"/>
      <c r="BG215" s="166"/>
      <c r="BH215" s="166"/>
      <c r="BI215" s="166"/>
      <c r="BJ215" s="14"/>
      <c r="BK215" s="166"/>
      <c r="BL215" s="14"/>
      <c r="BM215" s="165"/>
    </row>
    <row r="216" spans="1:65" s="2" customFormat="1" ht="24.2" customHeight="1">
      <c r="A216" s="29"/>
      <c r="B216" s="152"/>
      <c r="C216" s="153" t="s">
        <v>251</v>
      </c>
      <c r="D216" s="153" t="s">
        <v>181</v>
      </c>
      <c r="E216" s="154" t="s">
        <v>252</v>
      </c>
      <c r="F216" s="155" t="s">
        <v>253</v>
      </c>
      <c r="G216" s="156" t="s">
        <v>184</v>
      </c>
      <c r="H216" s="157">
        <v>1.26</v>
      </c>
      <c r="I216" s="158"/>
      <c r="J216" s="159">
        <v>0</v>
      </c>
      <c r="K216" s="160"/>
      <c r="L216" s="30"/>
      <c r="M216" s="161" t="s">
        <v>1</v>
      </c>
      <c r="N216" s="162" t="s">
        <v>35</v>
      </c>
      <c r="O216" s="58"/>
      <c r="P216" s="163">
        <f>O216*H216</f>
        <v>0</v>
      </c>
      <c r="Q216" s="163">
        <v>2.146226E-2</v>
      </c>
      <c r="R216" s="163">
        <f>Q216*H216</f>
        <v>2.7042447600000002E-2</v>
      </c>
      <c r="S216" s="163">
        <v>0</v>
      </c>
      <c r="T216" s="164">
        <f>S216*H216</f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65" t="s">
        <v>185</v>
      </c>
      <c r="AT216" s="165" t="s">
        <v>181</v>
      </c>
      <c r="AU216" s="165" t="s">
        <v>82</v>
      </c>
      <c r="AY216" s="14" t="s">
        <v>179</v>
      </c>
      <c r="BE216" s="166">
        <f>IF(N216="základná",J216,0)</f>
        <v>0</v>
      </c>
      <c r="BF216" s="166">
        <f>IF(N216="znížená",J216,0)</f>
        <v>0</v>
      </c>
      <c r="BG216" s="166">
        <f>IF(N216="zákl. prenesená",J216,0)</f>
        <v>0</v>
      </c>
      <c r="BH216" s="166">
        <f>IF(N216="zníž. prenesená",J216,0)</f>
        <v>0</v>
      </c>
      <c r="BI216" s="166">
        <f>IF(N216="nulová",J216,0)</f>
        <v>0</v>
      </c>
      <c r="BJ216" s="14" t="s">
        <v>82</v>
      </c>
      <c r="BK216" s="166">
        <f>ROUND(I216*H216,2)</f>
        <v>0</v>
      </c>
      <c r="BL216" s="14" t="s">
        <v>185</v>
      </c>
      <c r="BM216" s="165" t="s">
        <v>254</v>
      </c>
    </row>
    <row r="217" spans="1:65" s="2" customFormat="1" ht="12">
      <c r="A217" s="29"/>
      <c r="B217" s="152"/>
      <c r="C217" s="153"/>
      <c r="D217" s="153"/>
      <c r="E217" s="154"/>
      <c r="F217" s="184" t="s">
        <v>3009</v>
      </c>
      <c r="G217" s="185"/>
      <c r="H217" s="186">
        <f>ROUND((2.327*0.15+8*0.18125)*0.7,2)</f>
        <v>1.26</v>
      </c>
      <c r="I217" s="194"/>
      <c r="J217" s="159"/>
      <c r="K217" s="160"/>
      <c r="L217" s="30"/>
      <c r="M217" s="161"/>
      <c r="N217" s="162"/>
      <c r="O217" s="58"/>
      <c r="P217" s="163"/>
      <c r="Q217" s="163"/>
      <c r="R217" s="163"/>
      <c r="S217" s="163"/>
      <c r="T217" s="164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65"/>
      <c r="AT217" s="165"/>
      <c r="AU217" s="165"/>
      <c r="AY217" s="14"/>
      <c r="BE217" s="166"/>
      <c r="BF217" s="166"/>
      <c r="BG217" s="166"/>
      <c r="BH217" s="166"/>
      <c r="BI217" s="166"/>
      <c r="BJ217" s="14"/>
      <c r="BK217" s="166"/>
      <c r="BL217" s="14"/>
      <c r="BM217" s="165"/>
    </row>
    <row r="218" spans="1:65" s="2" customFormat="1" ht="12">
      <c r="A218" s="29"/>
      <c r="B218" s="152"/>
      <c r="C218" s="153"/>
      <c r="D218" s="153"/>
      <c r="E218" s="154"/>
      <c r="F218" s="187" t="s">
        <v>2983</v>
      </c>
      <c r="G218" s="188"/>
      <c r="H218" s="189">
        <f>SUM(H217:H217)</f>
        <v>1.26</v>
      </c>
      <c r="I218" s="194"/>
      <c r="J218" s="159"/>
      <c r="K218" s="160"/>
      <c r="L218" s="30"/>
      <c r="M218" s="161"/>
      <c r="N218" s="162"/>
      <c r="O218" s="58"/>
      <c r="P218" s="163"/>
      <c r="Q218" s="163"/>
      <c r="R218" s="163"/>
      <c r="S218" s="163"/>
      <c r="T218" s="164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65"/>
      <c r="AT218" s="165"/>
      <c r="AU218" s="165"/>
      <c r="AY218" s="14"/>
      <c r="BE218" s="166"/>
      <c r="BF218" s="166"/>
      <c r="BG218" s="166"/>
      <c r="BH218" s="166"/>
      <c r="BI218" s="166"/>
      <c r="BJ218" s="14"/>
      <c r="BK218" s="166"/>
      <c r="BL218" s="14"/>
      <c r="BM218" s="165"/>
    </row>
    <row r="219" spans="1:65" s="2" customFormat="1" ht="24.2" customHeight="1">
      <c r="A219" s="29"/>
      <c r="B219" s="152"/>
      <c r="C219" s="153" t="s">
        <v>221</v>
      </c>
      <c r="D219" s="153" t="s">
        <v>181</v>
      </c>
      <c r="E219" s="154" t="s">
        <v>255</v>
      </c>
      <c r="F219" s="155" t="s">
        <v>256</v>
      </c>
      <c r="G219" s="156" t="s">
        <v>184</v>
      </c>
      <c r="H219" s="157">
        <v>1.26</v>
      </c>
      <c r="I219" s="158"/>
      <c r="J219" s="159">
        <v>0</v>
      </c>
      <c r="K219" s="160"/>
      <c r="L219" s="30"/>
      <c r="M219" s="161" t="s">
        <v>1</v>
      </c>
      <c r="N219" s="162" t="s">
        <v>35</v>
      </c>
      <c r="O219" s="58"/>
      <c r="P219" s="163">
        <f>O219*H219</f>
        <v>0</v>
      </c>
      <c r="Q219" s="163">
        <v>0</v>
      </c>
      <c r="R219" s="163">
        <f>Q219*H219</f>
        <v>0</v>
      </c>
      <c r="S219" s="163">
        <v>0</v>
      </c>
      <c r="T219" s="164">
        <f>S219*H219</f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65" t="s">
        <v>185</v>
      </c>
      <c r="AT219" s="165" t="s">
        <v>181</v>
      </c>
      <c r="AU219" s="165" t="s">
        <v>82</v>
      </c>
      <c r="AY219" s="14" t="s">
        <v>179</v>
      </c>
      <c r="BE219" s="166">
        <f>IF(N219="základná",J219,0)</f>
        <v>0</v>
      </c>
      <c r="BF219" s="166">
        <f>IF(N219="znížená",J219,0)</f>
        <v>0</v>
      </c>
      <c r="BG219" s="166">
        <f>IF(N219="zákl. prenesená",J219,0)</f>
        <v>0</v>
      </c>
      <c r="BH219" s="166">
        <f>IF(N219="zníž. prenesená",J219,0)</f>
        <v>0</v>
      </c>
      <c r="BI219" s="166">
        <f>IF(N219="nulová",J219,0)</f>
        <v>0</v>
      </c>
      <c r="BJ219" s="14" t="s">
        <v>82</v>
      </c>
      <c r="BK219" s="166">
        <f>ROUND(I219*H219,2)</f>
        <v>0</v>
      </c>
      <c r="BL219" s="14" t="s">
        <v>185</v>
      </c>
      <c r="BM219" s="165" t="s">
        <v>257</v>
      </c>
    </row>
    <row r="220" spans="1:65" s="2" customFormat="1" ht="24.2" customHeight="1">
      <c r="A220" s="29"/>
      <c r="B220" s="152"/>
      <c r="C220" s="153" t="s">
        <v>258</v>
      </c>
      <c r="D220" s="153" t="s">
        <v>181</v>
      </c>
      <c r="E220" s="154" t="s">
        <v>259</v>
      </c>
      <c r="F220" s="155" t="s">
        <v>260</v>
      </c>
      <c r="G220" s="156" t="s">
        <v>191</v>
      </c>
      <c r="H220" s="157">
        <v>0.01</v>
      </c>
      <c r="I220" s="158"/>
      <c r="J220" s="159">
        <v>0</v>
      </c>
      <c r="K220" s="160"/>
      <c r="L220" s="30"/>
      <c r="M220" s="161" t="s">
        <v>1</v>
      </c>
      <c r="N220" s="162" t="s">
        <v>35</v>
      </c>
      <c r="O220" s="58"/>
      <c r="P220" s="163">
        <f>O220*H220</f>
        <v>0</v>
      </c>
      <c r="Q220" s="163">
        <v>1.202961408</v>
      </c>
      <c r="R220" s="163">
        <f>Q220*H220</f>
        <v>1.2029614080000001E-2</v>
      </c>
      <c r="S220" s="163">
        <v>0</v>
      </c>
      <c r="T220" s="164">
        <f>S220*H220</f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65" t="s">
        <v>185</v>
      </c>
      <c r="AT220" s="165" t="s">
        <v>181</v>
      </c>
      <c r="AU220" s="165" t="s">
        <v>82</v>
      </c>
      <c r="AY220" s="14" t="s">
        <v>179</v>
      </c>
      <c r="BE220" s="166">
        <f>IF(N220="základná",J220,0)</f>
        <v>0</v>
      </c>
      <c r="BF220" s="166">
        <f>IF(N220="znížená",J220,0)</f>
        <v>0</v>
      </c>
      <c r="BG220" s="166">
        <f>IF(N220="zákl. prenesená",J220,0)</f>
        <v>0</v>
      </c>
      <c r="BH220" s="166">
        <f>IF(N220="zníž. prenesená",J220,0)</f>
        <v>0</v>
      </c>
      <c r="BI220" s="166">
        <f>IF(N220="nulová",J220,0)</f>
        <v>0</v>
      </c>
      <c r="BJ220" s="14" t="s">
        <v>82</v>
      </c>
      <c r="BK220" s="166">
        <f>ROUND(I220*H220,2)</f>
        <v>0</v>
      </c>
      <c r="BL220" s="14" t="s">
        <v>185</v>
      </c>
      <c r="BM220" s="165" t="s">
        <v>261</v>
      </c>
    </row>
    <row r="221" spans="1:65" s="2" customFormat="1" ht="22.5">
      <c r="A221" s="29"/>
      <c r="B221" s="152"/>
      <c r="C221" s="153"/>
      <c r="D221" s="153"/>
      <c r="E221" s="154"/>
      <c r="F221" s="184" t="s">
        <v>3010</v>
      </c>
      <c r="G221" s="185"/>
      <c r="H221" s="186">
        <f>ROUND(1.7*7.9*1.02/1000,2)</f>
        <v>0.01</v>
      </c>
      <c r="I221" s="194"/>
      <c r="J221" s="159"/>
      <c r="K221" s="160"/>
      <c r="L221" s="30"/>
      <c r="M221" s="161"/>
      <c r="N221" s="162"/>
      <c r="O221" s="58"/>
      <c r="P221" s="163"/>
      <c r="Q221" s="163"/>
      <c r="R221" s="163"/>
      <c r="S221" s="163"/>
      <c r="T221" s="164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65"/>
      <c r="AT221" s="165"/>
      <c r="AU221" s="165"/>
      <c r="AY221" s="14"/>
      <c r="BE221" s="166"/>
      <c r="BF221" s="166"/>
      <c r="BG221" s="166"/>
      <c r="BH221" s="166"/>
      <c r="BI221" s="166"/>
      <c r="BJ221" s="14"/>
      <c r="BK221" s="166"/>
      <c r="BL221" s="14"/>
      <c r="BM221" s="165"/>
    </row>
    <row r="222" spans="1:65" s="2" customFormat="1" ht="12">
      <c r="A222" s="29"/>
      <c r="B222" s="152"/>
      <c r="C222" s="153"/>
      <c r="D222" s="153"/>
      <c r="E222" s="154"/>
      <c r="F222" s="187" t="s">
        <v>2983</v>
      </c>
      <c r="G222" s="188"/>
      <c r="H222" s="189">
        <f>SUM(H221:H221)</f>
        <v>0.01</v>
      </c>
      <c r="I222" s="194"/>
      <c r="J222" s="159"/>
      <c r="K222" s="160"/>
      <c r="L222" s="30"/>
      <c r="M222" s="161"/>
      <c r="N222" s="162"/>
      <c r="O222" s="58"/>
      <c r="P222" s="163"/>
      <c r="Q222" s="163"/>
      <c r="R222" s="163"/>
      <c r="S222" s="163"/>
      <c r="T222" s="164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65"/>
      <c r="AT222" s="165"/>
      <c r="AU222" s="165"/>
      <c r="AY222" s="14"/>
      <c r="BE222" s="166"/>
      <c r="BF222" s="166"/>
      <c r="BG222" s="166"/>
      <c r="BH222" s="166"/>
      <c r="BI222" s="166"/>
      <c r="BJ222" s="14"/>
      <c r="BK222" s="166"/>
      <c r="BL222" s="14"/>
      <c r="BM222" s="165"/>
    </row>
    <row r="223" spans="1:65" s="12" customFormat="1" ht="22.9" customHeight="1">
      <c r="B223" s="139"/>
      <c r="D223" s="140" t="s">
        <v>68</v>
      </c>
      <c r="E223" s="150" t="s">
        <v>198</v>
      </c>
      <c r="F223" s="150" t="s">
        <v>262</v>
      </c>
      <c r="I223" s="142"/>
      <c r="J223" s="151">
        <v>0</v>
      </c>
      <c r="L223" s="139"/>
      <c r="M223" s="144"/>
      <c r="N223" s="145"/>
      <c r="O223" s="145"/>
      <c r="P223" s="146">
        <f>SUM(P224:P233)</f>
        <v>0</v>
      </c>
      <c r="Q223" s="145"/>
      <c r="R223" s="146">
        <f>SUM(R224:R233)</f>
        <v>8.0154515625000009</v>
      </c>
      <c r="S223" s="145"/>
      <c r="T223" s="147">
        <f>SUM(T224:T233)</f>
        <v>0</v>
      </c>
      <c r="AR223" s="140" t="s">
        <v>76</v>
      </c>
      <c r="AT223" s="148" t="s">
        <v>68</v>
      </c>
      <c r="AU223" s="148" t="s">
        <v>76</v>
      </c>
      <c r="AY223" s="140" t="s">
        <v>179</v>
      </c>
      <c r="BK223" s="149">
        <f>SUM(BK224:BK233)</f>
        <v>0</v>
      </c>
    </row>
    <row r="224" spans="1:65" s="2" customFormat="1" ht="33" customHeight="1">
      <c r="A224" s="29"/>
      <c r="B224" s="152"/>
      <c r="C224" s="153" t="s">
        <v>225</v>
      </c>
      <c r="D224" s="153" t="s">
        <v>181</v>
      </c>
      <c r="E224" s="154" t="s">
        <v>263</v>
      </c>
      <c r="F224" s="155" t="s">
        <v>264</v>
      </c>
      <c r="G224" s="156" t="s">
        <v>184</v>
      </c>
      <c r="H224" s="157">
        <v>12.5</v>
      </c>
      <c r="I224" s="158"/>
      <c r="J224" s="159">
        <v>0</v>
      </c>
      <c r="K224" s="160"/>
      <c r="L224" s="30"/>
      <c r="M224" s="161" t="s">
        <v>1</v>
      </c>
      <c r="N224" s="162" t="s">
        <v>35</v>
      </c>
      <c r="O224" s="58"/>
      <c r="P224" s="163">
        <f>O224*H224</f>
        <v>0</v>
      </c>
      <c r="Q224" s="163">
        <v>0.29899999999999999</v>
      </c>
      <c r="R224" s="163">
        <f>Q224*H224</f>
        <v>3.7374999999999998</v>
      </c>
      <c r="S224" s="163">
        <v>0</v>
      </c>
      <c r="T224" s="164">
        <f>S224*H224</f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65" t="s">
        <v>185</v>
      </c>
      <c r="AT224" s="165" t="s">
        <v>181</v>
      </c>
      <c r="AU224" s="165" t="s">
        <v>82</v>
      </c>
      <c r="AY224" s="14" t="s">
        <v>179</v>
      </c>
      <c r="BE224" s="166">
        <f>IF(N224="základná",J224,0)</f>
        <v>0</v>
      </c>
      <c r="BF224" s="166">
        <f>IF(N224="znížená",J224,0)</f>
        <v>0</v>
      </c>
      <c r="BG224" s="166">
        <f>IF(N224="zákl. prenesená",J224,0)</f>
        <v>0</v>
      </c>
      <c r="BH224" s="166">
        <f>IF(N224="zníž. prenesená",J224,0)</f>
        <v>0</v>
      </c>
      <c r="BI224" s="166">
        <f>IF(N224="nulová",J224,0)</f>
        <v>0</v>
      </c>
      <c r="BJ224" s="14" t="s">
        <v>82</v>
      </c>
      <c r="BK224" s="166">
        <f>ROUND(I224*H224,2)</f>
        <v>0</v>
      </c>
      <c r="BL224" s="14" t="s">
        <v>185</v>
      </c>
      <c r="BM224" s="165" t="s">
        <v>265</v>
      </c>
    </row>
    <row r="225" spans="1:65" s="2" customFormat="1" ht="12">
      <c r="A225" s="29"/>
      <c r="B225" s="152"/>
      <c r="C225" s="153"/>
      <c r="D225" s="153"/>
      <c r="E225" s="154"/>
      <c r="F225" s="184" t="s">
        <v>2987</v>
      </c>
      <c r="G225" s="185"/>
      <c r="H225" s="186">
        <f>ROUNDUP((5.3+4.84+7.64)*0.7,1)</f>
        <v>12.5</v>
      </c>
      <c r="I225" s="194"/>
      <c r="J225" s="159"/>
      <c r="K225" s="160"/>
      <c r="L225" s="30"/>
      <c r="M225" s="161"/>
      <c r="N225" s="162"/>
      <c r="O225" s="58"/>
      <c r="P225" s="163"/>
      <c r="Q225" s="163"/>
      <c r="R225" s="163"/>
      <c r="S225" s="163"/>
      <c r="T225" s="164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65"/>
      <c r="AT225" s="165"/>
      <c r="AU225" s="165"/>
      <c r="AY225" s="14"/>
      <c r="BE225" s="166"/>
      <c r="BF225" s="166"/>
      <c r="BG225" s="166"/>
      <c r="BH225" s="166"/>
      <c r="BI225" s="166"/>
      <c r="BJ225" s="14"/>
      <c r="BK225" s="166"/>
      <c r="BL225" s="14"/>
      <c r="BM225" s="165"/>
    </row>
    <row r="226" spans="1:65" s="2" customFormat="1" ht="12">
      <c r="A226" s="29"/>
      <c r="B226" s="152"/>
      <c r="C226" s="153"/>
      <c r="D226" s="153"/>
      <c r="E226" s="154"/>
      <c r="F226" s="187" t="s">
        <v>2983</v>
      </c>
      <c r="G226" s="188"/>
      <c r="H226" s="189">
        <f>SUM(H225:H225)</f>
        <v>12.5</v>
      </c>
      <c r="I226" s="194"/>
      <c r="J226" s="159"/>
      <c r="K226" s="160"/>
      <c r="L226" s="30"/>
      <c r="M226" s="161"/>
      <c r="N226" s="162"/>
      <c r="O226" s="58"/>
      <c r="P226" s="163"/>
      <c r="Q226" s="163"/>
      <c r="R226" s="163"/>
      <c r="S226" s="163"/>
      <c r="T226" s="164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65"/>
      <c r="AT226" s="165"/>
      <c r="AU226" s="165"/>
      <c r="AY226" s="14"/>
      <c r="BE226" s="166"/>
      <c r="BF226" s="166"/>
      <c r="BG226" s="166"/>
      <c r="BH226" s="166"/>
      <c r="BI226" s="166"/>
      <c r="BJ226" s="14"/>
      <c r="BK226" s="166"/>
      <c r="BL226" s="14"/>
      <c r="BM226" s="165"/>
    </row>
    <row r="227" spans="1:65" s="2" customFormat="1" ht="33" customHeight="1">
      <c r="A227" s="29"/>
      <c r="B227" s="152"/>
      <c r="C227" s="153" t="s">
        <v>7</v>
      </c>
      <c r="D227" s="153" t="s">
        <v>181</v>
      </c>
      <c r="E227" s="154" t="s">
        <v>266</v>
      </c>
      <c r="F227" s="155" t="s">
        <v>267</v>
      </c>
      <c r="G227" s="156" t="s">
        <v>184</v>
      </c>
      <c r="H227" s="157">
        <v>12.5</v>
      </c>
      <c r="I227" s="158"/>
      <c r="J227" s="159">
        <v>0</v>
      </c>
      <c r="K227" s="160"/>
      <c r="L227" s="30"/>
      <c r="M227" s="161" t="s">
        <v>1</v>
      </c>
      <c r="N227" s="162" t="s">
        <v>35</v>
      </c>
      <c r="O227" s="58"/>
      <c r="P227" s="163">
        <f>O227*H227</f>
        <v>0</v>
      </c>
      <c r="Q227" s="163">
        <v>0.342236125</v>
      </c>
      <c r="R227" s="163">
        <f>Q227*H227</f>
        <v>4.2779515625000002</v>
      </c>
      <c r="S227" s="163">
        <v>0</v>
      </c>
      <c r="T227" s="164">
        <f>S227*H227</f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65" t="s">
        <v>185</v>
      </c>
      <c r="AT227" s="165" t="s">
        <v>181</v>
      </c>
      <c r="AU227" s="165" t="s">
        <v>82</v>
      </c>
      <c r="AY227" s="14" t="s">
        <v>179</v>
      </c>
      <c r="BE227" s="166">
        <f>IF(N227="základná",J227,0)</f>
        <v>0</v>
      </c>
      <c r="BF227" s="166">
        <f>IF(N227="znížená",J227,0)</f>
        <v>0</v>
      </c>
      <c r="BG227" s="166">
        <f>IF(N227="zákl. prenesená",J227,0)</f>
        <v>0</v>
      </c>
      <c r="BH227" s="166">
        <f>IF(N227="zníž. prenesená",J227,0)</f>
        <v>0</v>
      </c>
      <c r="BI227" s="166">
        <f>IF(N227="nulová",J227,0)</f>
        <v>0</v>
      </c>
      <c r="BJ227" s="14" t="s">
        <v>82</v>
      </c>
      <c r="BK227" s="166">
        <f>ROUND(I227*H227,2)</f>
        <v>0</v>
      </c>
      <c r="BL227" s="14" t="s">
        <v>185</v>
      </c>
      <c r="BM227" s="165" t="s">
        <v>268</v>
      </c>
    </row>
    <row r="228" spans="1:65" s="2" customFormat="1" ht="12">
      <c r="A228" s="29"/>
      <c r="B228" s="152"/>
      <c r="C228" s="153"/>
      <c r="D228" s="153"/>
      <c r="E228" s="154"/>
      <c r="F228" s="184" t="s">
        <v>2987</v>
      </c>
      <c r="G228" s="185"/>
      <c r="H228" s="186">
        <f>ROUNDUP((5.3+4.84+7.64)*0.7,1)</f>
        <v>12.5</v>
      </c>
      <c r="I228" s="194"/>
      <c r="J228" s="159"/>
      <c r="K228" s="160"/>
      <c r="L228" s="30"/>
      <c r="M228" s="161"/>
      <c r="N228" s="162"/>
      <c r="O228" s="58"/>
      <c r="P228" s="163"/>
      <c r="Q228" s="163"/>
      <c r="R228" s="163"/>
      <c r="S228" s="163"/>
      <c r="T228" s="164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65"/>
      <c r="AT228" s="165"/>
      <c r="AU228" s="165"/>
      <c r="AY228" s="14"/>
      <c r="BE228" s="166"/>
      <c r="BF228" s="166"/>
      <c r="BG228" s="166"/>
      <c r="BH228" s="166"/>
      <c r="BI228" s="166"/>
      <c r="BJ228" s="14"/>
      <c r="BK228" s="166"/>
      <c r="BL228" s="14"/>
      <c r="BM228" s="165"/>
    </row>
    <row r="229" spans="1:65" s="2" customFormat="1" ht="12">
      <c r="A229" s="29"/>
      <c r="B229" s="152"/>
      <c r="C229" s="153"/>
      <c r="D229" s="153"/>
      <c r="E229" s="154"/>
      <c r="F229" s="187" t="s">
        <v>2983</v>
      </c>
      <c r="G229" s="188"/>
      <c r="H229" s="189">
        <f>SUM(H228:H228)</f>
        <v>12.5</v>
      </c>
      <c r="I229" s="194"/>
      <c r="J229" s="159"/>
      <c r="K229" s="160"/>
      <c r="L229" s="30"/>
      <c r="M229" s="161"/>
      <c r="N229" s="162"/>
      <c r="O229" s="58"/>
      <c r="P229" s="163"/>
      <c r="Q229" s="163"/>
      <c r="R229" s="163"/>
      <c r="S229" s="163"/>
      <c r="T229" s="164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65"/>
      <c r="AT229" s="165"/>
      <c r="AU229" s="165"/>
      <c r="AY229" s="14"/>
      <c r="BE229" s="166"/>
      <c r="BF229" s="166"/>
      <c r="BG229" s="166"/>
      <c r="BH229" s="166"/>
      <c r="BI229" s="166"/>
      <c r="BJ229" s="14"/>
      <c r="BK229" s="166"/>
      <c r="BL229" s="14"/>
      <c r="BM229" s="165"/>
    </row>
    <row r="230" spans="1:65" s="2" customFormat="1" ht="16.5" customHeight="1">
      <c r="A230" s="29"/>
      <c r="B230" s="152"/>
      <c r="C230" s="153" t="s">
        <v>228</v>
      </c>
      <c r="D230" s="153" t="s">
        <v>181</v>
      </c>
      <c r="E230" s="154" t="s">
        <v>269</v>
      </c>
      <c r="F230" s="155" t="s">
        <v>270</v>
      </c>
      <c r="G230" s="156" t="s">
        <v>184</v>
      </c>
      <c r="H230" s="157">
        <v>2</v>
      </c>
      <c r="I230" s="158"/>
      <c r="J230" s="159">
        <v>0</v>
      </c>
      <c r="K230" s="160"/>
      <c r="L230" s="30"/>
      <c r="M230" s="161" t="s">
        <v>1</v>
      </c>
      <c r="N230" s="162" t="s">
        <v>35</v>
      </c>
      <c r="O230" s="58"/>
      <c r="P230" s="163">
        <f>O230*H230</f>
        <v>0</v>
      </c>
      <c r="Q230" s="163">
        <v>0</v>
      </c>
      <c r="R230" s="163">
        <f>Q230*H230</f>
        <v>0</v>
      </c>
      <c r="S230" s="163">
        <v>0</v>
      </c>
      <c r="T230" s="164">
        <f>S230*H230</f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65" t="s">
        <v>185</v>
      </c>
      <c r="AT230" s="165" t="s">
        <v>181</v>
      </c>
      <c r="AU230" s="165" t="s">
        <v>82</v>
      </c>
      <c r="AY230" s="14" t="s">
        <v>179</v>
      </c>
      <c r="BE230" s="166">
        <f>IF(N230="základná",J230,0)</f>
        <v>0</v>
      </c>
      <c r="BF230" s="166">
        <f>IF(N230="znížená",J230,0)</f>
        <v>0</v>
      </c>
      <c r="BG230" s="166">
        <f>IF(N230="zákl. prenesená",J230,0)</f>
        <v>0</v>
      </c>
      <c r="BH230" s="166">
        <f>IF(N230="zníž. prenesená",J230,0)</f>
        <v>0</v>
      </c>
      <c r="BI230" s="166">
        <f>IF(N230="nulová",J230,0)</f>
        <v>0</v>
      </c>
      <c r="BJ230" s="14" t="s">
        <v>82</v>
      </c>
      <c r="BK230" s="166">
        <f>ROUND(I230*H230,2)</f>
        <v>0</v>
      </c>
      <c r="BL230" s="14" t="s">
        <v>185</v>
      </c>
      <c r="BM230" s="165" t="s">
        <v>271</v>
      </c>
    </row>
    <row r="231" spans="1:65" s="2" customFormat="1" ht="12">
      <c r="A231" s="29"/>
      <c r="B231" s="152"/>
      <c r="C231" s="153"/>
      <c r="D231" s="153"/>
      <c r="E231" s="154"/>
      <c r="F231" s="218" t="s">
        <v>3011</v>
      </c>
      <c r="G231" s="219"/>
      <c r="H231" s="192">
        <f>0.5*0.5*8</f>
        <v>2</v>
      </c>
      <c r="I231" s="194"/>
      <c r="J231" s="159"/>
      <c r="K231" s="160"/>
      <c r="L231" s="30"/>
      <c r="M231" s="161"/>
      <c r="N231" s="162"/>
      <c r="O231" s="58"/>
      <c r="P231" s="163"/>
      <c r="Q231" s="163"/>
      <c r="R231" s="163"/>
      <c r="S231" s="163"/>
      <c r="T231" s="164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65"/>
      <c r="AT231" s="165"/>
      <c r="AU231" s="165"/>
      <c r="AY231" s="14"/>
      <c r="BE231" s="166"/>
      <c r="BF231" s="166"/>
      <c r="BG231" s="166"/>
      <c r="BH231" s="166"/>
      <c r="BI231" s="166"/>
      <c r="BJ231" s="14"/>
      <c r="BK231" s="166"/>
      <c r="BL231" s="14"/>
      <c r="BM231" s="165"/>
    </row>
    <row r="232" spans="1:65" s="2" customFormat="1" ht="12">
      <c r="A232" s="29"/>
      <c r="B232" s="152"/>
      <c r="C232" s="153"/>
      <c r="D232" s="153"/>
      <c r="E232" s="154"/>
      <c r="F232" s="187" t="s">
        <v>2983</v>
      </c>
      <c r="G232" s="188"/>
      <c r="H232" s="189">
        <f>SUM(H231:H231)</f>
        <v>2</v>
      </c>
      <c r="I232" s="194"/>
      <c r="J232" s="159"/>
      <c r="K232" s="160"/>
      <c r="L232" s="30"/>
      <c r="M232" s="161"/>
      <c r="N232" s="162"/>
      <c r="O232" s="58"/>
      <c r="P232" s="163"/>
      <c r="Q232" s="163"/>
      <c r="R232" s="163"/>
      <c r="S232" s="163"/>
      <c r="T232" s="164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65"/>
      <c r="AT232" s="165"/>
      <c r="AU232" s="165"/>
      <c r="AY232" s="14"/>
      <c r="BE232" s="166"/>
      <c r="BF232" s="166"/>
      <c r="BG232" s="166"/>
      <c r="BH232" s="166"/>
      <c r="BI232" s="166"/>
      <c r="BJ232" s="14"/>
      <c r="BK232" s="166"/>
      <c r="BL232" s="14"/>
      <c r="BM232" s="165"/>
    </row>
    <row r="233" spans="1:65" s="2" customFormat="1" ht="16.5" customHeight="1">
      <c r="A233" s="29"/>
      <c r="B233" s="152"/>
      <c r="C233" s="167" t="s">
        <v>272</v>
      </c>
      <c r="D233" s="167" t="s">
        <v>202</v>
      </c>
      <c r="E233" s="168" t="s">
        <v>273</v>
      </c>
      <c r="F233" s="169" t="s">
        <v>274</v>
      </c>
      <c r="G233" s="170" t="s">
        <v>184</v>
      </c>
      <c r="H233" s="171">
        <v>2.1</v>
      </c>
      <c r="I233" s="172"/>
      <c r="J233" s="173">
        <v>0</v>
      </c>
      <c r="K233" s="174"/>
      <c r="L233" s="175"/>
      <c r="M233" s="176" t="s">
        <v>1</v>
      </c>
      <c r="N233" s="177" t="s">
        <v>35</v>
      </c>
      <c r="O233" s="58"/>
      <c r="P233" s="163">
        <f>O233*H233</f>
        <v>0</v>
      </c>
      <c r="Q233" s="163">
        <v>0</v>
      </c>
      <c r="R233" s="163">
        <f>Q233*H233</f>
        <v>0</v>
      </c>
      <c r="S233" s="163">
        <v>0</v>
      </c>
      <c r="T233" s="164">
        <f>S233*H233</f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65" t="s">
        <v>197</v>
      </c>
      <c r="AT233" s="165" t="s">
        <v>202</v>
      </c>
      <c r="AU233" s="165" t="s">
        <v>82</v>
      </c>
      <c r="AY233" s="14" t="s">
        <v>179</v>
      </c>
      <c r="BE233" s="166">
        <f>IF(N233="základná",J233,0)</f>
        <v>0</v>
      </c>
      <c r="BF233" s="166">
        <f>IF(N233="znížená",J233,0)</f>
        <v>0</v>
      </c>
      <c r="BG233" s="166">
        <f>IF(N233="zákl. prenesená",J233,0)</f>
        <v>0</v>
      </c>
      <c r="BH233" s="166">
        <f>IF(N233="zníž. prenesená",J233,0)</f>
        <v>0</v>
      </c>
      <c r="BI233" s="166">
        <f>IF(N233="nulová",J233,0)</f>
        <v>0</v>
      </c>
      <c r="BJ233" s="14" t="s">
        <v>82</v>
      </c>
      <c r="BK233" s="166">
        <f>ROUND(I233*H233,2)</f>
        <v>0</v>
      </c>
      <c r="BL233" s="14" t="s">
        <v>185</v>
      </c>
      <c r="BM233" s="165" t="s">
        <v>275</v>
      </c>
    </row>
    <row r="234" spans="1:65" s="2" customFormat="1" ht="12">
      <c r="A234" s="29"/>
      <c r="B234" s="152"/>
      <c r="C234" s="153"/>
      <c r="D234" s="153"/>
      <c r="E234" s="154"/>
      <c r="F234" s="184" t="s">
        <v>3012</v>
      </c>
      <c r="G234" s="185"/>
      <c r="H234" s="192">
        <f>ROUNDUP(2*1.05,1)</f>
        <v>2.1</v>
      </c>
      <c r="I234" s="194"/>
      <c r="J234" s="159"/>
      <c r="K234" s="160"/>
      <c r="L234" s="30"/>
      <c r="M234" s="161"/>
      <c r="N234" s="162"/>
      <c r="O234" s="58"/>
      <c r="P234" s="163"/>
      <c r="Q234" s="163"/>
      <c r="R234" s="163"/>
      <c r="S234" s="163"/>
      <c r="T234" s="164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65"/>
      <c r="AT234" s="165"/>
      <c r="AU234" s="165"/>
      <c r="AY234" s="14"/>
      <c r="BE234" s="166"/>
      <c r="BF234" s="166"/>
      <c r="BG234" s="166"/>
      <c r="BH234" s="166"/>
      <c r="BI234" s="166"/>
      <c r="BJ234" s="14"/>
      <c r="BK234" s="166"/>
      <c r="BL234" s="14"/>
      <c r="BM234" s="165"/>
    </row>
    <row r="235" spans="1:65" s="2" customFormat="1" ht="12">
      <c r="A235" s="29"/>
      <c r="B235" s="152"/>
      <c r="C235" s="153"/>
      <c r="D235" s="153"/>
      <c r="E235" s="154"/>
      <c r="F235" s="187" t="s">
        <v>2983</v>
      </c>
      <c r="G235" s="188"/>
      <c r="H235" s="189">
        <f>SUM(H234:H234)</f>
        <v>2.1</v>
      </c>
      <c r="I235" s="194"/>
      <c r="J235" s="159"/>
      <c r="K235" s="160"/>
      <c r="L235" s="30"/>
      <c r="M235" s="161"/>
      <c r="N235" s="162"/>
      <c r="O235" s="58"/>
      <c r="P235" s="163"/>
      <c r="Q235" s="163"/>
      <c r="R235" s="163"/>
      <c r="S235" s="163"/>
      <c r="T235" s="164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65"/>
      <c r="AT235" s="165"/>
      <c r="AU235" s="165"/>
      <c r="AY235" s="14"/>
      <c r="BE235" s="166"/>
      <c r="BF235" s="166"/>
      <c r="BG235" s="166"/>
      <c r="BH235" s="166"/>
      <c r="BI235" s="166"/>
      <c r="BJ235" s="14"/>
      <c r="BK235" s="166"/>
      <c r="BL235" s="14"/>
      <c r="BM235" s="165"/>
    </row>
    <row r="236" spans="1:65" s="12" customFormat="1" ht="22.9" customHeight="1">
      <c r="B236" s="139"/>
      <c r="D236" s="140" t="s">
        <v>68</v>
      </c>
      <c r="E236" s="150" t="s">
        <v>192</v>
      </c>
      <c r="F236" s="150" t="s">
        <v>276</v>
      </c>
      <c r="I236" s="142"/>
      <c r="J236" s="151">
        <v>0</v>
      </c>
      <c r="L236" s="139"/>
      <c r="M236" s="144"/>
      <c r="N236" s="145"/>
      <c r="O236" s="145"/>
      <c r="P236" s="146">
        <f>SUM(P237:P341)</f>
        <v>0</v>
      </c>
      <c r="Q236" s="145"/>
      <c r="R236" s="146">
        <f>SUM(R237:R341)</f>
        <v>67.698431457999988</v>
      </c>
      <c r="S236" s="145"/>
      <c r="T236" s="147">
        <f>SUM(T237:T341)</f>
        <v>0</v>
      </c>
      <c r="AR236" s="140" t="s">
        <v>76</v>
      </c>
      <c r="AT236" s="148" t="s">
        <v>68</v>
      </c>
      <c r="AU236" s="148" t="s">
        <v>76</v>
      </c>
      <c r="AY236" s="140" t="s">
        <v>179</v>
      </c>
      <c r="BK236" s="149">
        <f>SUM(BK237:BK341)</f>
        <v>0</v>
      </c>
    </row>
    <row r="237" spans="1:65" s="2" customFormat="1" ht="24.2" customHeight="1">
      <c r="A237" s="29"/>
      <c r="B237" s="152"/>
      <c r="C237" s="153" t="s">
        <v>232</v>
      </c>
      <c r="D237" s="153" t="s">
        <v>181</v>
      </c>
      <c r="E237" s="154" t="s">
        <v>277</v>
      </c>
      <c r="F237" s="155" t="s">
        <v>278</v>
      </c>
      <c r="G237" s="156" t="s">
        <v>184</v>
      </c>
      <c r="H237" s="157">
        <v>186.6</v>
      </c>
      <c r="I237" s="158"/>
      <c r="J237" s="159">
        <v>0</v>
      </c>
      <c r="K237" s="160"/>
      <c r="L237" s="30"/>
      <c r="M237" s="161" t="s">
        <v>1</v>
      </c>
      <c r="N237" s="162" t="s">
        <v>35</v>
      </c>
      <c r="O237" s="58"/>
      <c r="P237" s="163">
        <f t="shared" ref="P237:P341" si="9">O237*H237</f>
        <v>0</v>
      </c>
      <c r="Q237" s="163">
        <v>0</v>
      </c>
      <c r="R237" s="163">
        <f t="shared" ref="R237:R341" si="10">Q237*H237</f>
        <v>0</v>
      </c>
      <c r="S237" s="163">
        <v>0</v>
      </c>
      <c r="T237" s="164">
        <f t="shared" ref="T237:T341" si="11">S237*H237</f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65" t="s">
        <v>185</v>
      </c>
      <c r="AT237" s="165" t="s">
        <v>181</v>
      </c>
      <c r="AU237" s="165" t="s">
        <v>82</v>
      </c>
      <c r="AY237" s="14" t="s">
        <v>179</v>
      </c>
      <c r="BE237" s="166">
        <f t="shared" ref="BE237:BE341" si="12">IF(N237="základná",J237,0)</f>
        <v>0</v>
      </c>
      <c r="BF237" s="166">
        <f t="shared" ref="BF237:BF341" si="13">IF(N237="znížená",J237,0)</f>
        <v>0</v>
      </c>
      <c r="BG237" s="166">
        <f t="shared" ref="BG237:BG341" si="14">IF(N237="zákl. prenesená",J237,0)</f>
        <v>0</v>
      </c>
      <c r="BH237" s="166">
        <f t="shared" ref="BH237:BH341" si="15">IF(N237="zníž. prenesená",J237,0)</f>
        <v>0</v>
      </c>
      <c r="BI237" s="166">
        <f t="shared" ref="BI237:BI341" si="16">IF(N237="nulová",J237,0)</f>
        <v>0</v>
      </c>
      <c r="BJ237" s="14" t="s">
        <v>82</v>
      </c>
      <c r="BK237" s="166">
        <f t="shared" ref="BK237:BK341" si="17">ROUND(I237*H237,2)</f>
        <v>0</v>
      </c>
      <c r="BL237" s="14" t="s">
        <v>185</v>
      </c>
      <c r="BM237" s="165" t="s">
        <v>279</v>
      </c>
    </row>
    <row r="238" spans="1:65" s="2" customFormat="1" ht="12">
      <c r="A238" s="29"/>
      <c r="B238" s="152"/>
      <c r="C238" s="153"/>
      <c r="D238" s="153"/>
      <c r="E238" s="154"/>
      <c r="F238" s="220" t="s">
        <v>3013</v>
      </c>
      <c r="G238" s="185"/>
      <c r="H238" s="192">
        <v>186.6</v>
      </c>
      <c r="I238" s="194"/>
      <c r="J238" s="159"/>
      <c r="K238" s="160"/>
      <c r="L238" s="30"/>
      <c r="M238" s="161"/>
      <c r="N238" s="162"/>
      <c r="O238" s="58"/>
      <c r="P238" s="163"/>
      <c r="Q238" s="163"/>
      <c r="R238" s="163"/>
      <c r="S238" s="163"/>
      <c r="T238" s="164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65"/>
      <c r="AT238" s="165"/>
      <c r="AU238" s="165"/>
      <c r="AY238" s="14"/>
      <c r="BE238" s="166"/>
      <c r="BF238" s="166"/>
      <c r="BG238" s="166"/>
      <c r="BH238" s="166"/>
      <c r="BI238" s="166"/>
      <c r="BJ238" s="14"/>
      <c r="BK238" s="166"/>
      <c r="BL238" s="14"/>
      <c r="BM238" s="165"/>
    </row>
    <row r="239" spans="1:65" s="2" customFormat="1" ht="12">
      <c r="A239" s="29"/>
      <c r="B239" s="152"/>
      <c r="C239" s="153"/>
      <c r="D239" s="153"/>
      <c r="E239" s="154"/>
      <c r="F239" s="187" t="s">
        <v>2983</v>
      </c>
      <c r="G239" s="188"/>
      <c r="H239" s="189">
        <f>SUM(H238:H238)</f>
        <v>186.6</v>
      </c>
      <c r="I239" s="194"/>
      <c r="J239" s="159"/>
      <c r="K239" s="160"/>
      <c r="L239" s="30"/>
      <c r="M239" s="161"/>
      <c r="N239" s="162"/>
      <c r="O239" s="58"/>
      <c r="P239" s="163"/>
      <c r="Q239" s="163"/>
      <c r="R239" s="163"/>
      <c r="S239" s="163"/>
      <c r="T239" s="164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65"/>
      <c r="AT239" s="165"/>
      <c r="AU239" s="165"/>
      <c r="AY239" s="14"/>
      <c r="BE239" s="166"/>
      <c r="BF239" s="166"/>
      <c r="BG239" s="166"/>
      <c r="BH239" s="166"/>
      <c r="BI239" s="166"/>
      <c r="BJ239" s="14"/>
      <c r="BK239" s="166"/>
      <c r="BL239" s="14"/>
      <c r="BM239" s="165"/>
    </row>
    <row r="240" spans="1:65" s="2" customFormat="1" ht="37.9" customHeight="1">
      <c r="A240" s="29"/>
      <c r="B240" s="152"/>
      <c r="C240" s="153" t="s">
        <v>280</v>
      </c>
      <c r="D240" s="153" t="s">
        <v>181</v>
      </c>
      <c r="E240" s="154" t="s">
        <v>281</v>
      </c>
      <c r="F240" s="155" t="s">
        <v>282</v>
      </c>
      <c r="G240" s="156" t="s">
        <v>184</v>
      </c>
      <c r="H240" s="157">
        <v>713.8</v>
      </c>
      <c r="I240" s="158"/>
      <c r="J240" s="159">
        <v>0</v>
      </c>
      <c r="K240" s="160"/>
      <c r="L240" s="30"/>
      <c r="M240" s="161" t="s">
        <v>1</v>
      </c>
      <c r="N240" s="162" t="s">
        <v>35</v>
      </c>
      <c r="O240" s="58"/>
      <c r="P240" s="163">
        <f t="shared" si="9"/>
        <v>0</v>
      </c>
      <c r="Q240" s="163">
        <v>0</v>
      </c>
      <c r="R240" s="163">
        <f t="shared" si="10"/>
        <v>0</v>
      </c>
      <c r="S240" s="163">
        <v>0</v>
      </c>
      <c r="T240" s="164">
        <f t="shared" si="11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65" t="s">
        <v>185</v>
      </c>
      <c r="AT240" s="165" t="s">
        <v>181</v>
      </c>
      <c r="AU240" s="165" t="s">
        <v>82</v>
      </c>
      <c r="AY240" s="14" t="s">
        <v>179</v>
      </c>
      <c r="BE240" s="166">
        <f t="shared" si="12"/>
        <v>0</v>
      </c>
      <c r="BF240" s="166">
        <f t="shared" si="13"/>
        <v>0</v>
      </c>
      <c r="BG240" s="166">
        <f t="shared" si="14"/>
        <v>0</v>
      </c>
      <c r="BH240" s="166">
        <f t="shared" si="15"/>
        <v>0</v>
      </c>
      <c r="BI240" s="166">
        <f t="shared" si="16"/>
        <v>0</v>
      </c>
      <c r="BJ240" s="14" t="s">
        <v>82</v>
      </c>
      <c r="BK240" s="166">
        <f t="shared" si="17"/>
        <v>0</v>
      </c>
      <c r="BL240" s="14" t="s">
        <v>185</v>
      </c>
      <c r="BM240" s="165" t="s">
        <v>283</v>
      </c>
    </row>
    <row r="241" spans="1:65" s="2" customFormat="1" ht="12">
      <c r="A241" s="29"/>
      <c r="B241" s="152"/>
      <c r="C241" s="153"/>
      <c r="D241" s="153"/>
      <c r="E241" s="154"/>
      <c r="F241" s="220" t="s">
        <v>3014</v>
      </c>
      <c r="G241" s="185"/>
      <c r="H241" s="192">
        <v>527.20000000000005</v>
      </c>
      <c r="I241" s="194"/>
      <c r="J241" s="159"/>
      <c r="K241" s="160"/>
      <c r="L241" s="30"/>
      <c r="M241" s="161"/>
      <c r="N241" s="162"/>
      <c r="O241" s="58"/>
      <c r="P241" s="163"/>
      <c r="Q241" s="163"/>
      <c r="R241" s="163"/>
      <c r="S241" s="163"/>
      <c r="T241" s="164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65"/>
      <c r="AT241" s="165"/>
      <c r="AU241" s="165"/>
      <c r="AY241" s="14"/>
      <c r="BE241" s="166"/>
      <c r="BF241" s="166"/>
      <c r="BG241" s="166"/>
      <c r="BH241" s="166"/>
      <c r="BI241" s="166"/>
      <c r="BJ241" s="14"/>
      <c r="BK241" s="166"/>
      <c r="BL241" s="14"/>
      <c r="BM241" s="165"/>
    </row>
    <row r="242" spans="1:65" s="2" customFormat="1" ht="12">
      <c r="A242" s="29"/>
      <c r="B242" s="152"/>
      <c r="C242" s="153"/>
      <c r="D242" s="153"/>
      <c r="E242" s="154"/>
      <c r="F242" s="220" t="s">
        <v>3013</v>
      </c>
      <c r="G242" s="185"/>
      <c r="H242" s="192">
        <v>186.6</v>
      </c>
      <c r="I242" s="194"/>
      <c r="J242" s="159"/>
      <c r="K242" s="160"/>
      <c r="L242" s="30"/>
      <c r="M242" s="161"/>
      <c r="N242" s="162"/>
      <c r="O242" s="58"/>
      <c r="P242" s="163"/>
      <c r="Q242" s="163"/>
      <c r="R242" s="163"/>
      <c r="S242" s="163"/>
      <c r="T242" s="164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65"/>
      <c r="AT242" s="165"/>
      <c r="AU242" s="165"/>
      <c r="AY242" s="14"/>
      <c r="BE242" s="166"/>
      <c r="BF242" s="166"/>
      <c r="BG242" s="166"/>
      <c r="BH242" s="166"/>
      <c r="BI242" s="166"/>
      <c r="BJ242" s="14"/>
      <c r="BK242" s="166"/>
      <c r="BL242" s="14"/>
      <c r="BM242" s="165"/>
    </row>
    <row r="243" spans="1:65" s="2" customFormat="1" ht="12">
      <c r="A243" s="29"/>
      <c r="B243" s="152"/>
      <c r="C243" s="153"/>
      <c r="D243" s="153"/>
      <c r="E243" s="154"/>
      <c r="F243" s="187" t="s">
        <v>2983</v>
      </c>
      <c r="G243" s="188"/>
      <c r="H243" s="189">
        <f>SUM(H241:H242)</f>
        <v>713.80000000000007</v>
      </c>
      <c r="I243" s="194"/>
      <c r="J243" s="159"/>
      <c r="K243" s="160"/>
      <c r="L243" s="30"/>
      <c r="M243" s="161"/>
      <c r="N243" s="162"/>
      <c r="O243" s="58"/>
      <c r="P243" s="163"/>
      <c r="Q243" s="163"/>
      <c r="R243" s="163"/>
      <c r="S243" s="163"/>
      <c r="T243" s="164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65"/>
      <c r="AT243" s="165"/>
      <c r="AU243" s="165"/>
      <c r="AY243" s="14"/>
      <c r="BE243" s="166"/>
      <c r="BF243" s="166"/>
      <c r="BG243" s="166"/>
      <c r="BH243" s="166"/>
      <c r="BI243" s="166"/>
      <c r="BJ243" s="14"/>
      <c r="BK243" s="166"/>
      <c r="BL243" s="14"/>
      <c r="BM243" s="165"/>
    </row>
    <row r="244" spans="1:65" s="2" customFormat="1" ht="33" customHeight="1">
      <c r="A244" s="29"/>
      <c r="B244" s="152"/>
      <c r="C244" s="153" t="s">
        <v>235</v>
      </c>
      <c r="D244" s="153" t="s">
        <v>181</v>
      </c>
      <c r="E244" s="154" t="s">
        <v>284</v>
      </c>
      <c r="F244" s="155" t="s">
        <v>285</v>
      </c>
      <c r="G244" s="156" t="s">
        <v>184</v>
      </c>
      <c r="H244" s="157">
        <v>713.8</v>
      </c>
      <c r="I244" s="158"/>
      <c r="J244" s="159">
        <v>0</v>
      </c>
      <c r="K244" s="160"/>
      <c r="L244" s="30"/>
      <c r="M244" s="161" t="s">
        <v>1</v>
      </c>
      <c r="N244" s="162" t="s">
        <v>35</v>
      </c>
      <c r="O244" s="58"/>
      <c r="P244" s="163">
        <f t="shared" si="9"/>
        <v>0</v>
      </c>
      <c r="Q244" s="163">
        <v>0</v>
      </c>
      <c r="R244" s="163">
        <f t="shared" si="10"/>
        <v>0</v>
      </c>
      <c r="S244" s="163">
        <v>0</v>
      </c>
      <c r="T244" s="164">
        <f t="shared" si="11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65" t="s">
        <v>185</v>
      </c>
      <c r="AT244" s="165" t="s">
        <v>181</v>
      </c>
      <c r="AU244" s="165" t="s">
        <v>82</v>
      </c>
      <c r="AY244" s="14" t="s">
        <v>179</v>
      </c>
      <c r="BE244" s="166">
        <f t="shared" si="12"/>
        <v>0</v>
      </c>
      <c r="BF244" s="166">
        <f t="shared" si="13"/>
        <v>0</v>
      </c>
      <c r="BG244" s="166">
        <f t="shared" si="14"/>
        <v>0</v>
      </c>
      <c r="BH244" s="166">
        <f t="shared" si="15"/>
        <v>0</v>
      </c>
      <c r="BI244" s="166">
        <f t="shared" si="16"/>
        <v>0</v>
      </c>
      <c r="BJ244" s="14" t="s">
        <v>82</v>
      </c>
      <c r="BK244" s="166">
        <f t="shared" si="17"/>
        <v>0</v>
      </c>
      <c r="BL244" s="14" t="s">
        <v>185</v>
      </c>
      <c r="BM244" s="165" t="s">
        <v>286</v>
      </c>
    </row>
    <row r="245" spans="1:65" s="2" customFormat="1" ht="12">
      <c r="A245" s="29"/>
      <c r="B245" s="152"/>
      <c r="C245" s="153"/>
      <c r="D245" s="153"/>
      <c r="E245" s="154"/>
      <c r="F245" s="220" t="s">
        <v>3014</v>
      </c>
      <c r="G245" s="185"/>
      <c r="H245" s="192">
        <v>527.20000000000005</v>
      </c>
      <c r="I245" s="194"/>
      <c r="J245" s="159"/>
      <c r="K245" s="160"/>
      <c r="L245" s="30"/>
      <c r="M245" s="161"/>
      <c r="N245" s="162"/>
      <c r="O245" s="58"/>
      <c r="P245" s="163"/>
      <c r="Q245" s="163"/>
      <c r="R245" s="163"/>
      <c r="S245" s="163"/>
      <c r="T245" s="164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65"/>
      <c r="AT245" s="165"/>
      <c r="AU245" s="165"/>
      <c r="AY245" s="14"/>
      <c r="BE245" s="166"/>
      <c r="BF245" s="166"/>
      <c r="BG245" s="166"/>
      <c r="BH245" s="166"/>
      <c r="BI245" s="166"/>
      <c r="BJ245" s="14"/>
      <c r="BK245" s="166"/>
      <c r="BL245" s="14"/>
      <c r="BM245" s="165"/>
    </row>
    <row r="246" spans="1:65" s="2" customFormat="1" ht="12">
      <c r="A246" s="29"/>
      <c r="B246" s="152"/>
      <c r="C246" s="153"/>
      <c r="D246" s="153"/>
      <c r="E246" s="154"/>
      <c r="F246" s="220" t="s">
        <v>3013</v>
      </c>
      <c r="G246" s="185"/>
      <c r="H246" s="192">
        <v>186.6</v>
      </c>
      <c r="I246" s="194"/>
      <c r="J246" s="159"/>
      <c r="K246" s="160"/>
      <c r="L246" s="30"/>
      <c r="M246" s="161"/>
      <c r="N246" s="162"/>
      <c r="O246" s="58"/>
      <c r="P246" s="163"/>
      <c r="Q246" s="163"/>
      <c r="R246" s="163"/>
      <c r="S246" s="163"/>
      <c r="T246" s="164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65"/>
      <c r="AT246" s="165"/>
      <c r="AU246" s="165"/>
      <c r="AY246" s="14"/>
      <c r="BE246" s="166"/>
      <c r="BF246" s="166"/>
      <c r="BG246" s="166"/>
      <c r="BH246" s="166"/>
      <c r="BI246" s="166"/>
      <c r="BJ246" s="14"/>
      <c r="BK246" s="166"/>
      <c r="BL246" s="14"/>
      <c r="BM246" s="165"/>
    </row>
    <row r="247" spans="1:65" s="2" customFormat="1" ht="12">
      <c r="A247" s="29"/>
      <c r="B247" s="152"/>
      <c r="C247" s="153"/>
      <c r="D247" s="153"/>
      <c r="E247" s="154"/>
      <c r="F247" s="187" t="s">
        <v>2983</v>
      </c>
      <c r="G247" s="188"/>
      <c r="H247" s="189">
        <f>SUM(H245:H246)</f>
        <v>713.80000000000007</v>
      </c>
      <c r="I247" s="194"/>
      <c r="J247" s="159"/>
      <c r="K247" s="160"/>
      <c r="L247" s="30"/>
      <c r="M247" s="161"/>
      <c r="N247" s="162"/>
      <c r="O247" s="58"/>
      <c r="P247" s="163"/>
      <c r="Q247" s="163"/>
      <c r="R247" s="163"/>
      <c r="S247" s="163"/>
      <c r="T247" s="164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65"/>
      <c r="AT247" s="165"/>
      <c r="AU247" s="165"/>
      <c r="AY247" s="14"/>
      <c r="BE247" s="166"/>
      <c r="BF247" s="166"/>
      <c r="BG247" s="166"/>
      <c r="BH247" s="166"/>
      <c r="BI247" s="166"/>
      <c r="BJ247" s="14"/>
      <c r="BK247" s="166"/>
      <c r="BL247" s="14"/>
      <c r="BM247" s="165"/>
    </row>
    <row r="248" spans="1:65" s="2" customFormat="1" ht="37.9" customHeight="1">
      <c r="A248" s="29"/>
      <c r="B248" s="152"/>
      <c r="C248" s="153" t="s">
        <v>287</v>
      </c>
      <c r="D248" s="153" t="s">
        <v>181</v>
      </c>
      <c r="E248" s="154" t="s">
        <v>288</v>
      </c>
      <c r="F248" s="155" t="s">
        <v>289</v>
      </c>
      <c r="G248" s="156" t="s">
        <v>184</v>
      </c>
      <c r="H248" s="157">
        <v>1488.7</v>
      </c>
      <c r="I248" s="158"/>
      <c r="J248" s="159">
        <v>0</v>
      </c>
      <c r="K248" s="160"/>
      <c r="L248" s="30"/>
      <c r="M248" s="161" t="s">
        <v>1</v>
      </c>
      <c r="N248" s="162" t="s">
        <v>35</v>
      </c>
      <c r="O248" s="58"/>
      <c r="P248" s="163">
        <f t="shared" si="9"/>
        <v>0</v>
      </c>
      <c r="Q248" s="163">
        <v>6.3990000000000002E-3</v>
      </c>
      <c r="R248" s="163">
        <f t="shared" si="10"/>
        <v>9.5261913000000007</v>
      </c>
      <c r="S248" s="163">
        <v>0</v>
      </c>
      <c r="T248" s="164">
        <f t="shared" si="11"/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65" t="s">
        <v>185</v>
      </c>
      <c r="AT248" s="165" t="s">
        <v>181</v>
      </c>
      <c r="AU248" s="165" t="s">
        <v>82</v>
      </c>
      <c r="AY248" s="14" t="s">
        <v>179</v>
      </c>
      <c r="BE248" s="166">
        <f t="shared" si="12"/>
        <v>0</v>
      </c>
      <c r="BF248" s="166">
        <f t="shared" si="13"/>
        <v>0</v>
      </c>
      <c r="BG248" s="166">
        <f t="shared" si="14"/>
        <v>0</v>
      </c>
      <c r="BH248" s="166">
        <f t="shared" si="15"/>
        <v>0</v>
      </c>
      <c r="BI248" s="166">
        <f t="shared" si="16"/>
        <v>0</v>
      </c>
      <c r="BJ248" s="14" t="s">
        <v>82</v>
      </c>
      <c r="BK248" s="166">
        <f t="shared" si="17"/>
        <v>0</v>
      </c>
      <c r="BL248" s="14" t="s">
        <v>185</v>
      </c>
      <c r="BM248" s="165" t="s">
        <v>290</v>
      </c>
    </row>
    <row r="249" spans="1:65" s="2" customFormat="1" ht="12">
      <c r="A249" s="29"/>
      <c r="B249" s="152"/>
      <c r="C249" s="153"/>
      <c r="D249" s="153"/>
      <c r="E249" s="154"/>
      <c r="F249" s="220" t="s">
        <v>3015</v>
      </c>
      <c r="G249" s="185"/>
      <c r="H249" s="192">
        <v>1488.7</v>
      </c>
      <c r="I249" s="194"/>
      <c r="J249" s="159"/>
      <c r="K249" s="160"/>
      <c r="L249" s="30"/>
      <c r="M249" s="161"/>
      <c r="N249" s="162"/>
      <c r="O249" s="58"/>
      <c r="P249" s="163"/>
      <c r="Q249" s="163"/>
      <c r="R249" s="163"/>
      <c r="S249" s="163"/>
      <c r="T249" s="164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65"/>
      <c r="AT249" s="165"/>
      <c r="AU249" s="165"/>
      <c r="AY249" s="14"/>
      <c r="BE249" s="166"/>
      <c r="BF249" s="166"/>
      <c r="BG249" s="166"/>
      <c r="BH249" s="166"/>
      <c r="BI249" s="166"/>
      <c r="BJ249" s="14"/>
      <c r="BK249" s="166"/>
      <c r="BL249" s="14"/>
      <c r="BM249" s="165"/>
    </row>
    <row r="250" spans="1:65" s="2" customFormat="1" ht="12">
      <c r="A250" s="29"/>
      <c r="B250" s="152"/>
      <c r="C250" s="153"/>
      <c r="D250" s="153"/>
      <c r="E250" s="154"/>
      <c r="F250" s="187" t="s">
        <v>2983</v>
      </c>
      <c r="G250" s="188"/>
      <c r="H250" s="189">
        <f>SUM(H249:H249)</f>
        <v>1488.7</v>
      </c>
      <c r="I250" s="194"/>
      <c r="J250" s="159"/>
      <c r="K250" s="160"/>
      <c r="L250" s="30"/>
      <c r="M250" s="161"/>
      <c r="N250" s="162"/>
      <c r="O250" s="58"/>
      <c r="P250" s="163"/>
      <c r="Q250" s="163"/>
      <c r="R250" s="163"/>
      <c r="S250" s="163"/>
      <c r="T250" s="164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65"/>
      <c r="AT250" s="165"/>
      <c r="AU250" s="165"/>
      <c r="AY250" s="14"/>
      <c r="BE250" s="166"/>
      <c r="BF250" s="166"/>
      <c r="BG250" s="166"/>
      <c r="BH250" s="166"/>
      <c r="BI250" s="166"/>
      <c r="BJ250" s="14"/>
      <c r="BK250" s="166"/>
      <c r="BL250" s="14"/>
      <c r="BM250" s="165"/>
    </row>
    <row r="251" spans="1:65" s="2" customFormat="1" ht="37.9" customHeight="1">
      <c r="A251" s="29"/>
      <c r="B251" s="152"/>
      <c r="C251" s="153" t="s">
        <v>239</v>
      </c>
      <c r="D251" s="153" t="s">
        <v>181</v>
      </c>
      <c r="E251" s="154" t="s">
        <v>291</v>
      </c>
      <c r="F251" s="155" t="s">
        <v>292</v>
      </c>
      <c r="G251" s="156" t="s">
        <v>293</v>
      </c>
      <c r="H251" s="157">
        <v>12</v>
      </c>
      <c r="I251" s="158"/>
      <c r="J251" s="159">
        <v>0</v>
      </c>
      <c r="K251" s="160"/>
      <c r="L251" s="30"/>
      <c r="M251" s="161" t="s">
        <v>1</v>
      </c>
      <c r="N251" s="162" t="s">
        <v>35</v>
      </c>
      <c r="O251" s="58"/>
      <c r="P251" s="163">
        <f t="shared" si="9"/>
        <v>0</v>
      </c>
      <c r="Q251" s="163">
        <v>0</v>
      </c>
      <c r="R251" s="163">
        <f t="shared" si="10"/>
        <v>0</v>
      </c>
      <c r="S251" s="163">
        <v>0</v>
      </c>
      <c r="T251" s="164">
        <f t="shared" si="11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65" t="s">
        <v>185</v>
      </c>
      <c r="AT251" s="165" t="s">
        <v>181</v>
      </c>
      <c r="AU251" s="165" t="s">
        <v>82</v>
      </c>
      <c r="AY251" s="14" t="s">
        <v>179</v>
      </c>
      <c r="BE251" s="166">
        <f t="shared" si="12"/>
        <v>0</v>
      </c>
      <c r="BF251" s="166">
        <f t="shared" si="13"/>
        <v>0</v>
      </c>
      <c r="BG251" s="166">
        <f t="shared" si="14"/>
        <v>0</v>
      </c>
      <c r="BH251" s="166">
        <f t="shared" si="15"/>
        <v>0</v>
      </c>
      <c r="BI251" s="166">
        <f t="shared" si="16"/>
        <v>0</v>
      </c>
      <c r="BJ251" s="14" t="s">
        <v>82</v>
      </c>
      <c r="BK251" s="166">
        <f t="shared" si="17"/>
        <v>0</v>
      </c>
      <c r="BL251" s="14" t="s">
        <v>185</v>
      </c>
      <c r="BM251" s="165" t="s">
        <v>294</v>
      </c>
    </row>
    <row r="252" spans="1:65" s="209" customFormat="1" ht="12">
      <c r="A252" s="195"/>
      <c r="B252" s="196"/>
      <c r="C252" s="197"/>
      <c r="D252" s="197"/>
      <c r="E252" s="198"/>
      <c r="F252" s="220" t="s">
        <v>3016</v>
      </c>
      <c r="G252" s="185"/>
      <c r="H252" s="192">
        <f>2*2</f>
        <v>4</v>
      </c>
      <c r="I252" s="194"/>
      <c r="J252" s="194"/>
      <c r="K252" s="202"/>
      <c r="L252" s="203"/>
      <c r="M252" s="204"/>
      <c r="N252" s="205"/>
      <c r="O252" s="206"/>
      <c r="P252" s="207"/>
      <c r="Q252" s="207"/>
      <c r="R252" s="207"/>
      <c r="S252" s="207"/>
      <c r="T252" s="208"/>
      <c r="U252" s="195"/>
      <c r="V252" s="195"/>
      <c r="W252" s="195"/>
      <c r="X252" s="195"/>
      <c r="Y252" s="195"/>
      <c r="Z252" s="195"/>
      <c r="AA252" s="195"/>
      <c r="AB252" s="195"/>
      <c r="AC252" s="195"/>
      <c r="AD252" s="195"/>
      <c r="AE252" s="195"/>
      <c r="AR252" s="210"/>
      <c r="AT252" s="210"/>
      <c r="AU252" s="210"/>
      <c r="AY252" s="211"/>
      <c r="BE252" s="212"/>
      <c r="BF252" s="212"/>
      <c r="BG252" s="212"/>
      <c r="BH252" s="212"/>
      <c r="BI252" s="212"/>
      <c r="BJ252" s="211"/>
      <c r="BK252" s="212"/>
      <c r="BL252" s="211"/>
      <c r="BM252" s="210"/>
    </row>
    <row r="253" spans="1:65" s="2" customFormat="1" ht="12">
      <c r="A253" s="29"/>
      <c r="B253" s="152"/>
      <c r="C253" s="153"/>
      <c r="D253" s="153"/>
      <c r="E253" s="154"/>
      <c r="F253" s="220" t="s">
        <v>3017</v>
      </c>
      <c r="G253" s="185"/>
      <c r="H253" s="192">
        <f>2*4</f>
        <v>8</v>
      </c>
      <c r="I253" s="194"/>
      <c r="J253" s="159"/>
      <c r="K253" s="160"/>
      <c r="L253" s="30"/>
      <c r="M253" s="161"/>
      <c r="N253" s="162"/>
      <c r="O253" s="58"/>
      <c r="P253" s="163"/>
      <c r="Q253" s="163"/>
      <c r="R253" s="163"/>
      <c r="S253" s="163"/>
      <c r="T253" s="164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65"/>
      <c r="AT253" s="165"/>
      <c r="AU253" s="165"/>
      <c r="AY253" s="14"/>
      <c r="BE253" s="166"/>
      <c r="BF253" s="166"/>
      <c r="BG253" s="166"/>
      <c r="BH253" s="166"/>
      <c r="BI253" s="166"/>
      <c r="BJ253" s="14"/>
      <c r="BK253" s="166"/>
      <c r="BL253" s="14"/>
      <c r="BM253" s="165"/>
    </row>
    <row r="254" spans="1:65" s="2" customFormat="1" ht="12">
      <c r="A254" s="29"/>
      <c r="B254" s="152"/>
      <c r="C254" s="153"/>
      <c r="D254" s="153"/>
      <c r="E254" s="154"/>
      <c r="F254" s="187" t="s">
        <v>2983</v>
      </c>
      <c r="G254" s="188"/>
      <c r="H254" s="189">
        <f>SUM(H252:H253)</f>
        <v>12</v>
      </c>
      <c r="I254" s="194"/>
      <c r="J254" s="159"/>
      <c r="K254" s="160"/>
      <c r="L254" s="30"/>
      <c r="M254" s="161"/>
      <c r="N254" s="162"/>
      <c r="O254" s="58"/>
      <c r="P254" s="163"/>
      <c r="Q254" s="163"/>
      <c r="R254" s="163"/>
      <c r="S254" s="163"/>
      <c r="T254" s="164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65"/>
      <c r="AT254" s="165"/>
      <c r="AU254" s="165"/>
      <c r="AY254" s="14"/>
      <c r="BE254" s="166"/>
      <c r="BF254" s="166"/>
      <c r="BG254" s="166"/>
      <c r="BH254" s="166"/>
      <c r="BI254" s="166"/>
      <c r="BJ254" s="14"/>
      <c r="BK254" s="166"/>
      <c r="BL254" s="14"/>
      <c r="BM254" s="165"/>
    </row>
    <row r="255" spans="1:65" s="2" customFormat="1" ht="24.2" customHeight="1">
      <c r="A255" s="29"/>
      <c r="B255" s="152"/>
      <c r="C255" s="153" t="s">
        <v>295</v>
      </c>
      <c r="D255" s="153" t="s">
        <v>181</v>
      </c>
      <c r="E255" s="154" t="s">
        <v>296</v>
      </c>
      <c r="F255" s="155" t="s">
        <v>297</v>
      </c>
      <c r="G255" s="156" t="s">
        <v>184</v>
      </c>
      <c r="H255" s="157">
        <v>1805.2</v>
      </c>
      <c r="I255" s="158"/>
      <c r="J255" s="159">
        <v>0</v>
      </c>
      <c r="K255" s="160"/>
      <c r="L255" s="30"/>
      <c r="M255" s="161" t="s">
        <v>1</v>
      </c>
      <c r="N255" s="162" t="s">
        <v>35</v>
      </c>
      <c r="O255" s="58"/>
      <c r="P255" s="163">
        <f t="shared" si="9"/>
        <v>0</v>
      </c>
      <c r="Q255" s="163">
        <v>5.1539999999999997E-3</v>
      </c>
      <c r="R255" s="163">
        <f t="shared" si="10"/>
        <v>9.304000799999999</v>
      </c>
      <c r="S255" s="163">
        <v>0</v>
      </c>
      <c r="T255" s="164">
        <f t="shared" si="11"/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65" t="s">
        <v>185</v>
      </c>
      <c r="AT255" s="165" t="s">
        <v>181</v>
      </c>
      <c r="AU255" s="165" t="s">
        <v>82</v>
      </c>
      <c r="AY255" s="14" t="s">
        <v>179</v>
      </c>
      <c r="BE255" s="166">
        <f t="shared" si="12"/>
        <v>0</v>
      </c>
      <c r="BF255" s="166">
        <f t="shared" si="13"/>
        <v>0</v>
      </c>
      <c r="BG255" s="166">
        <f t="shared" si="14"/>
        <v>0</v>
      </c>
      <c r="BH255" s="166">
        <f t="shared" si="15"/>
        <v>0</v>
      </c>
      <c r="BI255" s="166">
        <f t="shared" si="16"/>
        <v>0</v>
      </c>
      <c r="BJ255" s="14" t="s">
        <v>82</v>
      </c>
      <c r="BK255" s="166">
        <f t="shared" si="17"/>
        <v>0</v>
      </c>
      <c r="BL255" s="14" t="s">
        <v>185</v>
      </c>
      <c r="BM255" s="165" t="s">
        <v>298</v>
      </c>
    </row>
    <row r="256" spans="1:65" s="2" customFormat="1" ht="12">
      <c r="A256" s="29"/>
      <c r="B256" s="152"/>
      <c r="C256" s="153"/>
      <c r="D256" s="153"/>
      <c r="E256" s="154"/>
      <c r="F256" s="220" t="s">
        <v>3018</v>
      </c>
      <c r="G256" s="185"/>
      <c r="H256" s="192">
        <f>H258+H261</f>
        <v>1805.2</v>
      </c>
      <c r="I256" s="194"/>
      <c r="J256" s="159"/>
      <c r="K256" s="160"/>
      <c r="L256" s="30"/>
      <c r="M256" s="161"/>
      <c r="N256" s="162"/>
      <c r="O256" s="58"/>
      <c r="P256" s="163"/>
      <c r="Q256" s="163"/>
      <c r="R256" s="163"/>
      <c r="S256" s="163"/>
      <c r="T256" s="164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65"/>
      <c r="AT256" s="165"/>
      <c r="AU256" s="165"/>
      <c r="AY256" s="14"/>
      <c r="BE256" s="166"/>
      <c r="BF256" s="166"/>
      <c r="BG256" s="166"/>
      <c r="BH256" s="166"/>
      <c r="BI256" s="166"/>
      <c r="BJ256" s="14"/>
      <c r="BK256" s="166"/>
      <c r="BL256" s="14"/>
      <c r="BM256" s="165"/>
    </row>
    <row r="257" spans="1:65" s="2" customFormat="1" ht="12">
      <c r="A257" s="29"/>
      <c r="B257" s="152"/>
      <c r="C257" s="153"/>
      <c r="D257" s="153"/>
      <c r="E257" s="154"/>
      <c r="F257" s="187" t="s">
        <v>2983</v>
      </c>
      <c r="G257" s="188"/>
      <c r="H257" s="189">
        <f>SUM(H256:H256)</f>
        <v>1805.2</v>
      </c>
      <c r="I257" s="194"/>
      <c r="J257" s="159"/>
      <c r="K257" s="160"/>
      <c r="L257" s="30"/>
      <c r="M257" s="161"/>
      <c r="N257" s="162"/>
      <c r="O257" s="58"/>
      <c r="P257" s="163"/>
      <c r="Q257" s="163"/>
      <c r="R257" s="163"/>
      <c r="S257" s="163"/>
      <c r="T257" s="164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65"/>
      <c r="AT257" s="165"/>
      <c r="AU257" s="165"/>
      <c r="AY257" s="14"/>
      <c r="BE257" s="166"/>
      <c r="BF257" s="166"/>
      <c r="BG257" s="166"/>
      <c r="BH257" s="166"/>
      <c r="BI257" s="166"/>
      <c r="BJ257" s="14"/>
      <c r="BK257" s="166"/>
      <c r="BL257" s="14"/>
      <c r="BM257" s="165"/>
    </row>
    <row r="258" spans="1:65" s="2" customFormat="1" ht="24.2" customHeight="1">
      <c r="A258" s="29"/>
      <c r="B258" s="152"/>
      <c r="C258" s="153" t="s">
        <v>242</v>
      </c>
      <c r="D258" s="153" t="s">
        <v>181</v>
      </c>
      <c r="E258" s="154" t="s">
        <v>299</v>
      </c>
      <c r="F258" s="155" t="s">
        <v>300</v>
      </c>
      <c r="G258" s="156" t="s">
        <v>184</v>
      </c>
      <c r="H258" s="157">
        <v>27.8</v>
      </c>
      <c r="I258" s="158"/>
      <c r="J258" s="159">
        <v>0</v>
      </c>
      <c r="K258" s="160"/>
      <c r="L258" s="30"/>
      <c r="M258" s="161" t="s">
        <v>1</v>
      </c>
      <c r="N258" s="162" t="s">
        <v>35</v>
      </c>
      <c r="O258" s="58"/>
      <c r="P258" s="163">
        <f t="shared" si="9"/>
        <v>0</v>
      </c>
      <c r="Q258" s="163">
        <v>1.575E-2</v>
      </c>
      <c r="R258" s="163">
        <f t="shared" si="10"/>
        <v>0.43785000000000002</v>
      </c>
      <c r="S258" s="163">
        <v>0</v>
      </c>
      <c r="T258" s="164">
        <f t="shared" si="11"/>
        <v>0</v>
      </c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R258" s="165" t="s">
        <v>185</v>
      </c>
      <c r="AT258" s="165" t="s">
        <v>181</v>
      </c>
      <c r="AU258" s="165" t="s">
        <v>82</v>
      </c>
      <c r="AY258" s="14" t="s">
        <v>179</v>
      </c>
      <c r="BE258" s="166">
        <f t="shared" si="12"/>
        <v>0</v>
      </c>
      <c r="BF258" s="166">
        <f t="shared" si="13"/>
        <v>0</v>
      </c>
      <c r="BG258" s="166">
        <f t="shared" si="14"/>
        <v>0</v>
      </c>
      <c r="BH258" s="166">
        <f t="shared" si="15"/>
        <v>0</v>
      </c>
      <c r="BI258" s="166">
        <f t="shared" si="16"/>
        <v>0</v>
      </c>
      <c r="BJ258" s="14" t="s">
        <v>82</v>
      </c>
      <c r="BK258" s="166">
        <f t="shared" si="17"/>
        <v>0</v>
      </c>
      <c r="BL258" s="14" t="s">
        <v>185</v>
      </c>
      <c r="BM258" s="165" t="s">
        <v>301</v>
      </c>
    </row>
    <row r="259" spans="1:65" s="2" customFormat="1" ht="12">
      <c r="A259" s="29"/>
      <c r="B259" s="152"/>
      <c r="C259" s="153"/>
      <c r="D259" s="153"/>
      <c r="E259" s="154"/>
      <c r="F259" s="184" t="s">
        <v>3019</v>
      </c>
      <c r="G259" s="185"/>
      <c r="H259" s="192">
        <v>27.8</v>
      </c>
      <c r="I259" s="194"/>
      <c r="J259" s="159"/>
      <c r="K259" s="160"/>
      <c r="L259" s="30"/>
      <c r="M259" s="161"/>
      <c r="N259" s="162"/>
      <c r="O259" s="58"/>
      <c r="P259" s="163"/>
      <c r="Q259" s="163"/>
      <c r="R259" s="163"/>
      <c r="S259" s="163"/>
      <c r="T259" s="164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65"/>
      <c r="AT259" s="165"/>
      <c r="AU259" s="165"/>
      <c r="AY259" s="14"/>
      <c r="BE259" s="166"/>
      <c r="BF259" s="166"/>
      <c r="BG259" s="166"/>
      <c r="BH259" s="166"/>
      <c r="BI259" s="166"/>
      <c r="BJ259" s="14"/>
      <c r="BK259" s="166"/>
      <c r="BL259" s="14"/>
      <c r="BM259" s="165"/>
    </row>
    <row r="260" spans="1:65" s="2" customFormat="1" ht="12">
      <c r="A260" s="29"/>
      <c r="B260" s="152"/>
      <c r="C260" s="153"/>
      <c r="D260" s="153"/>
      <c r="E260" s="154"/>
      <c r="F260" s="187" t="s">
        <v>2983</v>
      </c>
      <c r="G260" s="188"/>
      <c r="H260" s="189">
        <f>SUM(H259:H259)</f>
        <v>27.8</v>
      </c>
      <c r="I260" s="194"/>
      <c r="J260" s="159"/>
      <c r="K260" s="160"/>
      <c r="L260" s="30"/>
      <c r="M260" s="161"/>
      <c r="N260" s="162"/>
      <c r="O260" s="58"/>
      <c r="P260" s="163"/>
      <c r="Q260" s="163"/>
      <c r="R260" s="163"/>
      <c r="S260" s="163"/>
      <c r="T260" s="164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65"/>
      <c r="AT260" s="165"/>
      <c r="AU260" s="165"/>
      <c r="AY260" s="14"/>
      <c r="BE260" s="166"/>
      <c r="BF260" s="166"/>
      <c r="BG260" s="166"/>
      <c r="BH260" s="166"/>
      <c r="BI260" s="166"/>
      <c r="BJ260" s="14"/>
      <c r="BK260" s="166"/>
      <c r="BL260" s="14"/>
      <c r="BM260" s="165"/>
    </row>
    <row r="261" spans="1:65" s="2" customFormat="1" ht="24.2" customHeight="1">
      <c r="A261" s="29"/>
      <c r="B261" s="152"/>
      <c r="C261" s="153" t="s">
        <v>302</v>
      </c>
      <c r="D261" s="153" t="s">
        <v>181</v>
      </c>
      <c r="E261" s="154" t="s">
        <v>303</v>
      </c>
      <c r="F261" s="155" t="s">
        <v>304</v>
      </c>
      <c r="G261" s="156" t="s">
        <v>184</v>
      </c>
      <c r="H261" s="157">
        <v>1777.4</v>
      </c>
      <c r="I261" s="158"/>
      <c r="J261" s="159">
        <v>0</v>
      </c>
      <c r="K261" s="160"/>
      <c r="L261" s="30"/>
      <c r="M261" s="161" t="s">
        <v>1</v>
      </c>
      <c r="N261" s="162" t="s">
        <v>35</v>
      </c>
      <c r="O261" s="58"/>
      <c r="P261" s="163">
        <f t="shared" si="9"/>
        <v>0</v>
      </c>
      <c r="Q261" s="163">
        <v>1.3125E-2</v>
      </c>
      <c r="R261" s="163">
        <f t="shared" si="10"/>
        <v>23.328375000000001</v>
      </c>
      <c r="S261" s="163">
        <v>0</v>
      </c>
      <c r="T261" s="164">
        <f t="shared" si="11"/>
        <v>0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65" t="s">
        <v>185</v>
      </c>
      <c r="AT261" s="165" t="s">
        <v>181</v>
      </c>
      <c r="AU261" s="165" t="s">
        <v>82</v>
      </c>
      <c r="AY261" s="14" t="s">
        <v>179</v>
      </c>
      <c r="BE261" s="166">
        <f t="shared" si="12"/>
        <v>0</v>
      </c>
      <c r="BF261" s="166">
        <f t="shared" si="13"/>
        <v>0</v>
      </c>
      <c r="BG261" s="166">
        <f t="shared" si="14"/>
        <v>0</v>
      </c>
      <c r="BH261" s="166">
        <f t="shared" si="15"/>
        <v>0</v>
      </c>
      <c r="BI261" s="166">
        <f t="shared" si="16"/>
        <v>0</v>
      </c>
      <c r="BJ261" s="14" t="s">
        <v>82</v>
      </c>
      <c r="BK261" s="166">
        <f t="shared" si="17"/>
        <v>0</v>
      </c>
      <c r="BL261" s="14" t="s">
        <v>185</v>
      </c>
      <c r="BM261" s="165" t="s">
        <v>305</v>
      </c>
    </row>
    <row r="262" spans="1:65" s="2" customFormat="1" ht="12">
      <c r="A262" s="29"/>
      <c r="B262" s="152"/>
      <c r="C262" s="153"/>
      <c r="D262" s="153"/>
      <c r="E262" s="154"/>
      <c r="F262" s="184" t="s">
        <v>3020</v>
      </c>
      <c r="G262" s="185"/>
      <c r="H262" s="192">
        <v>1777.4</v>
      </c>
      <c r="I262" s="194"/>
      <c r="J262" s="159"/>
      <c r="K262" s="160"/>
      <c r="L262" s="30"/>
      <c r="M262" s="161"/>
      <c r="N262" s="162"/>
      <c r="O262" s="58"/>
      <c r="P262" s="163"/>
      <c r="Q262" s="163"/>
      <c r="R262" s="163"/>
      <c r="S262" s="163"/>
      <c r="T262" s="164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65"/>
      <c r="AT262" s="165"/>
      <c r="AU262" s="165"/>
      <c r="AY262" s="14"/>
      <c r="BE262" s="166"/>
      <c r="BF262" s="166"/>
      <c r="BG262" s="166"/>
      <c r="BH262" s="166"/>
      <c r="BI262" s="166"/>
      <c r="BJ262" s="14"/>
      <c r="BK262" s="166"/>
      <c r="BL262" s="14"/>
      <c r="BM262" s="165"/>
    </row>
    <row r="263" spans="1:65" s="2" customFormat="1" ht="12">
      <c r="A263" s="29"/>
      <c r="B263" s="152"/>
      <c r="C263" s="153"/>
      <c r="D263" s="153"/>
      <c r="E263" s="154"/>
      <c r="F263" s="187" t="s">
        <v>2983</v>
      </c>
      <c r="G263" s="188"/>
      <c r="H263" s="189">
        <f>SUM(H262:H262)</f>
        <v>1777.4</v>
      </c>
      <c r="I263" s="194"/>
      <c r="J263" s="159"/>
      <c r="K263" s="160"/>
      <c r="L263" s="30"/>
      <c r="M263" s="161"/>
      <c r="N263" s="162"/>
      <c r="O263" s="58"/>
      <c r="P263" s="163"/>
      <c r="Q263" s="163"/>
      <c r="R263" s="163"/>
      <c r="S263" s="163"/>
      <c r="T263" s="164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65"/>
      <c r="AT263" s="165"/>
      <c r="AU263" s="165"/>
      <c r="AY263" s="14"/>
      <c r="BE263" s="166"/>
      <c r="BF263" s="166"/>
      <c r="BG263" s="166"/>
      <c r="BH263" s="166"/>
      <c r="BI263" s="166"/>
      <c r="BJ263" s="14"/>
      <c r="BK263" s="166"/>
      <c r="BL263" s="14"/>
      <c r="BM263" s="165"/>
    </row>
    <row r="264" spans="1:65" s="2" customFormat="1" ht="24.2" customHeight="1">
      <c r="A264" s="29"/>
      <c r="B264" s="152"/>
      <c r="C264" s="153" t="s">
        <v>246</v>
      </c>
      <c r="D264" s="153" t="s">
        <v>181</v>
      </c>
      <c r="E264" s="154" t="s">
        <v>306</v>
      </c>
      <c r="F264" s="155" t="s">
        <v>307</v>
      </c>
      <c r="G264" s="156" t="s">
        <v>184</v>
      </c>
      <c r="H264" s="157">
        <v>814.86</v>
      </c>
      <c r="I264" s="158"/>
      <c r="J264" s="159">
        <v>0</v>
      </c>
      <c r="K264" s="160"/>
      <c r="L264" s="30"/>
      <c r="M264" s="161" t="s">
        <v>1</v>
      </c>
      <c r="N264" s="162" t="s">
        <v>35</v>
      </c>
      <c r="O264" s="58"/>
      <c r="P264" s="163">
        <f t="shared" si="9"/>
        <v>0</v>
      </c>
      <c r="Q264" s="163">
        <v>2.32E-3</v>
      </c>
      <c r="R264" s="163">
        <f t="shared" si="10"/>
        <v>1.8904752</v>
      </c>
      <c r="S264" s="163">
        <v>0</v>
      </c>
      <c r="T264" s="164">
        <f t="shared" si="11"/>
        <v>0</v>
      </c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R264" s="165" t="s">
        <v>185</v>
      </c>
      <c r="AT264" s="165" t="s">
        <v>181</v>
      </c>
      <c r="AU264" s="165" t="s">
        <v>82</v>
      </c>
      <c r="AY264" s="14" t="s">
        <v>179</v>
      </c>
      <c r="BE264" s="166">
        <f t="shared" si="12"/>
        <v>0</v>
      </c>
      <c r="BF264" s="166">
        <f t="shared" si="13"/>
        <v>0</v>
      </c>
      <c r="BG264" s="166">
        <f t="shared" si="14"/>
        <v>0</v>
      </c>
      <c r="BH264" s="166">
        <f t="shared" si="15"/>
        <v>0</v>
      </c>
      <c r="BI264" s="166">
        <f t="shared" si="16"/>
        <v>0</v>
      </c>
      <c r="BJ264" s="14" t="s">
        <v>82</v>
      </c>
      <c r="BK264" s="166">
        <f t="shared" si="17"/>
        <v>0</v>
      </c>
      <c r="BL264" s="14" t="s">
        <v>185</v>
      </c>
      <c r="BM264" s="165" t="s">
        <v>308</v>
      </c>
    </row>
    <row r="265" spans="1:65" s="209" customFormat="1" ht="67.5">
      <c r="A265" s="195"/>
      <c r="B265" s="196"/>
      <c r="C265" s="197"/>
      <c r="D265" s="197"/>
      <c r="E265" s="198"/>
      <c r="F265" s="213" t="s">
        <v>3021</v>
      </c>
      <c r="G265" s="200"/>
      <c r="H265" s="214">
        <f>ROUND(21.75*6.095-(6*0.4*0.6+2*0.35*0.55+1.595*0.92)+21.75*4.64-(4*2.4*1.2+1.2*1.2)+(29.73+2*6)*6.095+13.02*4.64-(9*2.4*1.2+4*2.4*2.345)+10.625*4.84+25.23*6.22+1/2*(6.22+4.84)*2.24-(3*0.6*0.6+3*1.2*0.95+5*1.2*1.2)-8.2,2)</f>
        <v>684.4</v>
      </c>
      <c r="I265" s="194"/>
      <c r="J265" s="194"/>
      <c r="K265" s="202"/>
      <c r="L265" s="203"/>
      <c r="M265" s="204"/>
      <c r="N265" s="205"/>
      <c r="O265" s="206"/>
      <c r="P265" s="207"/>
      <c r="Q265" s="207"/>
      <c r="R265" s="207"/>
      <c r="S265" s="207"/>
      <c r="T265" s="208"/>
      <c r="U265" s="195"/>
      <c r="V265" s="195"/>
      <c r="W265" s="195"/>
      <c r="X265" s="195"/>
      <c r="Y265" s="195"/>
      <c r="Z265" s="195"/>
      <c r="AA265" s="195"/>
      <c r="AB265" s="195"/>
      <c r="AC265" s="195"/>
      <c r="AD265" s="195"/>
      <c r="AE265" s="195"/>
      <c r="AR265" s="210"/>
      <c r="AT265" s="210"/>
      <c r="AU265" s="210"/>
      <c r="AY265" s="211"/>
      <c r="BE265" s="212"/>
      <c r="BF265" s="212"/>
      <c r="BG265" s="212"/>
      <c r="BH265" s="212"/>
      <c r="BI265" s="212"/>
      <c r="BJ265" s="211"/>
      <c r="BK265" s="212"/>
      <c r="BL265" s="211"/>
      <c r="BM265" s="210"/>
    </row>
    <row r="266" spans="1:65" s="209" customFormat="1" ht="33.75">
      <c r="A266" s="195"/>
      <c r="B266" s="196"/>
      <c r="C266" s="197"/>
      <c r="D266" s="197"/>
      <c r="E266" s="198"/>
      <c r="F266" s="213" t="s">
        <v>3022</v>
      </c>
      <c r="G266" s="200"/>
      <c r="H266" s="214">
        <f>ROUND(2*4*2.4+2*4*2.345+2*4*1.2+5*2*1.2+5*2.4+4*2*1.2+4*1.2+3*1.2+3*3*0.6+8*1.2+3*2*0.95+5*2*1.2,2)</f>
        <v>122.26</v>
      </c>
      <c r="I266" s="194"/>
      <c r="J266" s="194"/>
      <c r="K266" s="202"/>
      <c r="L266" s="203"/>
      <c r="M266" s="204"/>
      <c r="N266" s="205"/>
      <c r="O266" s="206"/>
      <c r="P266" s="207"/>
      <c r="Q266" s="207"/>
      <c r="R266" s="207"/>
      <c r="S266" s="207"/>
      <c r="T266" s="208"/>
      <c r="U266" s="195"/>
      <c r="V266" s="195"/>
      <c r="W266" s="195"/>
      <c r="X266" s="195"/>
      <c r="Y266" s="195"/>
      <c r="Z266" s="195"/>
      <c r="AA266" s="195"/>
      <c r="AB266" s="195"/>
      <c r="AC266" s="195"/>
      <c r="AD266" s="195"/>
      <c r="AE266" s="195"/>
      <c r="AR266" s="210"/>
      <c r="AT266" s="210"/>
      <c r="AU266" s="210"/>
      <c r="AY266" s="211"/>
      <c r="BE266" s="212"/>
      <c r="BF266" s="212"/>
      <c r="BG266" s="212"/>
      <c r="BH266" s="212"/>
      <c r="BI266" s="212"/>
      <c r="BJ266" s="211"/>
      <c r="BK266" s="212"/>
      <c r="BL266" s="211"/>
      <c r="BM266" s="210"/>
    </row>
    <row r="267" spans="1:65" s="209" customFormat="1" ht="12">
      <c r="A267" s="195"/>
      <c r="B267" s="196"/>
      <c r="C267" s="197"/>
      <c r="D267" s="197"/>
      <c r="E267" s="198"/>
      <c r="F267" s="213" t="s">
        <v>3023</v>
      </c>
      <c r="G267" s="200"/>
      <c r="H267" s="214">
        <f>ROUND(6.56*1.25,2)</f>
        <v>8.1999999999999993</v>
      </c>
      <c r="I267" s="194"/>
      <c r="J267" s="194"/>
      <c r="K267" s="202"/>
      <c r="L267" s="203"/>
      <c r="M267" s="204"/>
      <c r="N267" s="205"/>
      <c r="O267" s="206"/>
      <c r="P267" s="207"/>
      <c r="Q267" s="207"/>
      <c r="R267" s="207"/>
      <c r="S267" s="207"/>
      <c r="T267" s="208"/>
      <c r="U267" s="195"/>
      <c r="V267" s="195"/>
      <c r="W267" s="195"/>
      <c r="X267" s="195"/>
      <c r="Y267" s="195"/>
      <c r="Z267" s="195"/>
      <c r="AA267" s="195"/>
      <c r="AB267" s="195"/>
      <c r="AC267" s="195"/>
      <c r="AD267" s="195"/>
      <c r="AE267" s="195"/>
      <c r="AR267" s="210"/>
      <c r="AT267" s="210"/>
      <c r="AU267" s="210"/>
      <c r="AY267" s="211"/>
      <c r="BE267" s="212"/>
      <c r="BF267" s="212"/>
      <c r="BG267" s="212"/>
      <c r="BH267" s="212"/>
      <c r="BI267" s="212"/>
      <c r="BJ267" s="211"/>
      <c r="BK267" s="212"/>
      <c r="BL267" s="211"/>
      <c r="BM267" s="210"/>
    </row>
    <row r="268" spans="1:65" s="209" customFormat="1" ht="12">
      <c r="A268" s="195"/>
      <c r="B268" s="196"/>
      <c r="C268" s="197"/>
      <c r="D268" s="197"/>
      <c r="E268" s="198"/>
      <c r="F268" s="215" t="s">
        <v>2983</v>
      </c>
      <c r="G268" s="216"/>
      <c r="H268" s="217">
        <f>SUM(H265:H267)</f>
        <v>814.86</v>
      </c>
      <c r="I268" s="194"/>
      <c r="J268" s="194"/>
      <c r="K268" s="202"/>
      <c r="L268" s="203"/>
      <c r="M268" s="204"/>
      <c r="N268" s="205"/>
      <c r="O268" s="206"/>
      <c r="P268" s="207"/>
      <c r="Q268" s="207"/>
      <c r="R268" s="207"/>
      <c r="S268" s="207"/>
      <c r="T268" s="208"/>
      <c r="U268" s="195"/>
      <c r="V268" s="195"/>
      <c r="W268" s="195"/>
      <c r="X268" s="195"/>
      <c r="Y268" s="195"/>
      <c r="Z268" s="195"/>
      <c r="AA268" s="195"/>
      <c r="AB268" s="195"/>
      <c r="AC268" s="195"/>
      <c r="AD268" s="195"/>
      <c r="AE268" s="195"/>
      <c r="AR268" s="210"/>
      <c r="AT268" s="210"/>
      <c r="AU268" s="210"/>
      <c r="AY268" s="211"/>
      <c r="BE268" s="212"/>
      <c r="BF268" s="212"/>
      <c r="BG268" s="212"/>
      <c r="BH268" s="212"/>
      <c r="BI268" s="212"/>
      <c r="BJ268" s="211"/>
      <c r="BK268" s="212"/>
      <c r="BL268" s="211"/>
      <c r="BM268" s="210"/>
    </row>
    <row r="269" spans="1:65" s="2" customFormat="1" ht="24.2" customHeight="1">
      <c r="A269" s="29"/>
      <c r="B269" s="152"/>
      <c r="C269" s="153" t="s">
        <v>309</v>
      </c>
      <c r="D269" s="153" t="s">
        <v>181</v>
      </c>
      <c r="E269" s="154" t="s">
        <v>310</v>
      </c>
      <c r="F269" s="155" t="s">
        <v>311</v>
      </c>
      <c r="G269" s="156" t="s">
        <v>184</v>
      </c>
      <c r="H269" s="157">
        <v>79.959999999999994</v>
      </c>
      <c r="I269" s="158"/>
      <c r="J269" s="159">
        <v>0</v>
      </c>
      <c r="K269" s="160"/>
      <c r="L269" s="30"/>
      <c r="M269" s="161" t="s">
        <v>1</v>
      </c>
      <c r="N269" s="162" t="s">
        <v>35</v>
      </c>
      <c r="O269" s="58"/>
      <c r="P269" s="163">
        <f t="shared" si="9"/>
        <v>0</v>
      </c>
      <c r="Q269" s="163">
        <v>3.2200000000000002E-3</v>
      </c>
      <c r="R269" s="163">
        <f t="shared" si="10"/>
        <v>0.25747120000000001</v>
      </c>
      <c r="S269" s="163">
        <v>0</v>
      </c>
      <c r="T269" s="164">
        <f t="shared" si="11"/>
        <v>0</v>
      </c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165" t="s">
        <v>185</v>
      </c>
      <c r="AT269" s="165" t="s">
        <v>181</v>
      </c>
      <c r="AU269" s="165" t="s">
        <v>82</v>
      </c>
      <c r="AY269" s="14" t="s">
        <v>179</v>
      </c>
      <c r="BE269" s="166">
        <f t="shared" si="12"/>
        <v>0</v>
      </c>
      <c r="BF269" s="166">
        <f t="shared" si="13"/>
        <v>0</v>
      </c>
      <c r="BG269" s="166">
        <f t="shared" si="14"/>
        <v>0</v>
      </c>
      <c r="BH269" s="166">
        <f t="shared" si="15"/>
        <v>0</v>
      </c>
      <c r="BI269" s="166">
        <f t="shared" si="16"/>
        <v>0</v>
      </c>
      <c r="BJ269" s="14" t="s">
        <v>82</v>
      </c>
      <c r="BK269" s="166">
        <f t="shared" si="17"/>
        <v>0</v>
      </c>
      <c r="BL269" s="14" t="s">
        <v>185</v>
      </c>
      <c r="BM269" s="165" t="s">
        <v>312</v>
      </c>
    </row>
    <row r="270" spans="1:65" s="209" customFormat="1" ht="33.75">
      <c r="A270" s="195"/>
      <c r="B270" s="196"/>
      <c r="C270" s="197"/>
      <c r="D270" s="197"/>
      <c r="E270" s="198"/>
      <c r="F270" s="213" t="s">
        <v>3024</v>
      </c>
      <c r="G270" s="200"/>
      <c r="H270" s="214">
        <f>ROUND(4.18*2.01+1/2*(2.01+0.57)*2.1+0.57*0.36+21.7*0.565+21.7*0.505+38.2*0.505-0.92*0.4,2)</f>
        <v>53.46</v>
      </c>
      <c r="I270" s="194"/>
      <c r="J270" s="194"/>
      <c r="K270" s="202"/>
      <c r="L270" s="203"/>
      <c r="M270" s="204"/>
      <c r="N270" s="205"/>
      <c r="O270" s="206"/>
      <c r="P270" s="207"/>
      <c r="Q270" s="207"/>
      <c r="R270" s="207"/>
      <c r="S270" s="207"/>
      <c r="T270" s="208"/>
      <c r="U270" s="195"/>
      <c r="V270" s="195"/>
      <c r="W270" s="195"/>
      <c r="X270" s="195"/>
      <c r="Y270" s="195"/>
      <c r="Z270" s="195"/>
      <c r="AA270" s="195"/>
      <c r="AB270" s="195"/>
      <c r="AC270" s="195"/>
      <c r="AD270" s="195"/>
      <c r="AE270" s="195"/>
      <c r="AR270" s="210"/>
      <c r="AT270" s="210"/>
      <c r="AU270" s="210"/>
      <c r="AY270" s="211"/>
      <c r="BE270" s="212"/>
      <c r="BF270" s="212"/>
      <c r="BG270" s="212"/>
      <c r="BH270" s="212"/>
      <c r="BI270" s="212"/>
      <c r="BJ270" s="211"/>
      <c r="BK270" s="212"/>
      <c r="BL270" s="211"/>
      <c r="BM270" s="210"/>
    </row>
    <row r="271" spans="1:65" s="209" customFormat="1" ht="12">
      <c r="A271" s="195"/>
      <c r="B271" s="196"/>
      <c r="C271" s="197"/>
      <c r="D271" s="197"/>
      <c r="E271" s="198"/>
      <c r="F271" s="213" t="s">
        <v>3025</v>
      </c>
      <c r="G271" s="200"/>
      <c r="H271" s="214">
        <v>26.5</v>
      </c>
      <c r="I271" s="194"/>
      <c r="J271" s="194"/>
      <c r="K271" s="202"/>
      <c r="L271" s="203"/>
      <c r="M271" s="204"/>
      <c r="N271" s="205"/>
      <c r="O271" s="206"/>
      <c r="P271" s="207"/>
      <c r="Q271" s="207"/>
      <c r="R271" s="207"/>
      <c r="S271" s="207"/>
      <c r="T271" s="208"/>
      <c r="U271" s="195"/>
      <c r="V271" s="195"/>
      <c r="W271" s="195"/>
      <c r="X271" s="195"/>
      <c r="Y271" s="195"/>
      <c r="Z271" s="195"/>
      <c r="AA271" s="195"/>
      <c r="AB271" s="195"/>
      <c r="AC271" s="195"/>
      <c r="AD271" s="195"/>
      <c r="AE271" s="195"/>
      <c r="AR271" s="210"/>
      <c r="AT271" s="210"/>
      <c r="AU271" s="210"/>
      <c r="AY271" s="211"/>
      <c r="BE271" s="212"/>
      <c r="BF271" s="212"/>
      <c r="BG271" s="212"/>
      <c r="BH271" s="212"/>
      <c r="BI271" s="212"/>
      <c r="BJ271" s="211"/>
      <c r="BK271" s="212"/>
      <c r="BL271" s="211"/>
      <c r="BM271" s="210"/>
    </row>
    <row r="272" spans="1:65" s="209" customFormat="1" ht="12">
      <c r="A272" s="195"/>
      <c r="B272" s="196"/>
      <c r="C272" s="197"/>
      <c r="D272" s="197"/>
      <c r="E272" s="198"/>
      <c r="F272" s="215" t="s">
        <v>2983</v>
      </c>
      <c r="G272" s="216"/>
      <c r="H272" s="217">
        <f>SUM(H270:H271)</f>
        <v>79.960000000000008</v>
      </c>
      <c r="I272" s="194"/>
      <c r="J272" s="194"/>
      <c r="K272" s="202"/>
      <c r="L272" s="203"/>
      <c r="M272" s="204"/>
      <c r="N272" s="205"/>
      <c r="O272" s="206"/>
      <c r="P272" s="207"/>
      <c r="Q272" s="207"/>
      <c r="R272" s="207"/>
      <c r="S272" s="207"/>
      <c r="T272" s="208"/>
      <c r="U272" s="195"/>
      <c r="V272" s="195"/>
      <c r="W272" s="195"/>
      <c r="X272" s="195"/>
      <c r="Y272" s="195"/>
      <c r="Z272" s="195"/>
      <c r="AA272" s="195"/>
      <c r="AB272" s="195"/>
      <c r="AC272" s="195"/>
      <c r="AD272" s="195"/>
      <c r="AE272" s="195"/>
      <c r="AR272" s="210"/>
      <c r="AT272" s="210"/>
      <c r="AU272" s="210"/>
      <c r="AY272" s="211"/>
      <c r="BE272" s="212"/>
      <c r="BF272" s="212"/>
      <c r="BG272" s="212"/>
      <c r="BH272" s="212"/>
      <c r="BI272" s="212"/>
      <c r="BJ272" s="211"/>
      <c r="BK272" s="212"/>
      <c r="BL272" s="211"/>
      <c r="BM272" s="210"/>
    </row>
    <row r="273" spans="1:65" s="2" customFormat="1" ht="24.2" customHeight="1">
      <c r="A273" s="29"/>
      <c r="B273" s="152"/>
      <c r="C273" s="153" t="s">
        <v>250</v>
      </c>
      <c r="D273" s="153" t="s">
        <v>181</v>
      </c>
      <c r="E273" s="154" t="s">
        <v>313</v>
      </c>
      <c r="F273" s="155" t="s">
        <v>314</v>
      </c>
      <c r="G273" s="156" t="s">
        <v>184</v>
      </c>
      <c r="H273" s="157">
        <v>1488.7</v>
      </c>
      <c r="I273" s="158"/>
      <c r="J273" s="159">
        <v>0</v>
      </c>
      <c r="K273" s="160"/>
      <c r="L273" s="30"/>
      <c r="M273" s="161" t="s">
        <v>1</v>
      </c>
      <c r="N273" s="162" t="s">
        <v>35</v>
      </c>
      <c r="O273" s="58"/>
      <c r="P273" s="163">
        <f t="shared" si="9"/>
        <v>0</v>
      </c>
      <c r="Q273" s="163">
        <v>0</v>
      </c>
      <c r="R273" s="163">
        <f t="shared" si="10"/>
        <v>0</v>
      </c>
      <c r="S273" s="163">
        <v>0</v>
      </c>
      <c r="T273" s="164">
        <f t="shared" si="11"/>
        <v>0</v>
      </c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R273" s="165" t="s">
        <v>185</v>
      </c>
      <c r="AT273" s="165" t="s">
        <v>181</v>
      </c>
      <c r="AU273" s="165" t="s">
        <v>82</v>
      </c>
      <c r="AY273" s="14" t="s">
        <v>179</v>
      </c>
      <c r="BE273" s="166">
        <f t="shared" si="12"/>
        <v>0</v>
      </c>
      <c r="BF273" s="166">
        <f t="shared" si="13"/>
        <v>0</v>
      </c>
      <c r="BG273" s="166">
        <f t="shared" si="14"/>
        <v>0</v>
      </c>
      <c r="BH273" s="166">
        <f t="shared" si="15"/>
        <v>0</v>
      </c>
      <c r="BI273" s="166">
        <f t="shared" si="16"/>
        <v>0</v>
      </c>
      <c r="BJ273" s="14" t="s">
        <v>82</v>
      </c>
      <c r="BK273" s="166">
        <f t="shared" si="17"/>
        <v>0</v>
      </c>
      <c r="BL273" s="14" t="s">
        <v>185</v>
      </c>
      <c r="BM273" s="165" t="s">
        <v>315</v>
      </c>
    </row>
    <row r="274" spans="1:65" s="2" customFormat="1" ht="12">
      <c r="A274" s="29"/>
      <c r="B274" s="152"/>
      <c r="C274" s="153"/>
      <c r="D274" s="153"/>
      <c r="E274" s="154"/>
      <c r="F274" s="220" t="s">
        <v>3015</v>
      </c>
      <c r="G274" s="185"/>
      <c r="H274" s="192">
        <v>1488.7</v>
      </c>
      <c r="I274" s="194"/>
      <c r="J274" s="159"/>
      <c r="K274" s="160"/>
      <c r="L274" s="30"/>
      <c r="M274" s="161"/>
      <c r="N274" s="162"/>
      <c r="O274" s="58"/>
      <c r="P274" s="163"/>
      <c r="Q274" s="163"/>
      <c r="R274" s="163"/>
      <c r="S274" s="163"/>
      <c r="T274" s="164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R274" s="165"/>
      <c r="AT274" s="165"/>
      <c r="AU274" s="165"/>
      <c r="AY274" s="14"/>
      <c r="BE274" s="166"/>
      <c r="BF274" s="166"/>
      <c r="BG274" s="166"/>
      <c r="BH274" s="166"/>
      <c r="BI274" s="166"/>
      <c r="BJ274" s="14"/>
      <c r="BK274" s="166"/>
      <c r="BL274" s="14"/>
      <c r="BM274" s="165"/>
    </row>
    <row r="275" spans="1:65" s="2" customFormat="1" ht="12">
      <c r="A275" s="29"/>
      <c r="B275" s="152"/>
      <c r="C275" s="153"/>
      <c r="D275" s="153"/>
      <c r="E275" s="154"/>
      <c r="F275" s="187" t="s">
        <v>2983</v>
      </c>
      <c r="G275" s="188"/>
      <c r="H275" s="189">
        <f>SUM(H274:H274)</f>
        <v>1488.7</v>
      </c>
      <c r="I275" s="194"/>
      <c r="J275" s="159"/>
      <c r="K275" s="160"/>
      <c r="L275" s="30"/>
      <c r="M275" s="161"/>
      <c r="N275" s="162"/>
      <c r="O275" s="58"/>
      <c r="P275" s="163"/>
      <c r="Q275" s="163"/>
      <c r="R275" s="163"/>
      <c r="S275" s="163"/>
      <c r="T275" s="164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R275" s="165"/>
      <c r="AT275" s="165"/>
      <c r="AU275" s="165"/>
      <c r="AY275" s="14"/>
      <c r="BE275" s="166"/>
      <c r="BF275" s="166"/>
      <c r="BG275" s="166"/>
      <c r="BH275" s="166"/>
      <c r="BI275" s="166"/>
      <c r="BJ275" s="14"/>
      <c r="BK275" s="166"/>
      <c r="BL275" s="14"/>
      <c r="BM275" s="165"/>
    </row>
    <row r="276" spans="1:65" s="2" customFormat="1" ht="24.2" customHeight="1">
      <c r="A276" s="29"/>
      <c r="B276" s="152"/>
      <c r="C276" s="153" t="s">
        <v>316</v>
      </c>
      <c r="D276" s="153" t="s">
        <v>181</v>
      </c>
      <c r="E276" s="154" t="s">
        <v>317</v>
      </c>
      <c r="F276" s="155" t="s">
        <v>318</v>
      </c>
      <c r="G276" s="156" t="s">
        <v>184</v>
      </c>
      <c r="H276" s="157">
        <v>238.5</v>
      </c>
      <c r="I276" s="158"/>
      <c r="J276" s="159">
        <v>0</v>
      </c>
      <c r="K276" s="160"/>
      <c r="L276" s="30"/>
      <c r="M276" s="161" t="s">
        <v>1</v>
      </c>
      <c r="N276" s="162" t="s">
        <v>35</v>
      </c>
      <c r="O276" s="58"/>
      <c r="P276" s="163">
        <f t="shared" si="9"/>
        <v>0</v>
      </c>
      <c r="Q276" s="163">
        <v>3.5E-4</v>
      </c>
      <c r="R276" s="163">
        <f t="shared" si="10"/>
        <v>8.3474999999999994E-2</v>
      </c>
      <c r="S276" s="163">
        <v>0</v>
      </c>
      <c r="T276" s="164">
        <f t="shared" si="11"/>
        <v>0</v>
      </c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R276" s="165" t="s">
        <v>185</v>
      </c>
      <c r="AT276" s="165" t="s">
        <v>181</v>
      </c>
      <c r="AU276" s="165" t="s">
        <v>82</v>
      </c>
      <c r="AY276" s="14" t="s">
        <v>179</v>
      </c>
      <c r="BE276" s="166">
        <f t="shared" si="12"/>
        <v>0</v>
      </c>
      <c r="BF276" s="166">
        <f t="shared" si="13"/>
        <v>0</v>
      </c>
      <c r="BG276" s="166">
        <f t="shared" si="14"/>
        <v>0</v>
      </c>
      <c r="BH276" s="166">
        <f t="shared" si="15"/>
        <v>0</v>
      </c>
      <c r="BI276" s="166">
        <f t="shared" si="16"/>
        <v>0</v>
      </c>
      <c r="BJ276" s="14" t="s">
        <v>82</v>
      </c>
      <c r="BK276" s="166">
        <f t="shared" si="17"/>
        <v>0</v>
      </c>
      <c r="BL276" s="14" t="s">
        <v>185</v>
      </c>
      <c r="BM276" s="165" t="s">
        <v>319</v>
      </c>
    </row>
    <row r="277" spans="1:65" s="2" customFormat="1" ht="22.5">
      <c r="A277" s="29"/>
      <c r="B277" s="152"/>
      <c r="C277" s="153"/>
      <c r="D277" s="153"/>
      <c r="E277" s="154"/>
      <c r="F277" s="184" t="s">
        <v>3026</v>
      </c>
      <c r="G277" s="185"/>
      <c r="H277" s="186">
        <f>ROUND((2*6+4.5+0.35)*13.97+4.5*7.4-(2.5*3.9+3.95*3.9+5*1.2*0.6+4*0.6*0.6),2)</f>
        <v>238.5</v>
      </c>
      <c r="I277" s="194"/>
      <c r="J277" s="159"/>
      <c r="K277" s="160"/>
      <c r="L277" s="30"/>
      <c r="M277" s="161"/>
      <c r="N277" s="162"/>
      <c r="O277" s="58"/>
      <c r="P277" s="163"/>
      <c r="Q277" s="163"/>
      <c r="R277" s="163"/>
      <c r="S277" s="163"/>
      <c r="T277" s="164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R277" s="165"/>
      <c r="AT277" s="165"/>
      <c r="AU277" s="165"/>
      <c r="AY277" s="14"/>
      <c r="BE277" s="166"/>
      <c r="BF277" s="166"/>
      <c r="BG277" s="166"/>
      <c r="BH277" s="166"/>
      <c r="BI277" s="166"/>
      <c r="BJ277" s="14"/>
      <c r="BK277" s="166"/>
      <c r="BL277" s="14"/>
      <c r="BM277" s="165"/>
    </row>
    <row r="278" spans="1:65" s="2" customFormat="1" ht="12">
      <c r="A278" s="29"/>
      <c r="B278" s="152"/>
      <c r="C278" s="153"/>
      <c r="D278" s="153"/>
      <c r="E278" s="154"/>
      <c r="F278" s="187" t="s">
        <v>2983</v>
      </c>
      <c r="G278" s="188"/>
      <c r="H278" s="189">
        <f>SUM(H277:H277)</f>
        <v>238.5</v>
      </c>
      <c r="I278" s="194"/>
      <c r="J278" s="159"/>
      <c r="K278" s="160"/>
      <c r="L278" s="30"/>
      <c r="M278" s="161"/>
      <c r="N278" s="162"/>
      <c r="O278" s="58"/>
      <c r="P278" s="163"/>
      <c r="Q278" s="163"/>
      <c r="R278" s="163"/>
      <c r="S278" s="163"/>
      <c r="T278" s="164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R278" s="165"/>
      <c r="AT278" s="165"/>
      <c r="AU278" s="165"/>
      <c r="AY278" s="14"/>
      <c r="BE278" s="166"/>
      <c r="BF278" s="166"/>
      <c r="BG278" s="166"/>
      <c r="BH278" s="166"/>
      <c r="BI278" s="166"/>
      <c r="BJ278" s="14"/>
      <c r="BK278" s="166"/>
      <c r="BL278" s="14"/>
      <c r="BM278" s="165"/>
    </row>
    <row r="279" spans="1:65" s="2" customFormat="1" ht="24.2" customHeight="1">
      <c r="A279" s="29"/>
      <c r="B279" s="152"/>
      <c r="C279" s="153" t="s">
        <v>254</v>
      </c>
      <c r="D279" s="153" t="s">
        <v>181</v>
      </c>
      <c r="E279" s="154" t="s">
        <v>320</v>
      </c>
      <c r="F279" s="155" t="s">
        <v>321</v>
      </c>
      <c r="G279" s="156" t="s">
        <v>184</v>
      </c>
      <c r="H279" s="157">
        <v>1027.72</v>
      </c>
      <c r="I279" s="158"/>
      <c r="J279" s="159">
        <v>0</v>
      </c>
      <c r="K279" s="160"/>
      <c r="L279" s="30"/>
      <c r="M279" s="161" t="s">
        <v>1</v>
      </c>
      <c r="N279" s="162" t="s">
        <v>35</v>
      </c>
      <c r="O279" s="58"/>
      <c r="P279" s="163">
        <f t="shared" si="9"/>
        <v>0</v>
      </c>
      <c r="Q279" s="163">
        <v>1.91E-5</v>
      </c>
      <c r="R279" s="163">
        <f t="shared" si="10"/>
        <v>1.9629452000000002E-2</v>
      </c>
      <c r="S279" s="163">
        <v>0</v>
      </c>
      <c r="T279" s="164">
        <f t="shared" si="11"/>
        <v>0</v>
      </c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R279" s="165" t="s">
        <v>185</v>
      </c>
      <c r="AT279" s="165" t="s">
        <v>181</v>
      </c>
      <c r="AU279" s="165" t="s">
        <v>82</v>
      </c>
      <c r="AY279" s="14" t="s">
        <v>179</v>
      </c>
      <c r="BE279" s="166">
        <f t="shared" si="12"/>
        <v>0</v>
      </c>
      <c r="BF279" s="166">
        <f t="shared" si="13"/>
        <v>0</v>
      </c>
      <c r="BG279" s="166">
        <f t="shared" si="14"/>
        <v>0</v>
      </c>
      <c r="BH279" s="166">
        <f t="shared" si="15"/>
        <v>0</v>
      </c>
      <c r="BI279" s="166">
        <f t="shared" si="16"/>
        <v>0</v>
      </c>
      <c r="BJ279" s="14" t="s">
        <v>82</v>
      </c>
      <c r="BK279" s="166">
        <f t="shared" si="17"/>
        <v>0</v>
      </c>
      <c r="BL279" s="14" t="s">
        <v>185</v>
      </c>
      <c r="BM279" s="165" t="s">
        <v>322</v>
      </c>
    </row>
    <row r="280" spans="1:65" s="209" customFormat="1" ht="67.5">
      <c r="A280" s="195"/>
      <c r="B280" s="196"/>
      <c r="C280" s="197"/>
      <c r="D280" s="197"/>
      <c r="E280" s="198"/>
      <c r="F280" s="213" t="s">
        <v>3021</v>
      </c>
      <c r="G280" s="200"/>
      <c r="H280" s="214">
        <f>ROUND(21.75*6.095-(6*0.4*0.6+2*0.35*0.55+1.595*0.92)+21.75*4.64-(4*2.4*1.2+1.2*1.2)+(29.73+2*6)*6.095+13.02*4.64-(9*2.4*1.2+4*2.4*2.345)+10.625*4.84+25.23*6.22+1/2*(6.22+4.84)*2.24-(3*0.6*0.6+3*1.2*0.95+5*1.2*1.2)-8.2,2)</f>
        <v>684.4</v>
      </c>
      <c r="I280" s="194"/>
      <c r="J280" s="194"/>
      <c r="K280" s="202"/>
      <c r="L280" s="203"/>
      <c r="M280" s="204"/>
      <c r="N280" s="205"/>
      <c r="O280" s="206"/>
      <c r="P280" s="207"/>
      <c r="Q280" s="207"/>
      <c r="R280" s="207"/>
      <c r="S280" s="207"/>
      <c r="T280" s="208"/>
      <c r="U280" s="195"/>
      <c r="V280" s="195"/>
      <c r="W280" s="195"/>
      <c r="X280" s="195"/>
      <c r="Y280" s="195"/>
      <c r="Z280" s="195"/>
      <c r="AA280" s="195"/>
      <c r="AB280" s="195"/>
      <c r="AC280" s="195"/>
      <c r="AD280" s="195"/>
      <c r="AE280" s="195"/>
      <c r="AR280" s="210"/>
      <c r="AT280" s="210"/>
      <c r="AU280" s="210"/>
      <c r="AY280" s="211"/>
      <c r="BE280" s="212"/>
      <c r="BF280" s="212"/>
      <c r="BG280" s="212"/>
      <c r="BH280" s="212"/>
      <c r="BI280" s="212"/>
      <c r="BJ280" s="211"/>
      <c r="BK280" s="212"/>
      <c r="BL280" s="211"/>
      <c r="BM280" s="210"/>
    </row>
    <row r="281" spans="1:65" s="209" customFormat="1" ht="12">
      <c r="A281" s="195"/>
      <c r="B281" s="196"/>
      <c r="C281" s="197"/>
      <c r="D281" s="197"/>
      <c r="E281" s="198"/>
      <c r="F281" s="213" t="s">
        <v>3023</v>
      </c>
      <c r="G281" s="200"/>
      <c r="H281" s="214">
        <f>ROUND(6.56*1.25,2)</f>
        <v>8.1999999999999993</v>
      </c>
      <c r="I281" s="194"/>
      <c r="J281" s="194"/>
      <c r="K281" s="202"/>
      <c r="L281" s="203"/>
      <c r="M281" s="204"/>
      <c r="N281" s="205"/>
      <c r="O281" s="206"/>
      <c r="P281" s="207"/>
      <c r="Q281" s="207"/>
      <c r="R281" s="207"/>
      <c r="S281" s="207"/>
      <c r="T281" s="208"/>
      <c r="U281" s="195"/>
      <c r="V281" s="195"/>
      <c r="W281" s="195"/>
      <c r="X281" s="195"/>
      <c r="Y281" s="195"/>
      <c r="Z281" s="195"/>
      <c r="AA281" s="195"/>
      <c r="AB281" s="195"/>
      <c r="AC281" s="195"/>
      <c r="AD281" s="195"/>
      <c r="AE281" s="195"/>
      <c r="AR281" s="210"/>
      <c r="AT281" s="210"/>
      <c r="AU281" s="210"/>
      <c r="AY281" s="211"/>
      <c r="BE281" s="212"/>
      <c r="BF281" s="212"/>
      <c r="BG281" s="212"/>
      <c r="BH281" s="212"/>
      <c r="BI281" s="212"/>
      <c r="BJ281" s="211"/>
      <c r="BK281" s="212"/>
      <c r="BL281" s="211"/>
      <c r="BM281" s="210"/>
    </row>
    <row r="282" spans="1:65" s="209" customFormat="1" ht="33.75">
      <c r="A282" s="195"/>
      <c r="B282" s="196"/>
      <c r="C282" s="197"/>
      <c r="D282" s="197"/>
      <c r="E282" s="198"/>
      <c r="F282" s="213" t="s">
        <v>3027</v>
      </c>
      <c r="G282" s="200"/>
      <c r="H282" s="214">
        <f>ROUND(6.34*0.57+(13.7+2*6)*0.585+15.94*0.585+21.7*0.565+21.7*0.505+38.2*0.505-0.92*0.4,2)</f>
        <v>70.12</v>
      </c>
      <c r="I282" s="194"/>
      <c r="J282" s="194"/>
      <c r="K282" s="202"/>
      <c r="L282" s="203"/>
      <c r="M282" s="204"/>
      <c r="N282" s="205"/>
      <c r="O282" s="206"/>
      <c r="P282" s="207"/>
      <c r="Q282" s="207"/>
      <c r="R282" s="207"/>
      <c r="S282" s="207"/>
      <c r="T282" s="208"/>
      <c r="U282" s="195"/>
      <c r="V282" s="195"/>
      <c r="W282" s="195"/>
      <c r="X282" s="195"/>
      <c r="Y282" s="195"/>
      <c r="Z282" s="195"/>
      <c r="AA282" s="195"/>
      <c r="AB282" s="195"/>
      <c r="AC282" s="195"/>
      <c r="AD282" s="195"/>
      <c r="AE282" s="195"/>
      <c r="AR282" s="210"/>
      <c r="AT282" s="210"/>
      <c r="AU282" s="210"/>
      <c r="AY282" s="211"/>
      <c r="BE282" s="212"/>
      <c r="BF282" s="212"/>
      <c r="BG282" s="212"/>
      <c r="BH282" s="212"/>
      <c r="BI282" s="212"/>
      <c r="BJ282" s="211"/>
      <c r="BK282" s="212"/>
      <c r="BL282" s="211"/>
      <c r="BM282" s="210"/>
    </row>
    <row r="283" spans="1:65" s="209" customFormat="1" ht="12">
      <c r="A283" s="195"/>
      <c r="B283" s="196"/>
      <c r="C283" s="197"/>
      <c r="D283" s="197"/>
      <c r="E283" s="198"/>
      <c r="F283" s="213" t="s">
        <v>3025</v>
      </c>
      <c r="G283" s="200"/>
      <c r="H283" s="214">
        <v>26.5</v>
      </c>
      <c r="I283" s="194"/>
      <c r="J283" s="194"/>
      <c r="K283" s="202"/>
      <c r="L283" s="203"/>
      <c r="M283" s="204"/>
      <c r="N283" s="205"/>
      <c r="O283" s="206"/>
      <c r="P283" s="207"/>
      <c r="Q283" s="207"/>
      <c r="R283" s="207"/>
      <c r="S283" s="207"/>
      <c r="T283" s="208"/>
      <c r="U283" s="195"/>
      <c r="V283" s="195"/>
      <c r="W283" s="195"/>
      <c r="X283" s="195"/>
      <c r="Y283" s="195"/>
      <c r="Z283" s="195"/>
      <c r="AA283" s="195"/>
      <c r="AB283" s="195"/>
      <c r="AC283" s="195"/>
      <c r="AD283" s="195"/>
      <c r="AE283" s="195"/>
      <c r="AR283" s="210"/>
      <c r="AT283" s="210"/>
      <c r="AU283" s="210"/>
      <c r="AY283" s="211"/>
      <c r="BE283" s="212"/>
      <c r="BF283" s="212"/>
      <c r="BG283" s="212"/>
      <c r="BH283" s="212"/>
      <c r="BI283" s="212"/>
      <c r="BJ283" s="211"/>
      <c r="BK283" s="212"/>
      <c r="BL283" s="211"/>
      <c r="BM283" s="210"/>
    </row>
    <row r="284" spans="1:65" s="209" customFormat="1" ht="22.5">
      <c r="A284" s="195"/>
      <c r="B284" s="196"/>
      <c r="C284" s="197"/>
      <c r="D284" s="197"/>
      <c r="E284" s="198"/>
      <c r="F284" s="213" t="s">
        <v>3026</v>
      </c>
      <c r="G284" s="200"/>
      <c r="H284" s="214">
        <f>ROUND((2*6+4.5+0.35)*13.97+4.5*7.4-(2.5*3.9+3.95*3.9+5*1.2*0.6+4*0.6*0.6),2)</f>
        <v>238.5</v>
      </c>
      <c r="I284" s="194"/>
      <c r="J284" s="194"/>
      <c r="K284" s="202"/>
      <c r="L284" s="203"/>
      <c r="M284" s="204"/>
      <c r="N284" s="205"/>
      <c r="O284" s="206"/>
      <c r="P284" s="207"/>
      <c r="Q284" s="207"/>
      <c r="R284" s="207"/>
      <c r="S284" s="207"/>
      <c r="T284" s="208"/>
      <c r="U284" s="195"/>
      <c r="V284" s="195"/>
      <c r="W284" s="195"/>
      <c r="X284" s="195"/>
      <c r="Y284" s="195"/>
      <c r="Z284" s="195"/>
      <c r="AA284" s="195"/>
      <c r="AB284" s="195"/>
      <c r="AC284" s="195"/>
      <c r="AD284" s="195"/>
      <c r="AE284" s="195"/>
      <c r="AR284" s="210"/>
      <c r="AT284" s="210"/>
      <c r="AU284" s="210"/>
      <c r="AY284" s="211"/>
      <c r="BE284" s="212"/>
      <c r="BF284" s="212"/>
      <c r="BG284" s="212"/>
      <c r="BH284" s="212"/>
      <c r="BI284" s="212"/>
      <c r="BJ284" s="211"/>
      <c r="BK284" s="212"/>
      <c r="BL284" s="211"/>
      <c r="BM284" s="210"/>
    </row>
    <row r="285" spans="1:65" s="209" customFormat="1" ht="12">
      <c r="A285" s="195"/>
      <c r="B285" s="196"/>
      <c r="C285" s="197"/>
      <c r="D285" s="197"/>
      <c r="E285" s="198"/>
      <c r="F285" s="215" t="s">
        <v>2983</v>
      </c>
      <c r="G285" s="216"/>
      <c r="H285" s="217">
        <f>SUM(H280:H284)</f>
        <v>1027.72</v>
      </c>
      <c r="I285" s="194"/>
      <c r="J285" s="194"/>
      <c r="K285" s="202"/>
      <c r="L285" s="203"/>
      <c r="M285" s="204"/>
      <c r="N285" s="205"/>
      <c r="O285" s="206"/>
      <c r="P285" s="207"/>
      <c r="Q285" s="207"/>
      <c r="R285" s="207"/>
      <c r="S285" s="207"/>
      <c r="T285" s="208"/>
      <c r="U285" s="195"/>
      <c r="V285" s="195"/>
      <c r="W285" s="195"/>
      <c r="X285" s="195"/>
      <c r="Y285" s="195"/>
      <c r="Z285" s="195"/>
      <c r="AA285" s="195"/>
      <c r="AB285" s="195"/>
      <c r="AC285" s="195"/>
      <c r="AD285" s="195"/>
      <c r="AE285" s="195"/>
      <c r="AR285" s="210"/>
      <c r="AT285" s="210"/>
      <c r="AU285" s="210"/>
      <c r="AY285" s="211"/>
      <c r="BE285" s="212"/>
      <c r="BF285" s="212"/>
      <c r="BG285" s="212"/>
      <c r="BH285" s="212"/>
      <c r="BI285" s="212"/>
      <c r="BJ285" s="211"/>
      <c r="BK285" s="212"/>
      <c r="BL285" s="211"/>
      <c r="BM285" s="210"/>
    </row>
    <row r="286" spans="1:65" s="2" customFormat="1" ht="49.15" customHeight="1">
      <c r="A286" s="29"/>
      <c r="B286" s="152"/>
      <c r="C286" s="153" t="s">
        <v>323</v>
      </c>
      <c r="D286" s="153" t="s">
        <v>181</v>
      </c>
      <c r="E286" s="154" t="s">
        <v>324</v>
      </c>
      <c r="F286" s="155" t="s">
        <v>325</v>
      </c>
      <c r="G286" s="156" t="s">
        <v>184</v>
      </c>
      <c r="H286" s="157">
        <v>122.26</v>
      </c>
      <c r="I286" s="158"/>
      <c r="J286" s="159">
        <v>0</v>
      </c>
      <c r="K286" s="160"/>
      <c r="L286" s="30"/>
      <c r="M286" s="161" t="s">
        <v>1</v>
      </c>
      <c r="N286" s="162" t="s">
        <v>35</v>
      </c>
      <c r="O286" s="58"/>
      <c r="P286" s="163">
        <f t="shared" si="9"/>
        <v>0</v>
      </c>
      <c r="Q286" s="163">
        <v>0</v>
      </c>
      <c r="R286" s="163">
        <f t="shared" si="10"/>
        <v>0</v>
      </c>
      <c r="S286" s="163">
        <v>0</v>
      </c>
      <c r="T286" s="164">
        <f t="shared" si="11"/>
        <v>0</v>
      </c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R286" s="165" t="s">
        <v>185</v>
      </c>
      <c r="AT286" s="165" t="s">
        <v>181</v>
      </c>
      <c r="AU286" s="165" t="s">
        <v>82</v>
      </c>
      <c r="AY286" s="14" t="s">
        <v>179</v>
      </c>
      <c r="BE286" s="166">
        <f t="shared" si="12"/>
        <v>0</v>
      </c>
      <c r="BF286" s="166">
        <f t="shared" si="13"/>
        <v>0</v>
      </c>
      <c r="BG286" s="166">
        <f t="shared" si="14"/>
        <v>0</v>
      </c>
      <c r="BH286" s="166">
        <f t="shared" si="15"/>
        <v>0</v>
      </c>
      <c r="BI286" s="166">
        <f t="shared" si="16"/>
        <v>0</v>
      </c>
      <c r="BJ286" s="14" t="s">
        <v>82</v>
      </c>
      <c r="BK286" s="166">
        <f t="shared" si="17"/>
        <v>0</v>
      </c>
      <c r="BL286" s="14" t="s">
        <v>185</v>
      </c>
      <c r="BM286" s="165" t="s">
        <v>326</v>
      </c>
    </row>
    <row r="287" spans="1:65" s="209" customFormat="1" ht="33.75">
      <c r="A287" s="195"/>
      <c r="B287" s="196"/>
      <c r="C287" s="197"/>
      <c r="D287" s="197"/>
      <c r="E287" s="198"/>
      <c r="F287" s="213" t="s">
        <v>3022</v>
      </c>
      <c r="G287" s="200"/>
      <c r="H287" s="214">
        <f>ROUND(2*4*2.4+2*4*2.345+2*4*1.2+5*2*1.2+5*2.4+4*2*1.2+4*1.2+3*1.2+3*3*0.6+8*1.2+3*2*0.95+5*2*1.2,2)</f>
        <v>122.26</v>
      </c>
      <c r="I287" s="194"/>
      <c r="J287" s="194"/>
      <c r="K287" s="202"/>
      <c r="L287" s="203"/>
      <c r="M287" s="204"/>
      <c r="N287" s="205"/>
      <c r="O287" s="206"/>
      <c r="P287" s="207"/>
      <c r="Q287" s="207"/>
      <c r="R287" s="207"/>
      <c r="S287" s="207"/>
      <c r="T287" s="208"/>
      <c r="U287" s="195"/>
      <c r="V287" s="195"/>
      <c r="W287" s="195"/>
      <c r="X287" s="195"/>
      <c r="Y287" s="195"/>
      <c r="Z287" s="195"/>
      <c r="AA287" s="195"/>
      <c r="AB287" s="195"/>
      <c r="AC287" s="195"/>
      <c r="AD287" s="195"/>
      <c r="AE287" s="195"/>
      <c r="AR287" s="210"/>
      <c r="AT287" s="210"/>
      <c r="AU287" s="210"/>
      <c r="AY287" s="211"/>
      <c r="BE287" s="212"/>
      <c r="BF287" s="212"/>
      <c r="BG287" s="212"/>
      <c r="BH287" s="212"/>
      <c r="BI287" s="212"/>
      <c r="BJ287" s="211"/>
      <c r="BK287" s="212"/>
      <c r="BL287" s="211"/>
      <c r="BM287" s="210"/>
    </row>
    <row r="288" spans="1:65" s="209" customFormat="1" ht="12">
      <c r="A288" s="195"/>
      <c r="B288" s="196"/>
      <c r="C288" s="197"/>
      <c r="D288" s="197"/>
      <c r="E288" s="198"/>
      <c r="F288" s="215" t="s">
        <v>2983</v>
      </c>
      <c r="G288" s="216"/>
      <c r="H288" s="217">
        <f>SUM(H287:H287)</f>
        <v>122.26</v>
      </c>
      <c r="I288" s="194"/>
      <c r="J288" s="194"/>
      <c r="K288" s="202"/>
      <c r="L288" s="203"/>
      <c r="M288" s="204"/>
      <c r="N288" s="205"/>
      <c r="O288" s="206"/>
      <c r="P288" s="207"/>
      <c r="Q288" s="207"/>
      <c r="R288" s="207"/>
      <c r="S288" s="207"/>
      <c r="T288" s="208"/>
      <c r="U288" s="195"/>
      <c r="V288" s="195"/>
      <c r="W288" s="195"/>
      <c r="X288" s="195"/>
      <c r="Y288" s="195"/>
      <c r="Z288" s="195"/>
      <c r="AA288" s="195"/>
      <c r="AB288" s="195"/>
      <c r="AC288" s="195"/>
      <c r="AD288" s="195"/>
      <c r="AE288" s="195"/>
      <c r="AR288" s="210"/>
      <c r="AT288" s="210"/>
      <c r="AU288" s="210"/>
      <c r="AY288" s="211"/>
      <c r="BE288" s="212"/>
      <c r="BF288" s="212"/>
      <c r="BG288" s="212"/>
      <c r="BH288" s="212"/>
      <c r="BI288" s="212"/>
      <c r="BJ288" s="211"/>
      <c r="BK288" s="212"/>
      <c r="BL288" s="211"/>
      <c r="BM288" s="210"/>
    </row>
    <row r="289" spans="1:65" s="2" customFormat="1" ht="49.15" customHeight="1">
      <c r="A289" s="29"/>
      <c r="B289" s="152"/>
      <c r="C289" s="153" t="s">
        <v>257</v>
      </c>
      <c r="D289" s="153" t="s">
        <v>181</v>
      </c>
      <c r="E289" s="154" t="s">
        <v>327</v>
      </c>
      <c r="F289" s="155" t="s">
        <v>328</v>
      </c>
      <c r="G289" s="156" t="s">
        <v>184</v>
      </c>
      <c r="H289" s="157">
        <v>103.82</v>
      </c>
      <c r="I289" s="158"/>
      <c r="J289" s="159">
        <v>0</v>
      </c>
      <c r="K289" s="160"/>
      <c r="L289" s="30"/>
      <c r="M289" s="161" t="s">
        <v>1</v>
      </c>
      <c r="N289" s="162" t="s">
        <v>35</v>
      </c>
      <c r="O289" s="58"/>
      <c r="P289" s="163">
        <f t="shared" si="9"/>
        <v>0</v>
      </c>
      <c r="Q289" s="163">
        <v>1.1044E-2</v>
      </c>
      <c r="R289" s="163">
        <f t="shared" si="10"/>
        <v>1.1465880799999999</v>
      </c>
      <c r="S289" s="163">
        <v>0</v>
      </c>
      <c r="T289" s="164">
        <f t="shared" si="11"/>
        <v>0</v>
      </c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R289" s="165" t="s">
        <v>185</v>
      </c>
      <c r="AT289" s="165" t="s">
        <v>181</v>
      </c>
      <c r="AU289" s="165" t="s">
        <v>82</v>
      </c>
      <c r="AY289" s="14" t="s">
        <v>179</v>
      </c>
      <c r="BE289" s="166">
        <f t="shared" si="12"/>
        <v>0</v>
      </c>
      <c r="BF289" s="166">
        <f t="shared" si="13"/>
        <v>0</v>
      </c>
      <c r="BG289" s="166">
        <f t="shared" si="14"/>
        <v>0</v>
      </c>
      <c r="BH289" s="166">
        <f t="shared" si="15"/>
        <v>0</v>
      </c>
      <c r="BI289" s="166">
        <f t="shared" si="16"/>
        <v>0</v>
      </c>
      <c r="BJ289" s="14" t="s">
        <v>82</v>
      </c>
      <c r="BK289" s="166">
        <f t="shared" si="17"/>
        <v>0</v>
      </c>
      <c r="BL289" s="14" t="s">
        <v>185</v>
      </c>
      <c r="BM289" s="165" t="s">
        <v>329</v>
      </c>
    </row>
    <row r="290" spans="1:65" s="209" customFormat="1" ht="33.75">
      <c r="A290" s="195"/>
      <c r="B290" s="196"/>
      <c r="C290" s="197"/>
      <c r="D290" s="197"/>
      <c r="E290" s="198"/>
      <c r="F290" s="213" t="s">
        <v>3027</v>
      </c>
      <c r="G290" s="200"/>
      <c r="H290" s="214">
        <f>ROUND(6.34*0.57+(13.7+2*6)*0.585+15.94*0.585+21.7*0.565+21.7*0.505+38.2*0.505-0.92*0.4,2)</f>
        <v>70.12</v>
      </c>
      <c r="I290" s="194"/>
      <c r="J290" s="194"/>
      <c r="K290" s="202"/>
      <c r="L290" s="203"/>
      <c r="M290" s="204"/>
      <c r="N290" s="205"/>
      <c r="O290" s="206"/>
      <c r="P290" s="207"/>
      <c r="Q290" s="207"/>
      <c r="R290" s="207"/>
      <c r="S290" s="207"/>
      <c r="T290" s="208"/>
      <c r="U290" s="195"/>
      <c r="V290" s="195"/>
      <c r="W290" s="195"/>
      <c r="X290" s="195"/>
      <c r="Y290" s="195"/>
      <c r="Z290" s="195"/>
      <c r="AA290" s="195"/>
      <c r="AB290" s="195"/>
      <c r="AC290" s="195"/>
      <c r="AD290" s="195"/>
      <c r="AE290" s="195"/>
      <c r="AR290" s="210"/>
      <c r="AT290" s="210"/>
      <c r="AU290" s="210"/>
      <c r="AY290" s="211"/>
      <c r="BE290" s="212"/>
      <c r="BF290" s="212"/>
      <c r="BG290" s="212"/>
      <c r="BH290" s="212"/>
      <c r="BI290" s="212"/>
      <c r="BJ290" s="211"/>
      <c r="BK290" s="212"/>
      <c r="BL290" s="211"/>
      <c r="BM290" s="210"/>
    </row>
    <row r="291" spans="1:65" s="209" customFormat="1" ht="12">
      <c r="A291" s="195"/>
      <c r="B291" s="196"/>
      <c r="C291" s="197"/>
      <c r="D291" s="197"/>
      <c r="E291" s="198"/>
      <c r="F291" s="213" t="s">
        <v>3028</v>
      </c>
      <c r="G291" s="200"/>
      <c r="H291" s="214">
        <v>33.700000000000003</v>
      </c>
      <c r="I291" s="194"/>
      <c r="J291" s="194"/>
      <c r="K291" s="202"/>
      <c r="L291" s="203"/>
      <c r="M291" s="204"/>
      <c r="N291" s="205"/>
      <c r="O291" s="206"/>
      <c r="P291" s="207"/>
      <c r="Q291" s="207"/>
      <c r="R291" s="207"/>
      <c r="S291" s="207"/>
      <c r="T291" s="208"/>
      <c r="U291" s="195"/>
      <c r="V291" s="195"/>
      <c r="W291" s="195"/>
      <c r="X291" s="195"/>
      <c r="Y291" s="195"/>
      <c r="Z291" s="195"/>
      <c r="AA291" s="195"/>
      <c r="AB291" s="195"/>
      <c r="AC291" s="195"/>
      <c r="AD291" s="195"/>
      <c r="AE291" s="195"/>
      <c r="AR291" s="210"/>
      <c r="AT291" s="210"/>
      <c r="AU291" s="210"/>
      <c r="AY291" s="211"/>
      <c r="BE291" s="212"/>
      <c r="BF291" s="212"/>
      <c r="BG291" s="212"/>
      <c r="BH291" s="212"/>
      <c r="BI291" s="212"/>
      <c r="BJ291" s="211"/>
      <c r="BK291" s="212"/>
      <c r="BL291" s="211"/>
      <c r="BM291" s="210"/>
    </row>
    <row r="292" spans="1:65" s="209" customFormat="1" ht="12">
      <c r="A292" s="195"/>
      <c r="B292" s="196"/>
      <c r="C292" s="197"/>
      <c r="D292" s="197"/>
      <c r="E292" s="198"/>
      <c r="F292" s="215" t="s">
        <v>2983</v>
      </c>
      <c r="G292" s="216"/>
      <c r="H292" s="217">
        <f>SUM(H290:H291)</f>
        <v>103.82000000000001</v>
      </c>
      <c r="I292" s="194"/>
      <c r="J292" s="194"/>
      <c r="K292" s="202"/>
      <c r="L292" s="203"/>
      <c r="M292" s="204"/>
      <c r="N292" s="205"/>
      <c r="O292" s="206"/>
      <c r="P292" s="207"/>
      <c r="Q292" s="207"/>
      <c r="R292" s="207"/>
      <c r="S292" s="207"/>
      <c r="T292" s="208"/>
      <c r="U292" s="195"/>
      <c r="V292" s="195"/>
      <c r="W292" s="195"/>
      <c r="X292" s="195"/>
      <c r="Y292" s="195"/>
      <c r="Z292" s="195"/>
      <c r="AA292" s="195"/>
      <c r="AB292" s="195"/>
      <c r="AC292" s="195"/>
      <c r="AD292" s="195"/>
      <c r="AE292" s="195"/>
      <c r="AR292" s="210"/>
      <c r="AT292" s="210"/>
      <c r="AU292" s="210"/>
      <c r="AY292" s="211"/>
      <c r="BE292" s="212"/>
      <c r="BF292" s="212"/>
      <c r="BG292" s="212"/>
      <c r="BH292" s="212"/>
      <c r="BI292" s="212"/>
      <c r="BJ292" s="211"/>
      <c r="BK292" s="212"/>
      <c r="BL292" s="211"/>
      <c r="BM292" s="210"/>
    </row>
    <row r="293" spans="1:65" s="2" customFormat="1" ht="49.15" customHeight="1">
      <c r="A293" s="29"/>
      <c r="B293" s="152"/>
      <c r="C293" s="153" t="s">
        <v>330</v>
      </c>
      <c r="D293" s="153" t="s">
        <v>181</v>
      </c>
      <c r="E293" s="154" t="s">
        <v>331</v>
      </c>
      <c r="F293" s="155" t="s">
        <v>332</v>
      </c>
      <c r="G293" s="156" t="s">
        <v>184</v>
      </c>
      <c r="H293" s="157">
        <v>684.4</v>
      </c>
      <c r="I293" s="158"/>
      <c r="J293" s="159">
        <f t="shared" ref="J237:J341" si="18">ROUND(I293*H293,2)</f>
        <v>0</v>
      </c>
      <c r="K293" s="160"/>
      <c r="L293" s="30"/>
      <c r="M293" s="161" t="s">
        <v>1</v>
      </c>
      <c r="N293" s="162" t="s">
        <v>35</v>
      </c>
      <c r="O293" s="58"/>
      <c r="P293" s="163">
        <f t="shared" si="9"/>
        <v>0</v>
      </c>
      <c r="Q293" s="163">
        <v>1.1674E-2</v>
      </c>
      <c r="R293" s="163">
        <f t="shared" si="10"/>
        <v>7.9896855999999996</v>
      </c>
      <c r="S293" s="163">
        <v>0</v>
      </c>
      <c r="T293" s="164">
        <f t="shared" si="11"/>
        <v>0</v>
      </c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R293" s="165" t="s">
        <v>185</v>
      </c>
      <c r="AT293" s="165" t="s">
        <v>181</v>
      </c>
      <c r="AU293" s="165" t="s">
        <v>82</v>
      </c>
      <c r="AY293" s="14" t="s">
        <v>179</v>
      </c>
      <c r="BE293" s="166">
        <f t="shared" si="12"/>
        <v>0</v>
      </c>
      <c r="BF293" s="166">
        <f t="shared" si="13"/>
        <v>0</v>
      </c>
      <c r="BG293" s="166">
        <f t="shared" si="14"/>
        <v>0</v>
      </c>
      <c r="BH293" s="166">
        <f t="shared" si="15"/>
        <v>0</v>
      </c>
      <c r="BI293" s="166">
        <f t="shared" si="16"/>
        <v>0</v>
      </c>
      <c r="BJ293" s="14" t="s">
        <v>82</v>
      </c>
      <c r="BK293" s="166">
        <f t="shared" si="17"/>
        <v>0</v>
      </c>
      <c r="BL293" s="14" t="s">
        <v>185</v>
      </c>
      <c r="BM293" s="165" t="s">
        <v>333</v>
      </c>
    </row>
    <row r="294" spans="1:65" s="209" customFormat="1" ht="67.5">
      <c r="A294" s="195"/>
      <c r="B294" s="196"/>
      <c r="C294" s="197"/>
      <c r="D294" s="197"/>
      <c r="E294" s="198"/>
      <c r="F294" s="184" t="s">
        <v>3021</v>
      </c>
      <c r="G294" s="185"/>
      <c r="H294" s="186">
        <f>ROUND(21.75*6.095-(6*0.4*0.6+2*0.35*0.55+1.595*0.92)+21.75*4.64-(4*2.4*1.2+1.2*1.2)+(29.73+2*6)*6.095+13.02*4.64-(9*2.4*1.2+4*2.4*2.345)+10.625*4.84+25.23*6.22+1/2*(6.22+4.84)*2.24-(3*0.6*0.6+3*1.2*0.95+5*1.2*1.2)-8.2,2)</f>
        <v>684.4</v>
      </c>
      <c r="I294" s="194"/>
      <c r="J294" s="194"/>
      <c r="K294" s="202"/>
      <c r="L294" s="203"/>
      <c r="M294" s="204"/>
      <c r="N294" s="205"/>
      <c r="O294" s="206"/>
      <c r="P294" s="207"/>
      <c r="Q294" s="207"/>
      <c r="R294" s="207"/>
      <c r="S294" s="207"/>
      <c r="T294" s="208"/>
      <c r="U294" s="195"/>
      <c r="V294" s="195"/>
      <c r="W294" s="195"/>
      <c r="X294" s="195"/>
      <c r="Y294" s="195"/>
      <c r="Z294" s="195"/>
      <c r="AA294" s="195"/>
      <c r="AB294" s="195"/>
      <c r="AC294" s="195"/>
      <c r="AD294" s="195"/>
      <c r="AE294" s="195"/>
      <c r="AR294" s="210"/>
      <c r="AT294" s="210"/>
      <c r="AU294" s="210"/>
      <c r="AY294" s="211"/>
      <c r="BE294" s="212"/>
      <c r="BF294" s="212"/>
      <c r="BG294" s="212"/>
      <c r="BH294" s="212"/>
      <c r="BI294" s="212"/>
      <c r="BJ294" s="211"/>
      <c r="BK294" s="212"/>
      <c r="BL294" s="211"/>
      <c r="BM294" s="210"/>
    </row>
    <row r="295" spans="1:65" s="209" customFormat="1" ht="12">
      <c r="A295" s="195"/>
      <c r="B295" s="196"/>
      <c r="C295" s="197"/>
      <c r="D295" s="197"/>
      <c r="E295" s="198"/>
      <c r="F295" s="187" t="s">
        <v>2983</v>
      </c>
      <c r="G295" s="188"/>
      <c r="H295" s="189">
        <f>SUM(H294:H294)</f>
        <v>684.4</v>
      </c>
      <c r="I295" s="194"/>
      <c r="J295" s="194"/>
      <c r="K295" s="202"/>
      <c r="L295" s="203"/>
      <c r="M295" s="204"/>
      <c r="N295" s="205"/>
      <c r="O295" s="206"/>
      <c r="P295" s="207"/>
      <c r="Q295" s="207"/>
      <c r="R295" s="207"/>
      <c r="S295" s="207"/>
      <c r="T295" s="208"/>
      <c r="U295" s="195"/>
      <c r="V295" s="195"/>
      <c r="W295" s="195"/>
      <c r="X295" s="195"/>
      <c r="Y295" s="195"/>
      <c r="Z295" s="195"/>
      <c r="AA295" s="195"/>
      <c r="AB295" s="195"/>
      <c r="AC295" s="195"/>
      <c r="AD295" s="195"/>
      <c r="AE295" s="195"/>
      <c r="AR295" s="210"/>
      <c r="AT295" s="210"/>
      <c r="AU295" s="210"/>
      <c r="AY295" s="211"/>
      <c r="BE295" s="212"/>
      <c r="BF295" s="212"/>
      <c r="BG295" s="212"/>
      <c r="BH295" s="212"/>
      <c r="BI295" s="212"/>
      <c r="BJ295" s="211"/>
      <c r="BK295" s="212"/>
      <c r="BL295" s="211"/>
      <c r="BM295" s="210"/>
    </row>
    <row r="296" spans="1:65" s="2" customFormat="1" ht="44.25" customHeight="1">
      <c r="A296" s="29"/>
      <c r="B296" s="152"/>
      <c r="C296" s="153" t="s">
        <v>261</v>
      </c>
      <c r="D296" s="153" t="s">
        <v>181</v>
      </c>
      <c r="E296" s="154" t="s">
        <v>334</v>
      </c>
      <c r="F296" s="155" t="s">
        <v>335</v>
      </c>
      <c r="G296" s="156" t="s">
        <v>184</v>
      </c>
      <c r="H296" s="157">
        <v>8.1999999999999993</v>
      </c>
      <c r="I296" s="158"/>
      <c r="J296" s="159">
        <f t="shared" si="18"/>
        <v>0</v>
      </c>
      <c r="K296" s="160"/>
      <c r="L296" s="30"/>
      <c r="M296" s="161" t="s">
        <v>1</v>
      </c>
      <c r="N296" s="162" t="s">
        <v>35</v>
      </c>
      <c r="O296" s="58"/>
      <c r="P296" s="163">
        <f t="shared" si="9"/>
        <v>0</v>
      </c>
      <c r="Q296" s="163">
        <v>2.2699E-2</v>
      </c>
      <c r="R296" s="163">
        <f t="shared" si="10"/>
        <v>0.18613179999999999</v>
      </c>
      <c r="S296" s="163">
        <v>0</v>
      </c>
      <c r="T296" s="164">
        <f t="shared" si="11"/>
        <v>0</v>
      </c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R296" s="165" t="s">
        <v>185</v>
      </c>
      <c r="AT296" s="165" t="s">
        <v>181</v>
      </c>
      <c r="AU296" s="165" t="s">
        <v>82</v>
      </c>
      <c r="AY296" s="14" t="s">
        <v>179</v>
      </c>
      <c r="BE296" s="166">
        <f t="shared" si="12"/>
        <v>0</v>
      </c>
      <c r="BF296" s="166">
        <f t="shared" si="13"/>
        <v>0</v>
      </c>
      <c r="BG296" s="166">
        <f t="shared" si="14"/>
        <v>0</v>
      </c>
      <c r="BH296" s="166">
        <f t="shared" si="15"/>
        <v>0</v>
      </c>
      <c r="BI296" s="166">
        <f t="shared" si="16"/>
        <v>0</v>
      </c>
      <c r="BJ296" s="14" t="s">
        <v>82</v>
      </c>
      <c r="BK296" s="166">
        <f t="shared" si="17"/>
        <v>0</v>
      </c>
      <c r="BL296" s="14" t="s">
        <v>185</v>
      </c>
      <c r="BM296" s="165" t="s">
        <v>336</v>
      </c>
    </row>
    <row r="297" spans="1:65" s="209" customFormat="1" ht="12">
      <c r="A297" s="195"/>
      <c r="B297" s="196"/>
      <c r="C297" s="197"/>
      <c r="D297" s="197"/>
      <c r="E297" s="198"/>
      <c r="F297" s="184" t="s">
        <v>3023</v>
      </c>
      <c r="G297" s="185"/>
      <c r="H297" s="186">
        <f>ROUND(6.56*1.25,2)</f>
        <v>8.1999999999999993</v>
      </c>
      <c r="I297" s="194"/>
      <c r="J297" s="194"/>
      <c r="K297" s="202"/>
      <c r="L297" s="203"/>
      <c r="M297" s="204"/>
      <c r="N297" s="205"/>
      <c r="O297" s="206"/>
      <c r="P297" s="207"/>
      <c r="Q297" s="207"/>
      <c r="R297" s="207"/>
      <c r="S297" s="207"/>
      <c r="T297" s="208"/>
      <c r="U297" s="195"/>
      <c r="V297" s="195"/>
      <c r="W297" s="195"/>
      <c r="X297" s="195"/>
      <c r="Y297" s="195"/>
      <c r="Z297" s="195"/>
      <c r="AA297" s="195"/>
      <c r="AB297" s="195"/>
      <c r="AC297" s="195"/>
      <c r="AD297" s="195"/>
      <c r="AE297" s="195"/>
      <c r="AR297" s="210"/>
      <c r="AT297" s="210"/>
      <c r="AU297" s="210"/>
      <c r="AY297" s="211"/>
      <c r="BE297" s="212"/>
      <c r="BF297" s="212"/>
      <c r="BG297" s="212"/>
      <c r="BH297" s="212"/>
      <c r="BI297" s="212"/>
      <c r="BJ297" s="211"/>
      <c r="BK297" s="212"/>
      <c r="BL297" s="211"/>
      <c r="BM297" s="210"/>
    </row>
    <row r="298" spans="1:65" s="209" customFormat="1" ht="12">
      <c r="A298" s="195"/>
      <c r="B298" s="196"/>
      <c r="C298" s="197"/>
      <c r="D298" s="197"/>
      <c r="E298" s="198"/>
      <c r="F298" s="187" t="s">
        <v>2983</v>
      </c>
      <c r="G298" s="188"/>
      <c r="H298" s="189">
        <f>SUM(H297:H297)</f>
        <v>8.1999999999999993</v>
      </c>
      <c r="I298" s="194"/>
      <c r="J298" s="194"/>
      <c r="K298" s="202"/>
      <c r="L298" s="203"/>
      <c r="M298" s="204"/>
      <c r="N298" s="205"/>
      <c r="O298" s="206"/>
      <c r="P298" s="207"/>
      <c r="Q298" s="207"/>
      <c r="R298" s="207"/>
      <c r="S298" s="207"/>
      <c r="T298" s="208"/>
      <c r="U298" s="195"/>
      <c r="V298" s="195"/>
      <c r="W298" s="195"/>
      <c r="X298" s="195"/>
      <c r="Y298" s="195"/>
      <c r="Z298" s="195"/>
      <c r="AA298" s="195"/>
      <c r="AB298" s="195"/>
      <c r="AC298" s="195"/>
      <c r="AD298" s="195"/>
      <c r="AE298" s="195"/>
      <c r="AR298" s="210"/>
      <c r="AT298" s="210"/>
      <c r="AU298" s="210"/>
      <c r="AY298" s="211"/>
      <c r="BE298" s="212"/>
      <c r="BF298" s="212"/>
      <c r="BG298" s="212"/>
      <c r="BH298" s="212"/>
      <c r="BI298" s="212"/>
      <c r="BJ298" s="211"/>
      <c r="BK298" s="212"/>
      <c r="BL298" s="211"/>
      <c r="BM298" s="210"/>
    </row>
    <row r="299" spans="1:65" s="2" customFormat="1" ht="24.2" customHeight="1">
      <c r="A299" s="29"/>
      <c r="B299" s="152"/>
      <c r="C299" s="153" t="s">
        <v>337</v>
      </c>
      <c r="D299" s="153" t="s">
        <v>181</v>
      </c>
      <c r="E299" s="154" t="s">
        <v>338</v>
      </c>
      <c r="F299" s="155" t="s">
        <v>339</v>
      </c>
      <c r="G299" s="156" t="s">
        <v>184</v>
      </c>
      <c r="H299" s="157">
        <f>H303</f>
        <v>148.953</v>
      </c>
      <c r="I299" s="158"/>
      <c r="J299" s="159">
        <f t="shared" si="18"/>
        <v>0</v>
      </c>
      <c r="K299" s="160"/>
      <c r="L299" s="30"/>
      <c r="M299" s="161" t="s">
        <v>1</v>
      </c>
      <c r="N299" s="162" t="s">
        <v>35</v>
      </c>
      <c r="O299" s="58"/>
      <c r="P299" s="163">
        <f t="shared" si="9"/>
        <v>0</v>
      </c>
      <c r="Q299" s="163">
        <v>0</v>
      </c>
      <c r="R299" s="163">
        <f t="shared" si="10"/>
        <v>0</v>
      </c>
      <c r="S299" s="163">
        <v>0</v>
      </c>
      <c r="T299" s="164">
        <f t="shared" si="11"/>
        <v>0</v>
      </c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R299" s="165" t="s">
        <v>185</v>
      </c>
      <c r="AT299" s="165" t="s">
        <v>181</v>
      </c>
      <c r="AU299" s="165" t="s">
        <v>82</v>
      </c>
      <c r="AY299" s="14" t="s">
        <v>179</v>
      </c>
      <c r="BE299" s="166">
        <f t="shared" si="12"/>
        <v>0</v>
      </c>
      <c r="BF299" s="166">
        <f t="shared" si="13"/>
        <v>0</v>
      </c>
      <c r="BG299" s="166">
        <f t="shared" si="14"/>
        <v>0</v>
      </c>
      <c r="BH299" s="166">
        <f t="shared" si="15"/>
        <v>0</v>
      </c>
      <c r="BI299" s="166">
        <f t="shared" si="16"/>
        <v>0</v>
      </c>
      <c r="BJ299" s="14" t="s">
        <v>82</v>
      </c>
      <c r="BK299" s="166">
        <f t="shared" si="17"/>
        <v>0</v>
      </c>
      <c r="BL299" s="14" t="s">
        <v>185</v>
      </c>
      <c r="BM299" s="165" t="s">
        <v>340</v>
      </c>
    </row>
    <row r="300" spans="1:65" s="209" customFormat="1" ht="67.5">
      <c r="A300" s="195"/>
      <c r="B300" s="196"/>
      <c r="C300" s="197"/>
      <c r="D300" s="197"/>
      <c r="E300" s="198"/>
      <c r="F300" s="213" t="s">
        <v>3021</v>
      </c>
      <c r="G300" s="200"/>
      <c r="H300" s="214">
        <f>ROUND(21.75*6.095-(6*0.4*0.6+2*0.35*0.55+1.595*0.92)+21.75*4.64-(4*2.4*1.2+1.2*1.2)+(29.73+2*6)*6.095+13.02*4.64-(9*2.4*1.2+4*2.4*2.345)+10.625*4.84+25.23*6.22+1/2*(6.22+4.84)*2.24-(3*0.6*0.6+3*1.2*0.95+5*1.2*1.2)-8.2,2)</f>
        <v>684.4</v>
      </c>
      <c r="I300" s="194"/>
      <c r="J300" s="194"/>
      <c r="K300" s="202"/>
      <c r="L300" s="203"/>
      <c r="M300" s="204"/>
      <c r="N300" s="205"/>
      <c r="O300" s="206"/>
      <c r="P300" s="207"/>
      <c r="Q300" s="207"/>
      <c r="R300" s="207"/>
      <c r="S300" s="207"/>
      <c r="T300" s="208"/>
      <c r="U300" s="195"/>
      <c r="V300" s="195"/>
      <c r="W300" s="195"/>
      <c r="X300" s="195"/>
      <c r="Y300" s="195"/>
      <c r="Z300" s="195"/>
      <c r="AA300" s="195"/>
      <c r="AB300" s="195"/>
      <c r="AC300" s="195"/>
      <c r="AD300" s="195"/>
      <c r="AE300" s="195"/>
      <c r="AR300" s="210"/>
      <c r="AT300" s="210"/>
      <c r="AU300" s="210"/>
      <c r="AY300" s="211"/>
      <c r="BE300" s="212"/>
      <c r="BF300" s="212"/>
      <c r="BG300" s="212"/>
      <c r="BH300" s="212"/>
      <c r="BI300" s="212"/>
      <c r="BJ300" s="211"/>
      <c r="BK300" s="212"/>
      <c r="BL300" s="211"/>
      <c r="BM300" s="210"/>
    </row>
    <row r="301" spans="1:65" s="209" customFormat="1" ht="33.75">
      <c r="A301" s="195"/>
      <c r="B301" s="196"/>
      <c r="C301" s="197"/>
      <c r="D301" s="197"/>
      <c r="E301" s="198"/>
      <c r="F301" s="213" t="s">
        <v>3027</v>
      </c>
      <c r="G301" s="200"/>
      <c r="H301" s="214">
        <f>ROUND(6.34*0.57+(13.7+2*6)*0.585+15.94*0.585+21.7*0.565+21.7*0.505+38.2*0.505-0.92*0.4,2)</f>
        <v>70.12</v>
      </c>
      <c r="I301" s="194"/>
      <c r="J301" s="194"/>
      <c r="K301" s="202"/>
      <c r="L301" s="203"/>
      <c r="M301" s="204"/>
      <c r="N301" s="205"/>
      <c r="O301" s="206"/>
      <c r="P301" s="207"/>
      <c r="Q301" s="207"/>
      <c r="R301" s="207"/>
      <c r="S301" s="207"/>
      <c r="T301" s="208"/>
      <c r="U301" s="195"/>
      <c r="V301" s="195"/>
      <c r="W301" s="195"/>
      <c r="X301" s="195"/>
      <c r="Y301" s="195"/>
      <c r="Z301" s="195"/>
      <c r="AA301" s="195"/>
      <c r="AB301" s="195"/>
      <c r="AC301" s="195"/>
      <c r="AD301" s="195"/>
      <c r="AE301" s="195"/>
      <c r="AR301" s="210"/>
      <c r="AT301" s="210"/>
      <c r="AU301" s="210"/>
      <c r="AY301" s="211"/>
      <c r="BE301" s="212"/>
      <c r="BF301" s="212"/>
      <c r="BG301" s="212"/>
      <c r="BH301" s="212"/>
      <c r="BI301" s="212"/>
      <c r="BJ301" s="211"/>
      <c r="BK301" s="212"/>
      <c r="BL301" s="211"/>
      <c r="BM301" s="210"/>
    </row>
    <row r="302" spans="1:65" s="209" customFormat="1" ht="22.5">
      <c r="A302" s="195"/>
      <c r="B302" s="196"/>
      <c r="C302" s="197"/>
      <c r="D302" s="197"/>
      <c r="E302" s="198"/>
      <c r="F302" s="213" t="s">
        <v>3026</v>
      </c>
      <c r="G302" s="200"/>
      <c r="H302" s="214">
        <f>ROUND((2*6+4.5+0.35)*13.97+4.5*7.4-(2.5*3.9+3.95*3.9+5*1.2*0.6+4*0.6*0.6),2)</f>
        <v>238.5</v>
      </c>
      <c r="I302" s="194"/>
      <c r="J302" s="194"/>
      <c r="K302" s="202"/>
      <c r="L302" s="203"/>
      <c r="M302" s="204"/>
      <c r="N302" s="205"/>
      <c r="O302" s="206"/>
      <c r="P302" s="207"/>
      <c r="Q302" s="207"/>
      <c r="R302" s="207"/>
      <c r="S302" s="207"/>
      <c r="T302" s="208"/>
      <c r="U302" s="195"/>
      <c r="V302" s="195"/>
      <c r="W302" s="195"/>
      <c r="X302" s="195"/>
      <c r="Y302" s="195"/>
      <c r="Z302" s="195"/>
      <c r="AA302" s="195"/>
      <c r="AB302" s="195"/>
      <c r="AC302" s="195"/>
      <c r="AD302" s="195"/>
      <c r="AE302" s="195"/>
      <c r="AR302" s="210"/>
      <c r="AT302" s="210"/>
      <c r="AU302" s="210"/>
      <c r="AY302" s="211"/>
      <c r="BE302" s="212"/>
      <c r="BF302" s="212"/>
      <c r="BG302" s="212"/>
      <c r="BH302" s="212"/>
      <c r="BI302" s="212"/>
      <c r="BJ302" s="211"/>
      <c r="BK302" s="212"/>
      <c r="BL302" s="211"/>
      <c r="BM302" s="210"/>
    </row>
    <row r="303" spans="1:65" s="209" customFormat="1" ht="12">
      <c r="A303" s="195"/>
      <c r="B303" s="196"/>
      <c r="C303" s="197"/>
      <c r="D303" s="197"/>
      <c r="E303" s="198"/>
      <c r="F303" s="215" t="s">
        <v>2983</v>
      </c>
      <c r="G303" s="216"/>
      <c r="H303" s="217">
        <f>SUM(H300:H302)*0.15</f>
        <v>148.953</v>
      </c>
      <c r="I303" s="194"/>
      <c r="J303" s="194"/>
      <c r="K303" s="202"/>
      <c r="L303" s="203"/>
      <c r="M303" s="204"/>
      <c r="N303" s="205"/>
      <c r="O303" s="206"/>
      <c r="P303" s="207"/>
      <c r="Q303" s="207"/>
      <c r="R303" s="207"/>
      <c r="S303" s="207"/>
      <c r="T303" s="208"/>
      <c r="U303" s="195"/>
      <c r="V303" s="195"/>
      <c r="W303" s="195"/>
      <c r="X303" s="195"/>
      <c r="Y303" s="195"/>
      <c r="Z303" s="195"/>
      <c r="AA303" s="195"/>
      <c r="AB303" s="195"/>
      <c r="AC303" s="195"/>
      <c r="AD303" s="195"/>
      <c r="AE303" s="195"/>
      <c r="AR303" s="210"/>
      <c r="AT303" s="210"/>
      <c r="AU303" s="210"/>
      <c r="AY303" s="211"/>
      <c r="BE303" s="212"/>
      <c r="BF303" s="212"/>
      <c r="BG303" s="212"/>
      <c r="BH303" s="212"/>
      <c r="BI303" s="212"/>
      <c r="BJ303" s="211"/>
      <c r="BK303" s="212"/>
      <c r="BL303" s="211"/>
      <c r="BM303" s="210"/>
    </row>
    <row r="304" spans="1:65" s="2" customFormat="1" ht="21.75" customHeight="1">
      <c r="A304" s="29"/>
      <c r="B304" s="152"/>
      <c r="C304" s="153" t="s">
        <v>265</v>
      </c>
      <c r="D304" s="153" t="s">
        <v>181</v>
      </c>
      <c r="E304" s="154" t="s">
        <v>341</v>
      </c>
      <c r="F304" s="155" t="s">
        <v>342</v>
      </c>
      <c r="G304" s="156" t="s">
        <v>293</v>
      </c>
      <c r="H304" s="157">
        <v>10.75</v>
      </c>
      <c r="I304" s="158"/>
      <c r="J304" s="159">
        <v>0</v>
      </c>
      <c r="K304" s="160"/>
      <c r="L304" s="30"/>
      <c r="M304" s="161" t="s">
        <v>1</v>
      </c>
      <c r="N304" s="162" t="s">
        <v>35</v>
      </c>
      <c r="O304" s="58"/>
      <c r="P304" s="163">
        <f t="shared" si="9"/>
        <v>0</v>
      </c>
      <c r="Q304" s="163">
        <v>0</v>
      </c>
      <c r="R304" s="163">
        <f t="shared" si="10"/>
        <v>0</v>
      </c>
      <c r="S304" s="163">
        <v>0</v>
      </c>
      <c r="T304" s="164">
        <f t="shared" si="11"/>
        <v>0</v>
      </c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R304" s="165" t="s">
        <v>185</v>
      </c>
      <c r="AT304" s="165" t="s">
        <v>181</v>
      </c>
      <c r="AU304" s="165" t="s">
        <v>82</v>
      </c>
      <c r="AY304" s="14" t="s">
        <v>179</v>
      </c>
      <c r="BE304" s="166">
        <f t="shared" si="12"/>
        <v>0</v>
      </c>
      <c r="BF304" s="166">
        <f t="shared" si="13"/>
        <v>0</v>
      </c>
      <c r="BG304" s="166">
        <f t="shared" si="14"/>
        <v>0</v>
      </c>
      <c r="BH304" s="166">
        <f t="shared" si="15"/>
        <v>0</v>
      </c>
      <c r="BI304" s="166">
        <f t="shared" si="16"/>
        <v>0</v>
      </c>
      <c r="BJ304" s="14" t="s">
        <v>82</v>
      </c>
      <c r="BK304" s="166">
        <f t="shared" si="17"/>
        <v>0</v>
      </c>
      <c r="BL304" s="14" t="s">
        <v>185</v>
      </c>
      <c r="BM304" s="165" t="s">
        <v>343</v>
      </c>
    </row>
    <row r="305" spans="1:65" s="209" customFormat="1" ht="12">
      <c r="A305" s="195"/>
      <c r="B305" s="196"/>
      <c r="C305" s="197"/>
      <c r="D305" s="197"/>
      <c r="E305" s="198"/>
      <c r="F305" s="213" t="s">
        <v>3029</v>
      </c>
      <c r="G305" s="200"/>
      <c r="H305" s="214">
        <f>ROUND(2*2*2.05+1.35+1.2,2)</f>
        <v>10.75</v>
      </c>
      <c r="I305" s="194"/>
      <c r="J305" s="194"/>
      <c r="K305" s="202"/>
      <c r="L305" s="203"/>
      <c r="M305" s="204"/>
      <c r="N305" s="205"/>
      <c r="O305" s="206"/>
      <c r="P305" s="207"/>
      <c r="Q305" s="207"/>
      <c r="R305" s="207"/>
      <c r="S305" s="207"/>
      <c r="T305" s="208"/>
      <c r="U305" s="195"/>
      <c r="V305" s="195"/>
      <c r="W305" s="195"/>
      <c r="X305" s="195"/>
      <c r="Y305" s="195"/>
      <c r="Z305" s="195"/>
      <c r="AA305" s="195"/>
      <c r="AB305" s="195"/>
      <c r="AC305" s="195"/>
      <c r="AD305" s="195"/>
      <c r="AE305" s="195"/>
      <c r="AR305" s="210"/>
      <c r="AT305" s="210"/>
      <c r="AU305" s="210"/>
      <c r="AY305" s="211"/>
      <c r="BE305" s="212"/>
      <c r="BF305" s="212"/>
      <c r="BG305" s="212"/>
      <c r="BH305" s="212"/>
      <c r="BI305" s="212"/>
      <c r="BJ305" s="211"/>
      <c r="BK305" s="212"/>
      <c r="BL305" s="211"/>
      <c r="BM305" s="210"/>
    </row>
    <row r="306" spans="1:65" s="209" customFormat="1" ht="12">
      <c r="A306" s="195"/>
      <c r="B306" s="196"/>
      <c r="C306" s="197"/>
      <c r="D306" s="197"/>
      <c r="E306" s="198"/>
      <c r="F306" s="215" t="s">
        <v>2983</v>
      </c>
      <c r="G306" s="216"/>
      <c r="H306" s="217">
        <f>SUM(H305:H305)</f>
        <v>10.75</v>
      </c>
      <c r="I306" s="194"/>
      <c r="J306" s="194"/>
      <c r="K306" s="202"/>
      <c r="L306" s="203"/>
      <c r="M306" s="204"/>
      <c r="N306" s="205"/>
      <c r="O306" s="206"/>
      <c r="P306" s="207"/>
      <c r="Q306" s="207"/>
      <c r="R306" s="207"/>
      <c r="S306" s="207"/>
      <c r="T306" s="208"/>
      <c r="U306" s="195"/>
      <c r="V306" s="195"/>
      <c r="W306" s="195"/>
      <c r="X306" s="195"/>
      <c r="Y306" s="195"/>
      <c r="Z306" s="195"/>
      <c r="AA306" s="195"/>
      <c r="AB306" s="195"/>
      <c r="AC306" s="195"/>
      <c r="AD306" s="195"/>
      <c r="AE306" s="195"/>
      <c r="AR306" s="210"/>
      <c r="AT306" s="210"/>
      <c r="AU306" s="210"/>
      <c r="AY306" s="211"/>
      <c r="BE306" s="212"/>
      <c r="BF306" s="212"/>
      <c r="BG306" s="212"/>
      <c r="BH306" s="212"/>
      <c r="BI306" s="212"/>
      <c r="BJ306" s="211"/>
      <c r="BK306" s="212"/>
      <c r="BL306" s="211"/>
      <c r="BM306" s="210"/>
    </row>
    <row r="307" spans="1:65" s="2" customFormat="1" ht="24.2" customHeight="1">
      <c r="A307" s="29"/>
      <c r="B307" s="152"/>
      <c r="C307" s="153" t="s">
        <v>344</v>
      </c>
      <c r="D307" s="153" t="s">
        <v>181</v>
      </c>
      <c r="E307" s="154" t="s">
        <v>345</v>
      </c>
      <c r="F307" s="155" t="s">
        <v>346</v>
      </c>
      <c r="G307" s="156" t="s">
        <v>184</v>
      </c>
      <c r="H307" s="157">
        <v>26.5</v>
      </c>
      <c r="I307" s="158"/>
      <c r="J307" s="159">
        <v>0</v>
      </c>
      <c r="K307" s="160"/>
      <c r="L307" s="30"/>
      <c r="M307" s="161" t="s">
        <v>1</v>
      </c>
      <c r="N307" s="162" t="s">
        <v>35</v>
      </c>
      <c r="O307" s="58"/>
      <c r="P307" s="163">
        <f t="shared" si="9"/>
        <v>0</v>
      </c>
      <c r="Q307" s="163">
        <v>0</v>
      </c>
      <c r="R307" s="163">
        <f t="shared" si="10"/>
        <v>0</v>
      </c>
      <c r="S307" s="163">
        <v>0</v>
      </c>
      <c r="T307" s="164">
        <f t="shared" si="11"/>
        <v>0</v>
      </c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R307" s="165" t="s">
        <v>185</v>
      </c>
      <c r="AT307" s="165" t="s">
        <v>181</v>
      </c>
      <c r="AU307" s="165" t="s">
        <v>82</v>
      </c>
      <c r="AY307" s="14" t="s">
        <v>179</v>
      </c>
      <c r="BE307" s="166">
        <f t="shared" si="12"/>
        <v>0</v>
      </c>
      <c r="BF307" s="166">
        <f t="shared" si="13"/>
        <v>0</v>
      </c>
      <c r="BG307" s="166">
        <f t="shared" si="14"/>
        <v>0</v>
      </c>
      <c r="BH307" s="166">
        <f t="shared" si="15"/>
        <v>0</v>
      </c>
      <c r="BI307" s="166">
        <f t="shared" si="16"/>
        <v>0</v>
      </c>
      <c r="BJ307" s="14" t="s">
        <v>82</v>
      </c>
      <c r="BK307" s="166">
        <f t="shared" si="17"/>
        <v>0</v>
      </c>
      <c r="BL307" s="14" t="s">
        <v>185</v>
      </c>
      <c r="BM307" s="165" t="s">
        <v>347</v>
      </c>
    </row>
    <row r="308" spans="1:65" s="209" customFormat="1" ht="12">
      <c r="A308" s="195"/>
      <c r="B308" s="196"/>
      <c r="C308" s="197"/>
      <c r="D308" s="197"/>
      <c r="E308" s="198"/>
      <c r="F308" s="213" t="s">
        <v>3025</v>
      </c>
      <c r="G308" s="200"/>
      <c r="H308" s="214">
        <v>26.5</v>
      </c>
      <c r="I308" s="194"/>
      <c r="J308" s="194"/>
      <c r="K308" s="202"/>
      <c r="L308" s="203"/>
      <c r="M308" s="204"/>
      <c r="N308" s="205"/>
      <c r="O308" s="206"/>
      <c r="P308" s="207"/>
      <c r="Q308" s="207"/>
      <c r="R308" s="207"/>
      <c r="S308" s="207"/>
      <c r="T308" s="208"/>
      <c r="U308" s="195"/>
      <c r="V308" s="195"/>
      <c r="W308" s="195"/>
      <c r="X308" s="195"/>
      <c r="Y308" s="195"/>
      <c r="Z308" s="195"/>
      <c r="AA308" s="195"/>
      <c r="AB308" s="195"/>
      <c r="AC308" s="195"/>
      <c r="AD308" s="195"/>
      <c r="AE308" s="195"/>
      <c r="AR308" s="210"/>
      <c r="AT308" s="210"/>
      <c r="AU308" s="210"/>
      <c r="AY308" s="211"/>
      <c r="BE308" s="212"/>
      <c r="BF308" s="212"/>
      <c r="BG308" s="212"/>
      <c r="BH308" s="212"/>
      <c r="BI308" s="212"/>
      <c r="BJ308" s="211"/>
      <c r="BK308" s="212"/>
      <c r="BL308" s="211"/>
      <c r="BM308" s="210"/>
    </row>
    <row r="309" spans="1:65" s="209" customFormat="1" ht="12">
      <c r="A309" s="195"/>
      <c r="B309" s="196"/>
      <c r="C309" s="197"/>
      <c r="D309" s="197"/>
      <c r="E309" s="198"/>
      <c r="F309" s="215" t="s">
        <v>2983</v>
      </c>
      <c r="G309" s="216"/>
      <c r="H309" s="217">
        <f>SUM(H308:H308)</f>
        <v>26.5</v>
      </c>
      <c r="I309" s="194"/>
      <c r="J309" s="194"/>
      <c r="K309" s="202"/>
      <c r="L309" s="203"/>
      <c r="M309" s="204"/>
      <c r="N309" s="205"/>
      <c r="O309" s="206"/>
      <c r="P309" s="207"/>
      <c r="Q309" s="207"/>
      <c r="R309" s="207"/>
      <c r="S309" s="207"/>
      <c r="T309" s="208"/>
      <c r="U309" s="195"/>
      <c r="V309" s="195"/>
      <c r="W309" s="195"/>
      <c r="X309" s="195"/>
      <c r="Y309" s="195"/>
      <c r="Z309" s="195"/>
      <c r="AA309" s="195"/>
      <c r="AB309" s="195"/>
      <c r="AC309" s="195"/>
      <c r="AD309" s="195"/>
      <c r="AE309" s="195"/>
      <c r="AR309" s="210"/>
      <c r="AT309" s="210"/>
      <c r="AU309" s="210"/>
      <c r="AY309" s="211"/>
      <c r="BE309" s="212"/>
      <c r="BF309" s="212"/>
      <c r="BG309" s="212"/>
      <c r="BH309" s="212"/>
      <c r="BI309" s="212"/>
      <c r="BJ309" s="211"/>
      <c r="BK309" s="212"/>
      <c r="BL309" s="211"/>
      <c r="BM309" s="210"/>
    </row>
    <row r="310" spans="1:65" s="2" customFormat="1" ht="24.2" customHeight="1">
      <c r="A310" s="29"/>
      <c r="B310" s="152"/>
      <c r="C310" s="153" t="s">
        <v>268</v>
      </c>
      <c r="D310" s="153" t="s">
        <v>181</v>
      </c>
      <c r="E310" s="154" t="s">
        <v>348</v>
      </c>
      <c r="F310" s="155" t="s">
        <v>349</v>
      </c>
      <c r="G310" s="156" t="s">
        <v>196</v>
      </c>
      <c r="H310" s="157">
        <v>1.1599999999999999</v>
      </c>
      <c r="I310" s="158"/>
      <c r="J310" s="159">
        <v>0</v>
      </c>
      <c r="K310" s="160"/>
      <c r="L310" s="30"/>
      <c r="M310" s="161" t="s">
        <v>1</v>
      </c>
      <c r="N310" s="162" t="s">
        <v>35</v>
      </c>
      <c r="O310" s="58"/>
      <c r="P310" s="163">
        <f t="shared" si="9"/>
        <v>0</v>
      </c>
      <c r="Q310" s="163">
        <v>0</v>
      </c>
      <c r="R310" s="163">
        <f t="shared" si="10"/>
        <v>0</v>
      </c>
      <c r="S310" s="163">
        <v>0</v>
      </c>
      <c r="T310" s="164">
        <f t="shared" si="11"/>
        <v>0</v>
      </c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R310" s="165" t="s">
        <v>185</v>
      </c>
      <c r="AT310" s="165" t="s">
        <v>181</v>
      </c>
      <c r="AU310" s="165" t="s">
        <v>82</v>
      </c>
      <c r="AY310" s="14" t="s">
        <v>179</v>
      </c>
      <c r="BE310" s="166">
        <f t="shared" si="12"/>
        <v>0</v>
      </c>
      <c r="BF310" s="166">
        <f t="shared" si="13"/>
        <v>0</v>
      </c>
      <c r="BG310" s="166">
        <f t="shared" si="14"/>
        <v>0</v>
      </c>
      <c r="BH310" s="166">
        <f t="shared" si="15"/>
        <v>0</v>
      </c>
      <c r="BI310" s="166">
        <f t="shared" si="16"/>
        <v>0</v>
      </c>
      <c r="BJ310" s="14" t="s">
        <v>82</v>
      </c>
      <c r="BK310" s="166">
        <f t="shared" si="17"/>
        <v>0</v>
      </c>
      <c r="BL310" s="14" t="s">
        <v>185</v>
      </c>
      <c r="BM310" s="165" t="s">
        <v>350</v>
      </c>
    </row>
    <row r="311" spans="1:65" s="209" customFormat="1" ht="12">
      <c r="A311" s="195"/>
      <c r="B311" s="196"/>
      <c r="C311" s="197"/>
      <c r="D311" s="197"/>
      <c r="E311" s="198"/>
      <c r="F311" s="213" t="s">
        <v>3030</v>
      </c>
      <c r="G311" s="200"/>
      <c r="H311" s="214">
        <f>ROUND(11.61*0.1,2)</f>
        <v>1.1599999999999999</v>
      </c>
      <c r="I311" s="194"/>
      <c r="J311" s="194"/>
      <c r="K311" s="202"/>
      <c r="L311" s="203"/>
      <c r="M311" s="204"/>
      <c r="N311" s="205"/>
      <c r="O311" s="206"/>
      <c r="P311" s="207"/>
      <c r="Q311" s="207"/>
      <c r="R311" s="207"/>
      <c r="S311" s="207"/>
      <c r="T311" s="208"/>
      <c r="U311" s="195"/>
      <c r="V311" s="195"/>
      <c r="W311" s="195"/>
      <c r="X311" s="195"/>
      <c r="Y311" s="195"/>
      <c r="Z311" s="195"/>
      <c r="AA311" s="195"/>
      <c r="AB311" s="195"/>
      <c r="AC311" s="195"/>
      <c r="AD311" s="195"/>
      <c r="AE311" s="195"/>
      <c r="AR311" s="210"/>
      <c r="AT311" s="210"/>
      <c r="AU311" s="210"/>
      <c r="AY311" s="211"/>
      <c r="BE311" s="212"/>
      <c r="BF311" s="212"/>
      <c r="BG311" s="212"/>
      <c r="BH311" s="212"/>
      <c r="BI311" s="212"/>
      <c r="BJ311" s="211"/>
      <c r="BK311" s="212"/>
      <c r="BL311" s="211"/>
      <c r="BM311" s="210"/>
    </row>
    <row r="312" spans="1:65" s="209" customFormat="1" ht="12">
      <c r="A312" s="195"/>
      <c r="B312" s="196"/>
      <c r="C312" s="197"/>
      <c r="D312" s="197"/>
      <c r="E312" s="198"/>
      <c r="F312" s="215" t="s">
        <v>2983</v>
      </c>
      <c r="G312" s="216"/>
      <c r="H312" s="217">
        <f>SUM(H311:H311)</f>
        <v>1.1599999999999999</v>
      </c>
      <c r="I312" s="194"/>
      <c r="J312" s="194"/>
      <c r="K312" s="202"/>
      <c r="L312" s="203"/>
      <c r="M312" s="204"/>
      <c r="N312" s="205"/>
      <c r="O312" s="206"/>
      <c r="P312" s="207"/>
      <c r="Q312" s="207"/>
      <c r="R312" s="207"/>
      <c r="S312" s="207"/>
      <c r="T312" s="208"/>
      <c r="U312" s="195"/>
      <c r="V312" s="195"/>
      <c r="W312" s="195"/>
      <c r="X312" s="195"/>
      <c r="Y312" s="195"/>
      <c r="Z312" s="195"/>
      <c r="AA312" s="195"/>
      <c r="AB312" s="195"/>
      <c r="AC312" s="195"/>
      <c r="AD312" s="195"/>
      <c r="AE312" s="195"/>
      <c r="AR312" s="210"/>
      <c r="AT312" s="210"/>
      <c r="AU312" s="210"/>
      <c r="AY312" s="211"/>
      <c r="BE312" s="212"/>
      <c r="BF312" s="212"/>
      <c r="BG312" s="212"/>
      <c r="BH312" s="212"/>
      <c r="BI312" s="212"/>
      <c r="BJ312" s="211"/>
      <c r="BK312" s="212"/>
      <c r="BL312" s="211"/>
      <c r="BM312" s="210"/>
    </row>
    <row r="313" spans="1:65" s="2" customFormat="1" ht="24.2" customHeight="1">
      <c r="A313" s="29"/>
      <c r="B313" s="152"/>
      <c r="C313" s="153" t="s">
        <v>351</v>
      </c>
      <c r="D313" s="153" t="s">
        <v>181</v>
      </c>
      <c r="E313" s="154" t="s">
        <v>352</v>
      </c>
      <c r="F313" s="155" t="s">
        <v>353</v>
      </c>
      <c r="G313" s="156" t="s">
        <v>196</v>
      </c>
      <c r="H313" s="157">
        <v>53.9</v>
      </c>
      <c r="I313" s="158"/>
      <c r="J313" s="159">
        <v>0</v>
      </c>
      <c r="K313" s="160"/>
      <c r="L313" s="30"/>
      <c r="M313" s="161" t="s">
        <v>1</v>
      </c>
      <c r="N313" s="162" t="s">
        <v>35</v>
      </c>
      <c r="O313" s="58"/>
      <c r="P313" s="163">
        <f t="shared" si="9"/>
        <v>0</v>
      </c>
      <c r="Q313" s="163">
        <v>0</v>
      </c>
      <c r="R313" s="163">
        <f t="shared" si="10"/>
        <v>0</v>
      </c>
      <c r="S313" s="163">
        <v>0</v>
      </c>
      <c r="T313" s="164">
        <f t="shared" si="11"/>
        <v>0</v>
      </c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R313" s="165" t="s">
        <v>185</v>
      </c>
      <c r="AT313" s="165" t="s">
        <v>181</v>
      </c>
      <c r="AU313" s="165" t="s">
        <v>82</v>
      </c>
      <c r="AY313" s="14" t="s">
        <v>179</v>
      </c>
      <c r="BE313" s="166">
        <f t="shared" si="12"/>
        <v>0</v>
      </c>
      <c r="BF313" s="166">
        <f t="shared" si="13"/>
        <v>0</v>
      </c>
      <c r="BG313" s="166">
        <f t="shared" si="14"/>
        <v>0</v>
      </c>
      <c r="BH313" s="166">
        <f t="shared" si="15"/>
        <v>0</v>
      </c>
      <c r="BI313" s="166">
        <f t="shared" si="16"/>
        <v>0</v>
      </c>
      <c r="BJ313" s="14" t="s">
        <v>82</v>
      </c>
      <c r="BK313" s="166">
        <f t="shared" si="17"/>
        <v>0</v>
      </c>
      <c r="BL313" s="14" t="s">
        <v>185</v>
      </c>
      <c r="BM313" s="165" t="s">
        <v>354</v>
      </c>
    </row>
    <row r="314" spans="1:65" s="209" customFormat="1" ht="12">
      <c r="A314" s="195"/>
      <c r="B314" s="196"/>
      <c r="C314" s="197"/>
      <c r="D314" s="197"/>
      <c r="E314" s="198"/>
      <c r="F314" s="213" t="s">
        <v>3031</v>
      </c>
      <c r="G314" s="200"/>
      <c r="H314" s="214">
        <f>ROUND(244*0.2,2)</f>
        <v>48.8</v>
      </c>
      <c r="I314" s="194"/>
      <c r="J314" s="194"/>
      <c r="K314" s="202"/>
      <c r="L314" s="203"/>
      <c r="M314" s="204"/>
      <c r="N314" s="205"/>
      <c r="O314" s="206"/>
      <c r="P314" s="207"/>
      <c r="Q314" s="207"/>
      <c r="R314" s="207"/>
      <c r="S314" s="207"/>
      <c r="T314" s="208"/>
      <c r="U314" s="195"/>
      <c r="V314" s="195"/>
      <c r="W314" s="195"/>
      <c r="X314" s="195"/>
      <c r="Y314" s="195"/>
      <c r="Z314" s="195"/>
      <c r="AA314" s="195"/>
      <c r="AB314" s="195"/>
      <c r="AC314" s="195"/>
      <c r="AD314" s="195"/>
      <c r="AE314" s="195"/>
      <c r="AR314" s="210"/>
      <c r="AT314" s="210"/>
      <c r="AU314" s="210"/>
      <c r="AY314" s="211"/>
      <c r="BE314" s="212"/>
      <c r="BF314" s="212"/>
      <c r="BG314" s="212"/>
      <c r="BH314" s="212"/>
      <c r="BI314" s="212"/>
      <c r="BJ314" s="211"/>
      <c r="BK314" s="212"/>
      <c r="BL314" s="211"/>
      <c r="BM314" s="210"/>
    </row>
    <row r="315" spans="1:65" s="209" customFormat="1" ht="12">
      <c r="A315" s="195"/>
      <c r="B315" s="196"/>
      <c r="C315" s="197"/>
      <c r="D315" s="197"/>
      <c r="E315" s="198"/>
      <c r="F315" s="213" t="s">
        <v>3032</v>
      </c>
      <c r="G315" s="200"/>
      <c r="H315" s="214">
        <f>ROUND(20.02*0.15,2)</f>
        <v>3</v>
      </c>
      <c r="I315" s="194"/>
      <c r="J315" s="194"/>
      <c r="K315" s="202"/>
      <c r="L315" s="203"/>
      <c r="M315" s="204"/>
      <c r="N315" s="205"/>
      <c r="O315" s="206"/>
      <c r="P315" s="207"/>
      <c r="Q315" s="207"/>
      <c r="R315" s="207"/>
      <c r="S315" s="207"/>
      <c r="T315" s="208"/>
      <c r="U315" s="195"/>
      <c r="V315" s="195"/>
      <c r="W315" s="195"/>
      <c r="X315" s="195"/>
      <c r="Y315" s="195"/>
      <c r="Z315" s="195"/>
      <c r="AA315" s="195"/>
      <c r="AB315" s="195"/>
      <c r="AC315" s="195"/>
      <c r="AD315" s="195"/>
      <c r="AE315" s="195"/>
      <c r="AR315" s="210"/>
      <c r="AT315" s="210"/>
      <c r="AU315" s="210"/>
      <c r="AY315" s="211"/>
      <c r="BE315" s="212"/>
      <c r="BF315" s="212"/>
      <c r="BG315" s="212"/>
      <c r="BH315" s="212"/>
      <c r="BI315" s="212"/>
      <c r="BJ315" s="211"/>
      <c r="BK315" s="212"/>
      <c r="BL315" s="211"/>
      <c r="BM315" s="210"/>
    </row>
    <row r="316" spans="1:65" s="209" customFormat="1" ht="12">
      <c r="A316" s="195"/>
      <c r="B316" s="196"/>
      <c r="C316" s="197"/>
      <c r="D316" s="197"/>
      <c r="E316" s="198"/>
      <c r="F316" s="213" t="s">
        <v>3033</v>
      </c>
      <c r="G316" s="200"/>
      <c r="H316" s="214">
        <f>ROUND(10.9*0.19,1)</f>
        <v>2.1</v>
      </c>
      <c r="I316" s="194"/>
      <c r="J316" s="194"/>
      <c r="K316" s="202"/>
      <c r="L316" s="203"/>
      <c r="M316" s="204"/>
      <c r="N316" s="205"/>
      <c r="O316" s="206"/>
      <c r="P316" s="207"/>
      <c r="Q316" s="207"/>
      <c r="R316" s="207"/>
      <c r="S316" s="207"/>
      <c r="T316" s="208"/>
      <c r="U316" s="195"/>
      <c r="V316" s="195"/>
      <c r="W316" s="195"/>
      <c r="X316" s="195"/>
      <c r="Y316" s="195"/>
      <c r="Z316" s="195"/>
      <c r="AA316" s="195"/>
      <c r="AB316" s="195"/>
      <c r="AC316" s="195"/>
      <c r="AD316" s="195"/>
      <c r="AE316" s="195"/>
      <c r="AR316" s="210"/>
      <c r="AT316" s="210"/>
      <c r="AU316" s="210"/>
      <c r="AY316" s="211"/>
      <c r="BE316" s="212"/>
      <c r="BF316" s="212"/>
      <c r="BG316" s="212"/>
      <c r="BH316" s="212"/>
      <c r="BI316" s="212"/>
      <c r="BJ316" s="211"/>
      <c r="BK316" s="212"/>
      <c r="BL316" s="211"/>
      <c r="BM316" s="210"/>
    </row>
    <row r="317" spans="1:65" s="209" customFormat="1" ht="12">
      <c r="A317" s="195"/>
      <c r="B317" s="196"/>
      <c r="C317" s="197"/>
      <c r="D317" s="197"/>
      <c r="E317" s="198"/>
      <c r="F317" s="215" t="s">
        <v>2983</v>
      </c>
      <c r="G317" s="216"/>
      <c r="H317" s="217">
        <f>SUM(H314:H316)</f>
        <v>53.9</v>
      </c>
      <c r="I317" s="194"/>
      <c r="J317" s="194"/>
      <c r="K317" s="202"/>
      <c r="L317" s="203"/>
      <c r="M317" s="204"/>
      <c r="N317" s="205"/>
      <c r="O317" s="206"/>
      <c r="P317" s="207"/>
      <c r="Q317" s="207"/>
      <c r="R317" s="207"/>
      <c r="S317" s="207"/>
      <c r="T317" s="208"/>
      <c r="U317" s="195"/>
      <c r="V317" s="195"/>
      <c r="W317" s="195"/>
      <c r="X317" s="195"/>
      <c r="Y317" s="195"/>
      <c r="Z317" s="195"/>
      <c r="AA317" s="195"/>
      <c r="AB317" s="195"/>
      <c r="AC317" s="195"/>
      <c r="AD317" s="195"/>
      <c r="AE317" s="195"/>
      <c r="AR317" s="210"/>
      <c r="AT317" s="210"/>
      <c r="AU317" s="210"/>
      <c r="AY317" s="211"/>
      <c r="BE317" s="212"/>
      <c r="BF317" s="212"/>
      <c r="BG317" s="212"/>
      <c r="BH317" s="212"/>
      <c r="BI317" s="212"/>
      <c r="BJ317" s="211"/>
      <c r="BK317" s="212"/>
      <c r="BL317" s="211"/>
      <c r="BM317" s="210"/>
    </row>
    <row r="318" spans="1:65" s="2" customFormat="1" ht="24.2" customHeight="1">
      <c r="A318" s="29"/>
      <c r="B318" s="152"/>
      <c r="C318" s="167" t="s">
        <v>271</v>
      </c>
      <c r="D318" s="167" t="s">
        <v>202</v>
      </c>
      <c r="E318" s="168" t="s">
        <v>355</v>
      </c>
      <c r="F318" s="169" t="s">
        <v>356</v>
      </c>
      <c r="G318" s="170" t="s">
        <v>196</v>
      </c>
      <c r="H318" s="171">
        <f>H310+H313</f>
        <v>55.059999999999995</v>
      </c>
      <c r="I318" s="172"/>
      <c r="J318" s="173">
        <v>0</v>
      </c>
      <c r="K318" s="174"/>
      <c r="L318" s="175"/>
      <c r="M318" s="176" t="s">
        <v>1</v>
      </c>
      <c r="N318" s="177" t="s">
        <v>35</v>
      </c>
      <c r="O318" s="58"/>
      <c r="P318" s="163">
        <f t="shared" si="9"/>
        <v>0</v>
      </c>
      <c r="Q318" s="163">
        <v>0</v>
      </c>
      <c r="R318" s="163">
        <f t="shared" si="10"/>
        <v>0</v>
      </c>
      <c r="S318" s="163">
        <v>0</v>
      </c>
      <c r="T318" s="164">
        <f t="shared" si="11"/>
        <v>0</v>
      </c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R318" s="165" t="s">
        <v>197</v>
      </c>
      <c r="AT318" s="165" t="s">
        <v>202</v>
      </c>
      <c r="AU318" s="165" t="s">
        <v>82</v>
      </c>
      <c r="AY318" s="14" t="s">
        <v>179</v>
      </c>
      <c r="BE318" s="166">
        <f t="shared" si="12"/>
        <v>0</v>
      </c>
      <c r="BF318" s="166">
        <f t="shared" si="13"/>
        <v>0</v>
      </c>
      <c r="BG318" s="166">
        <f t="shared" si="14"/>
        <v>0</v>
      </c>
      <c r="BH318" s="166">
        <f t="shared" si="15"/>
        <v>0</v>
      </c>
      <c r="BI318" s="166">
        <f t="shared" si="16"/>
        <v>0</v>
      </c>
      <c r="BJ318" s="14" t="s">
        <v>82</v>
      </c>
      <c r="BK318" s="166">
        <f t="shared" si="17"/>
        <v>0</v>
      </c>
      <c r="BL318" s="14" t="s">
        <v>185</v>
      </c>
      <c r="BM318" s="165" t="s">
        <v>357</v>
      </c>
    </row>
    <row r="319" spans="1:65" s="2" customFormat="1" ht="37.9" customHeight="1">
      <c r="A319" s="29"/>
      <c r="B319" s="152"/>
      <c r="C319" s="153" t="s">
        <v>358</v>
      </c>
      <c r="D319" s="153" t="s">
        <v>181</v>
      </c>
      <c r="E319" s="154" t="s">
        <v>359</v>
      </c>
      <c r="F319" s="155" t="s">
        <v>360</v>
      </c>
      <c r="G319" s="156" t="s">
        <v>184</v>
      </c>
      <c r="H319" s="157">
        <v>286.60000000000002</v>
      </c>
      <c r="I319" s="158"/>
      <c r="J319" s="159">
        <v>0</v>
      </c>
      <c r="K319" s="160"/>
      <c r="L319" s="30"/>
      <c r="M319" s="161" t="s">
        <v>1</v>
      </c>
      <c r="N319" s="162" t="s">
        <v>35</v>
      </c>
      <c r="O319" s="58"/>
      <c r="P319" s="163">
        <f t="shared" si="9"/>
        <v>0</v>
      </c>
      <c r="Q319" s="163">
        <v>8.7786099999999992E-3</v>
      </c>
      <c r="R319" s="163">
        <f t="shared" si="10"/>
        <v>2.5159496259999998</v>
      </c>
      <c r="S319" s="163">
        <v>0</v>
      </c>
      <c r="T319" s="164">
        <f t="shared" si="11"/>
        <v>0</v>
      </c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R319" s="165" t="s">
        <v>185</v>
      </c>
      <c r="AT319" s="165" t="s">
        <v>181</v>
      </c>
      <c r="AU319" s="165" t="s">
        <v>82</v>
      </c>
      <c r="AY319" s="14" t="s">
        <v>179</v>
      </c>
      <c r="BE319" s="166">
        <f t="shared" si="12"/>
        <v>0</v>
      </c>
      <c r="BF319" s="166">
        <f t="shared" si="13"/>
        <v>0</v>
      </c>
      <c r="BG319" s="166">
        <f t="shared" si="14"/>
        <v>0</v>
      </c>
      <c r="BH319" s="166">
        <f t="shared" si="15"/>
        <v>0</v>
      </c>
      <c r="BI319" s="166">
        <f t="shared" si="16"/>
        <v>0</v>
      </c>
      <c r="BJ319" s="14" t="s">
        <v>82</v>
      </c>
      <c r="BK319" s="166">
        <f t="shared" si="17"/>
        <v>0</v>
      </c>
      <c r="BL319" s="14" t="s">
        <v>185</v>
      </c>
      <c r="BM319" s="165" t="s">
        <v>361</v>
      </c>
    </row>
    <row r="320" spans="1:65" s="209" customFormat="1" ht="12">
      <c r="A320" s="195"/>
      <c r="B320" s="196"/>
      <c r="C320" s="197"/>
      <c r="D320" s="197"/>
      <c r="E320" s="198"/>
      <c r="F320" s="213" t="s">
        <v>3031</v>
      </c>
      <c r="G320" s="200"/>
      <c r="H320" s="214">
        <v>244</v>
      </c>
      <c r="I320" s="194"/>
      <c r="J320" s="194"/>
      <c r="K320" s="202"/>
      <c r="L320" s="203"/>
      <c r="M320" s="204"/>
      <c r="N320" s="205"/>
      <c r="O320" s="206"/>
      <c r="P320" s="207"/>
      <c r="Q320" s="207"/>
      <c r="R320" s="207"/>
      <c r="S320" s="207"/>
      <c r="T320" s="208"/>
      <c r="U320" s="195"/>
      <c r="V320" s="195"/>
      <c r="W320" s="195"/>
      <c r="X320" s="195"/>
      <c r="Y320" s="195"/>
      <c r="Z320" s="195"/>
      <c r="AA320" s="195"/>
      <c r="AB320" s="195"/>
      <c r="AC320" s="195"/>
      <c r="AD320" s="195"/>
      <c r="AE320" s="195"/>
      <c r="AR320" s="210"/>
      <c r="AT320" s="210"/>
      <c r="AU320" s="210"/>
      <c r="AY320" s="211"/>
      <c r="BE320" s="212"/>
      <c r="BF320" s="212"/>
      <c r="BG320" s="212"/>
      <c r="BH320" s="212"/>
      <c r="BI320" s="212"/>
      <c r="BJ320" s="211"/>
      <c r="BK320" s="212"/>
      <c r="BL320" s="211"/>
      <c r="BM320" s="210"/>
    </row>
    <row r="321" spans="1:65" s="209" customFormat="1" ht="12">
      <c r="A321" s="195"/>
      <c r="B321" s="196"/>
      <c r="C321" s="197"/>
      <c r="D321" s="197"/>
      <c r="E321" s="198"/>
      <c r="F321" s="213" t="s">
        <v>3034</v>
      </c>
      <c r="G321" s="200"/>
      <c r="H321" s="214">
        <v>31.7</v>
      </c>
      <c r="I321" s="194"/>
      <c r="J321" s="194"/>
      <c r="K321" s="202"/>
      <c r="L321" s="203"/>
      <c r="M321" s="204"/>
      <c r="N321" s="205"/>
      <c r="O321" s="206"/>
      <c r="P321" s="207"/>
      <c r="Q321" s="207"/>
      <c r="R321" s="207"/>
      <c r="S321" s="207"/>
      <c r="T321" s="208"/>
      <c r="U321" s="195"/>
      <c r="V321" s="195"/>
      <c r="W321" s="195"/>
      <c r="X321" s="195"/>
      <c r="Y321" s="195"/>
      <c r="Z321" s="195"/>
      <c r="AA321" s="195"/>
      <c r="AB321" s="195"/>
      <c r="AC321" s="195"/>
      <c r="AD321" s="195"/>
      <c r="AE321" s="195"/>
      <c r="AR321" s="210"/>
      <c r="AT321" s="210"/>
      <c r="AU321" s="210"/>
      <c r="AY321" s="211"/>
      <c r="BE321" s="212"/>
      <c r="BF321" s="212"/>
      <c r="BG321" s="212"/>
      <c r="BH321" s="212"/>
      <c r="BI321" s="212"/>
      <c r="BJ321" s="211"/>
      <c r="BK321" s="212"/>
      <c r="BL321" s="211"/>
      <c r="BM321" s="210"/>
    </row>
    <row r="322" spans="1:65" s="209" customFormat="1" ht="12">
      <c r="A322" s="195"/>
      <c r="B322" s="196"/>
      <c r="C322" s="197"/>
      <c r="D322" s="197"/>
      <c r="E322" s="198"/>
      <c r="F322" s="213" t="s">
        <v>3035</v>
      </c>
      <c r="G322" s="200"/>
      <c r="H322" s="214">
        <v>10.9</v>
      </c>
      <c r="I322" s="194"/>
      <c r="J322" s="194"/>
      <c r="K322" s="202"/>
      <c r="L322" s="203"/>
      <c r="M322" s="204"/>
      <c r="N322" s="205"/>
      <c r="O322" s="206"/>
      <c r="P322" s="207"/>
      <c r="Q322" s="207"/>
      <c r="R322" s="207"/>
      <c r="S322" s="207"/>
      <c r="T322" s="208"/>
      <c r="U322" s="195"/>
      <c r="V322" s="195"/>
      <c r="W322" s="195"/>
      <c r="X322" s="195"/>
      <c r="Y322" s="195"/>
      <c r="Z322" s="195"/>
      <c r="AA322" s="195"/>
      <c r="AB322" s="195"/>
      <c r="AC322" s="195"/>
      <c r="AD322" s="195"/>
      <c r="AE322" s="195"/>
      <c r="AR322" s="210"/>
      <c r="AT322" s="210"/>
      <c r="AU322" s="210"/>
      <c r="AY322" s="211"/>
      <c r="BE322" s="212"/>
      <c r="BF322" s="212"/>
      <c r="BG322" s="212"/>
      <c r="BH322" s="212"/>
      <c r="BI322" s="212"/>
      <c r="BJ322" s="211"/>
      <c r="BK322" s="212"/>
      <c r="BL322" s="211"/>
      <c r="BM322" s="210"/>
    </row>
    <row r="323" spans="1:65" s="209" customFormat="1" ht="12">
      <c r="A323" s="195"/>
      <c r="B323" s="196"/>
      <c r="C323" s="197"/>
      <c r="D323" s="197"/>
      <c r="E323" s="198"/>
      <c r="F323" s="215" t="s">
        <v>2983</v>
      </c>
      <c r="G323" s="216"/>
      <c r="H323" s="217">
        <f>SUM(H320:H322)</f>
        <v>286.59999999999997</v>
      </c>
      <c r="I323" s="194"/>
      <c r="J323" s="194"/>
      <c r="K323" s="202"/>
      <c r="L323" s="203"/>
      <c r="M323" s="204"/>
      <c r="N323" s="205"/>
      <c r="O323" s="206"/>
      <c r="P323" s="207"/>
      <c r="Q323" s="207"/>
      <c r="R323" s="207"/>
      <c r="S323" s="207"/>
      <c r="T323" s="208"/>
      <c r="U323" s="195"/>
      <c r="V323" s="195"/>
      <c r="W323" s="195"/>
      <c r="X323" s="195"/>
      <c r="Y323" s="195"/>
      <c r="Z323" s="195"/>
      <c r="AA323" s="195"/>
      <c r="AB323" s="195"/>
      <c r="AC323" s="195"/>
      <c r="AD323" s="195"/>
      <c r="AE323" s="195"/>
      <c r="AR323" s="210"/>
      <c r="AT323" s="210"/>
      <c r="AU323" s="210"/>
      <c r="AY323" s="211"/>
      <c r="BE323" s="212"/>
      <c r="BF323" s="212"/>
      <c r="BG323" s="212"/>
      <c r="BH323" s="212"/>
      <c r="BI323" s="212"/>
      <c r="BJ323" s="211"/>
      <c r="BK323" s="212"/>
      <c r="BL323" s="211"/>
      <c r="BM323" s="210"/>
    </row>
    <row r="324" spans="1:65" s="2" customFormat="1" ht="37.9" customHeight="1">
      <c r="A324" s="29"/>
      <c r="B324" s="152"/>
      <c r="C324" s="153" t="s">
        <v>275</v>
      </c>
      <c r="D324" s="153" t="s">
        <v>181</v>
      </c>
      <c r="E324" s="154" t="s">
        <v>362</v>
      </c>
      <c r="F324" s="155" t="s">
        <v>363</v>
      </c>
      <c r="G324" s="156" t="s">
        <v>184</v>
      </c>
      <c r="H324" s="157">
        <v>648.1</v>
      </c>
      <c r="I324" s="158"/>
      <c r="J324" s="159">
        <v>0</v>
      </c>
      <c r="K324" s="160"/>
      <c r="L324" s="30"/>
      <c r="M324" s="161" t="s">
        <v>1</v>
      </c>
      <c r="N324" s="162" t="s">
        <v>35</v>
      </c>
      <c r="O324" s="58"/>
      <c r="P324" s="163">
        <f t="shared" si="9"/>
        <v>0</v>
      </c>
      <c r="Q324" s="163">
        <v>1.6563999999999999E-2</v>
      </c>
      <c r="R324" s="163">
        <f t="shared" si="10"/>
        <v>10.735128399999999</v>
      </c>
      <c r="S324" s="163">
        <v>0</v>
      </c>
      <c r="T324" s="164">
        <f t="shared" si="11"/>
        <v>0</v>
      </c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R324" s="165" t="s">
        <v>185</v>
      </c>
      <c r="AT324" s="165" t="s">
        <v>181</v>
      </c>
      <c r="AU324" s="165" t="s">
        <v>82</v>
      </c>
      <c r="AY324" s="14" t="s">
        <v>179</v>
      </c>
      <c r="BE324" s="166">
        <f t="shared" si="12"/>
        <v>0</v>
      </c>
      <c r="BF324" s="166">
        <f t="shared" si="13"/>
        <v>0</v>
      </c>
      <c r="BG324" s="166">
        <f t="shared" si="14"/>
        <v>0</v>
      </c>
      <c r="BH324" s="166">
        <f t="shared" si="15"/>
        <v>0</v>
      </c>
      <c r="BI324" s="166">
        <f t="shared" si="16"/>
        <v>0</v>
      </c>
      <c r="BJ324" s="14" t="s">
        <v>82</v>
      </c>
      <c r="BK324" s="166">
        <f t="shared" si="17"/>
        <v>0</v>
      </c>
      <c r="BL324" s="14" t="s">
        <v>185</v>
      </c>
      <c r="BM324" s="165" t="s">
        <v>364</v>
      </c>
    </row>
    <row r="325" spans="1:65" s="209" customFormat="1" ht="12">
      <c r="A325" s="195"/>
      <c r="B325" s="196"/>
      <c r="C325" s="197"/>
      <c r="D325" s="197"/>
      <c r="E325" s="198"/>
      <c r="F325" s="213" t="s">
        <v>3036</v>
      </c>
      <c r="G325" s="200"/>
      <c r="H325" s="214">
        <v>637.20000000000005</v>
      </c>
      <c r="I325" s="194"/>
      <c r="J325" s="194"/>
      <c r="K325" s="202"/>
      <c r="L325" s="203"/>
      <c r="M325" s="204"/>
      <c r="N325" s="205"/>
      <c r="O325" s="206"/>
      <c r="P325" s="207"/>
      <c r="Q325" s="207"/>
      <c r="R325" s="207"/>
      <c r="S325" s="207"/>
      <c r="T325" s="208"/>
      <c r="U325" s="195"/>
      <c r="V325" s="195"/>
      <c r="W325" s="195"/>
      <c r="X325" s="195"/>
      <c r="Y325" s="195"/>
      <c r="Z325" s="195"/>
      <c r="AA325" s="195"/>
      <c r="AB325" s="195"/>
      <c r="AC325" s="195"/>
      <c r="AD325" s="195"/>
      <c r="AE325" s="195"/>
      <c r="AR325" s="210"/>
      <c r="AT325" s="210"/>
      <c r="AU325" s="210"/>
      <c r="AY325" s="211"/>
      <c r="BE325" s="212"/>
      <c r="BF325" s="212"/>
      <c r="BG325" s="212"/>
      <c r="BH325" s="212"/>
      <c r="BI325" s="212"/>
      <c r="BJ325" s="211"/>
      <c r="BK325" s="212"/>
      <c r="BL325" s="211"/>
      <c r="BM325" s="210"/>
    </row>
    <row r="326" spans="1:65" s="209" customFormat="1" ht="12">
      <c r="A326" s="195"/>
      <c r="B326" s="196"/>
      <c r="C326" s="197"/>
      <c r="D326" s="197"/>
      <c r="E326" s="198"/>
      <c r="F326" s="213" t="s">
        <v>3035</v>
      </c>
      <c r="G326" s="200"/>
      <c r="H326" s="214">
        <v>10.9</v>
      </c>
      <c r="I326" s="194"/>
      <c r="J326" s="194"/>
      <c r="K326" s="202"/>
      <c r="L326" s="203"/>
      <c r="M326" s="204"/>
      <c r="N326" s="205"/>
      <c r="O326" s="206"/>
      <c r="P326" s="207"/>
      <c r="Q326" s="207"/>
      <c r="R326" s="207"/>
      <c r="S326" s="207"/>
      <c r="T326" s="208"/>
      <c r="U326" s="195"/>
      <c r="V326" s="195"/>
      <c r="W326" s="195"/>
      <c r="X326" s="195"/>
      <c r="Y326" s="195"/>
      <c r="Z326" s="195"/>
      <c r="AA326" s="195"/>
      <c r="AB326" s="195"/>
      <c r="AC326" s="195"/>
      <c r="AD326" s="195"/>
      <c r="AE326" s="195"/>
      <c r="AR326" s="210"/>
      <c r="AT326" s="210"/>
      <c r="AU326" s="210"/>
      <c r="AY326" s="211"/>
      <c r="BE326" s="212"/>
      <c r="BF326" s="212"/>
      <c r="BG326" s="212"/>
      <c r="BH326" s="212"/>
      <c r="BI326" s="212"/>
      <c r="BJ326" s="211"/>
      <c r="BK326" s="212"/>
      <c r="BL326" s="211"/>
      <c r="BM326" s="210"/>
    </row>
    <row r="327" spans="1:65" s="209" customFormat="1" ht="12">
      <c r="A327" s="195"/>
      <c r="B327" s="196"/>
      <c r="C327" s="197"/>
      <c r="D327" s="197"/>
      <c r="E327" s="198"/>
      <c r="F327" s="215" t="s">
        <v>2983</v>
      </c>
      <c r="G327" s="216"/>
      <c r="H327" s="217">
        <f>SUM(H325:H326)</f>
        <v>648.1</v>
      </c>
      <c r="I327" s="194"/>
      <c r="J327" s="194"/>
      <c r="K327" s="202"/>
      <c r="L327" s="203"/>
      <c r="M327" s="204"/>
      <c r="N327" s="205"/>
      <c r="O327" s="206"/>
      <c r="P327" s="207"/>
      <c r="Q327" s="207"/>
      <c r="R327" s="207"/>
      <c r="S327" s="207"/>
      <c r="T327" s="208"/>
      <c r="U327" s="195"/>
      <c r="V327" s="195"/>
      <c r="W327" s="195"/>
      <c r="X327" s="195"/>
      <c r="Y327" s="195"/>
      <c r="Z327" s="195"/>
      <c r="AA327" s="195"/>
      <c r="AB327" s="195"/>
      <c r="AC327" s="195"/>
      <c r="AD327" s="195"/>
      <c r="AE327" s="195"/>
      <c r="AR327" s="210"/>
      <c r="AT327" s="210"/>
      <c r="AU327" s="210"/>
      <c r="AY327" s="211"/>
      <c r="BE327" s="212"/>
      <c r="BF327" s="212"/>
      <c r="BG327" s="212"/>
      <c r="BH327" s="212"/>
      <c r="BI327" s="212"/>
      <c r="BJ327" s="211"/>
      <c r="BK327" s="212"/>
      <c r="BL327" s="211"/>
      <c r="BM327" s="210"/>
    </row>
    <row r="328" spans="1:65" s="2" customFormat="1" ht="24.2" customHeight="1">
      <c r="A328" s="29"/>
      <c r="B328" s="152"/>
      <c r="C328" s="153" t="s">
        <v>365</v>
      </c>
      <c r="D328" s="153" t="s">
        <v>181</v>
      </c>
      <c r="E328" s="154" t="s">
        <v>366</v>
      </c>
      <c r="F328" s="155" t="s">
        <v>367</v>
      </c>
      <c r="G328" s="156" t="s">
        <v>184</v>
      </c>
      <c r="H328" s="157">
        <v>648.1</v>
      </c>
      <c r="I328" s="158"/>
      <c r="J328" s="159">
        <v>0</v>
      </c>
      <c r="K328" s="160"/>
      <c r="L328" s="30"/>
      <c r="M328" s="161" t="s">
        <v>1</v>
      </c>
      <c r="N328" s="162" t="s">
        <v>35</v>
      </c>
      <c r="O328" s="58"/>
      <c r="P328" s="163">
        <f t="shared" si="9"/>
        <v>0</v>
      </c>
      <c r="Q328" s="163">
        <v>0</v>
      </c>
      <c r="R328" s="163">
        <f t="shared" si="10"/>
        <v>0</v>
      </c>
      <c r="S328" s="163">
        <v>0</v>
      </c>
      <c r="T328" s="164">
        <f t="shared" si="11"/>
        <v>0</v>
      </c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R328" s="165" t="s">
        <v>185</v>
      </c>
      <c r="AT328" s="165" t="s">
        <v>181</v>
      </c>
      <c r="AU328" s="165" t="s">
        <v>82</v>
      </c>
      <c r="AY328" s="14" t="s">
        <v>179</v>
      </c>
      <c r="BE328" s="166">
        <f t="shared" si="12"/>
        <v>0</v>
      </c>
      <c r="BF328" s="166">
        <f t="shared" si="13"/>
        <v>0</v>
      </c>
      <c r="BG328" s="166">
        <f t="shared" si="14"/>
        <v>0</v>
      </c>
      <c r="BH328" s="166">
        <f t="shared" si="15"/>
        <v>0</v>
      </c>
      <c r="BI328" s="166">
        <f t="shared" si="16"/>
        <v>0</v>
      </c>
      <c r="BJ328" s="14" t="s">
        <v>82</v>
      </c>
      <c r="BK328" s="166">
        <f t="shared" si="17"/>
        <v>0</v>
      </c>
      <c r="BL328" s="14" t="s">
        <v>185</v>
      </c>
      <c r="BM328" s="165" t="s">
        <v>368</v>
      </c>
    </row>
    <row r="329" spans="1:65" s="209" customFormat="1" ht="12">
      <c r="A329" s="195"/>
      <c r="B329" s="196"/>
      <c r="C329" s="197"/>
      <c r="D329" s="197"/>
      <c r="E329" s="198"/>
      <c r="F329" s="184" t="s">
        <v>3036</v>
      </c>
      <c r="G329" s="185"/>
      <c r="H329" s="186">
        <v>637.20000000000005</v>
      </c>
      <c r="I329" s="194"/>
      <c r="J329" s="194"/>
      <c r="K329" s="202"/>
      <c r="L329" s="203"/>
      <c r="M329" s="204"/>
      <c r="N329" s="205"/>
      <c r="O329" s="206"/>
      <c r="P329" s="207"/>
      <c r="Q329" s="207"/>
      <c r="R329" s="207"/>
      <c r="S329" s="207"/>
      <c r="T329" s="208"/>
      <c r="U329" s="195"/>
      <c r="V329" s="195"/>
      <c r="W329" s="195"/>
      <c r="X329" s="195"/>
      <c r="Y329" s="195"/>
      <c r="Z329" s="195"/>
      <c r="AA329" s="195"/>
      <c r="AB329" s="195"/>
      <c r="AC329" s="195"/>
      <c r="AD329" s="195"/>
      <c r="AE329" s="195"/>
      <c r="AR329" s="210"/>
      <c r="AT329" s="210"/>
      <c r="AU329" s="210"/>
      <c r="AY329" s="211"/>
      <c r="BE329" s="212"/>
      <c r="BF329" s="212"/>
      <c r="BG329" s="212"/>
      <c r="BH329" s="212"/>
      <c r="BI329" s="212"/>
      <c r="BJ329" s="211"/>
      <c r="BK329" s="212"/>
      <c r="BL329" s="211"/>
      <c r="BM329" s="210"/>
    </row>
    <row r="330" spans="1:65" s="209" customFormat="1" ht="12">
      <c r="A330" s="195"/>
      <c r="B330" s="196"/>
      <c r="C330" s="197"/>
      <c r="D330" s="197"/>
      <c r="E330" s="198"/>
      <c r="F330" s="184" t="s">
        <v>3035</v>
      </c>
      <c r="G330" s="185"/>
      <c r="H330" s="186">
        <v>10.9</v>
      </c>
      <c r="I330" s="194"/>
      <c r="J330" s="194"/>
      <c r="K330" s="202"/>
      <c r="L330" s="203"/>
      <c r="M330" s="204"/>
      <c r="N330" s="205"/>
      <c r="O330" s="206"/>
      <c r="P330" s="207"/>
      <c r="Q330" s="207"/>
      <c r="R330" s="207"/>
      <c r="S330" s="207"/>
      <c r="T330" s="208"/>
      <c r="U330" s="195"/>
      <c r="V330" s="195"/>
      <c r="W330" s="195"/>
      <c r="X330" s="195"/>
      <c r="Y330" s="195"/>
      <c r="Z330" s="195"/>
      <c r="AA330" s="195"/>
      <c r="AB330" s="195"/>
      <c r="AC330" s="195"/>
      <c r="AD330" s="195"/>
      <c r="AE330" s="195"/>
      <c r="AR330" s="210"/>
      <c r="AT330" s="210"/>
      <c r="AU330" s="210"/>
      <c r="AY330" s="211"/>
      <c r="BE330" s="212"/>
      <c r="BF330" s="212"/>
      <c r="BG330" s="212"/>
      <c r="BH330" s="212"/>
      <c r="BI330" s="212"/>
      <c r="BJ330" s="211"/>
      <c r="BK330" s="212"/>
      <c r="BL330" s="211"/>
      <c r="BM330" s="210"/>
    </row>
    <row r="331" spans="1:65" s="209" customFormat="1" ht="12">
      <c r="A331" s="195"/>
      <c r="B331" s="196"/>
      <c r="C331" s="197"/>
      <c r="D331" s="197"/>
      <c r="E331" s="198"/>
      <c r="F331" s="187" t="s">
        <v>2983</v>
      </c>
      <c r="G331" s="188"/>
      <c r="H331" s="189">
        <f>SUM(H329:H330)</f>
        <v>648.1</v>
      </c>
      <c r="I331" s="194"/>
      <c r="J331" s="194"/>
      <c r="K331" s="202"/>
      <c r="L331" s="203"/>
      <c r="M331" s="204"/>
      <c r="N331" s="205"/>
      <c r="O331" s="206"/>
      <c r="P331" s="207"/>
      <c r="Q331" s="207"/>
      <c r="R331" s="207"/>
      <c r="S331" s="207"/>
      <c r="T331" s="208"/>
      <c r="U331" s="195"/>
      <c r="V331" s="195"/>
      <c r="W331" s="195"/>
      <c r="X331" s="195"/>
      <c r="Y331" s="195"/>
      <c r="Z331" s="195"/>
      <c r="AA331" s="195"/>
      <c r="AB331" s="195"/>
      <c r="AC331" s="195"/>
      <c r="AD331" s="195"/>
      <c r="AE331" s="195"/>
      <c r="AR331" s="210"/>
      <c r="AT331" s="210"/>
      <c r="AU331" s="210"/>
      <c r="AY331" s="211"/>
      <c r="BE331" s="212"/>
      <c r="BF331" s="212"/>
      <c r="BG331" s="212"/>
      <c r="BH331" s="212"/>
      <c r="BI331" s="212"/>
      <c r="BJ331" s="211"/>
      <c r="BK331" s="212"/>
      <c r="BL331" s="211"/>
      <c r="BM331" s="210"/>
    </row>
    <row r="332" spans="1:65" s="2" customFormat="1" ht="24.2" customHeight="1">
      <c r="A332" s="29"/>
      <c r="B332" s="152"/>
      <c r="C332" s="153" t="s">
        <v>279</v>
      </c>
      <c r="D332" s="153" t="s">
        <v>181</v>
      </c>
      <c r="E332" s="154" t="s">
        <v>369</v>
      </c>
      <c r="F332" s="155" t="s">
        <v>370</v>
      </c>
      <c r="G332" s="156" t="s">
        <v>217</v>
      </c>
      <c r="H332" s="157">
        <v>7</v>
      </c>
      <c r="I332" s="158"/>
      <c r="J332" s="159">
        <v>0</v>
      </c>
      <c r="K332" s="160"/>
      <c r="L332" s="30"/>
      <c r="M332" s="161" t="s">
        <v>1</v>
      </c>
      <c r="N332" s="162" t="s">
        <v>35</v>
      </c>
      <c r="O332" s="58"/>
      <c r="P332" s="163">
        <f t="shared" si="9"/>
        <v>0</v>
      </c>
      <c r="Q332" s="163">
        <v>3.9640000000000002E-2</v>
      </c>
      <c r="R332" s="163">
        <f t="shared" si="10"/>
        <v>0.27748</v>
      </c>
      <c r="S332" s="163">
        <v>0</v>
      </c>
      <c r="T332" s="164">
        <f t="shared" si="11"/>
        <v>0</v>
      </c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R332" s="165" t="s">
        <v>185</v>
      </c>
      <c r="AT332" s="165" t="s">
        <v>181</v>
      </c>
      <c r="AU332" s="165" t="s">
        <v>82</v>
      </c>
      <c r="AY332" s="14" t="s">
        <v>179</v>
      </c>
      <c r="BE332" s="166">
        <f t="shared" si="12"/>
        <v>0</v>
      </c>
      <c r="BF332" s="166">
        <f t="shared" si="13"/>
        <v>0</v>
      </c>
      <c r="BG332" s="166">
        <f t="shared" si="14"/>
        <v>0</v>
      </c>
      <c r="BH332" s="166">
        <f t="shared" si="15"/>
        <v>0</v>
      </c>
      <c r="BI332" s="166">
        <f t="shared" si="16"/>
        <v>0</v>
      </c>
      <c r="BJ332" s="14" t="s">
        <v>82</v>
      </c>
      <c r="BK332" s="166">
        <f t="shared" si="17"/>
        <v>0</v>
      </c>
      <c r="BL332" s="14" t="s">
        <v>185</v>
      </c>
      <c r="BM332" s="165" t="s">
        <v>371</v>
      </c>
    </row>
    <row r="333" spans="1:65" s="209" customFormat="1" ht="12">
      <c r="A333" s="195"/>
      <c r="B333" s="196"/>
      <c r="C333" s="197"/>
      <c r="D333" s="197"/>
      <c r="E333" s="198"/>
      <c r="F333" s="213" t="s">
        <v>3037</v>
      </c>
      <c r="G333" s="222"/>
      <c r="H333" s="214">
        <v>1.1000000000000001</v>
      </c>
      <c r="I333" s="194"/>
      <c r="J333" s="194"/>
      <c r="K333" s="202"/>
      <c r="L333" s="203"/>
      <c r="M333" s="204"/>
      <c r="N333" s="205"/>
      <c r="O333" s="206"/>
      <c r="P333" s="207"/>
      <c r="Q333" s="207"/>
      <c r="R333" s="207"/>
      <c r="S333" s="207"/>
      <c r="T333" s="208"/>
      <c r="U333" s="195"/>
      <c r="V333" s="195"/>
      <c r="W333" s="195"/>
      <c r="X333" s="195"/>
      <c r="Y333" s="195"/>
      <c r="Z333" s="195"/>
      <c r="AA333" s="195"/>
      <c r="AB333" s="195"/>
      <c r="AC333" s="195"/>
      <c r="AD333" s="195"/>
      <c r="AE333" s="195"/>
      <c r="AR333" s="210"/>
      <c r="AT333" s="210"/>
      <c r="AU333" s="210"/>
      <c r="AY333" s="211"/>
      <c r="BE333" s="212"/>
      <c r="BF333" s="212"/>
      <c r="BG333" s="212"/>
      <c r="BH333" s="212"/>
      <c r="BI333" s="212"/>
      <c r="BJ333" s="211"/>
      <c r="BK333" s="212"/>
      <c r="BL333" s="211"/>
      <c r="BM333" s="210"/>
    </row>
    <row r="334" spans="1:65" s="209" customFormat="1" ht="12">
      <c r="A334" s="195"/>
      <c r="B334" s="196"/>
      <c r="C334" s="197"/>
      <c r="D334" s="197"/>
      <c r="E334" s="198"/>
      <c r="F334" s="213" t="s">
        <v>3038</v>
      </c>
      <c r="G334" s="222"/>
      <c r="H334" s="214">
        <v>1</v>
      </c>
      <c r="I334" s="194"/>
      <c r="J334" s="194"/>
      <c r="K334" s="202"/>
      <c r="L334" s="203"/>
      <c r="M334" s="204"/>
      <c r="N334" s="205"/>
      <c r="O334" s="206"/>
      <c r="P334" s="207"/>
      <c r="Q334" s="207"/>
      <c r="R334" s="207"/>
      <c r="S334" s="207"/>
      <c r="T334" s="208"/>
      <c r="U334" s="195"/>
      <c r="V334" s="195"/>
      <c r="W334" s="195"/>
      <c r="X334" s="195"/>
      <c r="Y334" s="195"/>
      <c r="Z334" s="195"/>
      <c r="AA334" s="195"/>
      <c r="AB334" s="195"/>
      <c r="AC334" s="195"/>
      <c r="AD334" s="195"/>
      <c r="AE334" s="195"/>
      <c r="AR334" s="210"/>
      <c r="AT334" s="210"/>
      <c r="AU334" s="210"/>
      <c r="AY334" s="211"/>
      <c r="BE334" s="212"/>
      <c r="BF334" s="212"/>
      <c r="BG334" s="212"/>
      <c r="BH334" s="212"/>
      <c r="BI334" s="212"/>
      <c r="BJ334" s="211"/>
      <c r="BK334" s="212"/>
      <c r="BL334" s="211"/>
      <c r="BM334" s="210"/>
    </row>
    <row r="335" spans="1:65" s="209" customFormat="1" ht="12">
      <c r="A335" s="195"/>
      <c r="B335" s="196"/>
      <c r="C335" s="197"/>
      <c r="D335" s="197"/>
      <c r="E335" s="198"/>
      <c r="F335" s="213" t="s">
        <v>3039</v>
      </c>
      <c r="G335" s="222"/>
      <c r="H335" s="214">
        <v>4</v>
      </c>
      <c r="I335" s="194"/>
      <c r="J335" s="194"/>
      <c r="K335" s="202"/>
      <c r="L335" s="203"/>
      <c r="M335" s="204"/>
      <c r="N335" s="205"/>
      <c r="O335" s="206"/>
      <c r="P335" s="207"/>
      <c r="Q335" s="207"/>
      <c r="R335" s="207"/>
      <c r="S335" s="207"/>
      <c r="T335" s="208"/>
      <c r="U335" s="195"/>
      <c r="V335" s="195"/>
      <c r="W335" s="195"/>
      <c r="X335" s="195"/>
      <c r="Y335" s="195"/>
      <c r="Z335" s="195"/>
      <c r="AA335" s="195"/>
      <c r="AB335" s="195"/>
      <c r="AC335" s="195"/>
      <c r="AD335" s="195"/>
      <c r="AE335" s="195"/>
      <c r="AR335" s="210"/>
      <c r="AT335" s="210"/>
      <c r="AU335" s="210"/>
      <c r="AY335" s="211"/>
      <c r="BE335" s="212"/>
      <c r="BF335" s="212"/>
      <c r="BG335" s="212"/>
      <c r="BH335" s="212"/>
      <c r="BI335" s="212"/>
      <c r="BJ335" s="211"/>
      <c r="BK335" s="212"/>
      <c r="BL335" s="211"/>
      <c r="BM335" s="210"/>
    </row>
    <row r="336" spans="1:65" s="209" customFormat="1" ht="12">
      <c r="A336" s="195"/>
      <c r="B336" s="196"/>
      <c r="C336" s="197"/>
      <c r="D336" s="197"/>
      <c r="E336" s="198"/>
      <c r="F336" s="213" t="s">
        <v>3040</v>
      </c>
      <c r="G336" s="222"/>
      <c r="H336" s="214">
        <v>1</v>
      </c>
      <c r="I336" s="194"/>
      <c r="J336" s="194"/>
      <c r="K336" s="202"/>
      <c r="L336" s="203"/>
      <c r="M336" s="204"/>
      <c r="N336" s="205"/>
      <c r="O336" s="206"/>
      <c r="P336" s="207"/>
      <c r="Q336" s="207"/>
      <c r="R336" s="207"/>
      <c r="S336" s="207"/>
      <c r="T336" s="208"/>
      <c r="U336" s="195"/>
      <c r="V336" s="195"/>
      <c r="W336" s="195"/>
      <c r="X336" s="195"/>
      <c r="Y336" s="195"/>
      <c r="Z336" s="195"/>
      <c r="AA336" s="195"/>
      <c r="AB336" s="195"/>
      <c r="AC336" s="195"/>
      <c r="AD336" s="195"/>
      <c r="AE336" s="195"/>
      <c r="AR336" s="210"/>
      <c r="AT336" s="210"/>
      <c r="AU336" s="210"/>
      <c r="AY336" s="211"/>
      <c r="BE336" s="212"/>
      <c r="BF336" s="212"/>
      <c r="BG336" s="212"/>
      <c r="BH336" s="212"/>
      <c r="BI336" s="212"/>
      <c r="BJ336" s="211"/>
      <c r="BK336" s="212"/>
      <c r="BL336" s="211"/>
      <c r="BM336" s="210"/>
    </row>
    <row r="337" spans="1:65" s="209" customFormat="1" ht="12">
      <c r="A337" s="195"/>
      <c r="B337" s="196"/>
      <c r="C337" s="197"/>
      <c r="D337" s="197"/>
      <c r="E337" s="198"/>
      <c r="F337" s="215" t="s">
        <v>2983</v>
      </c>
      <c r="G337" s="216"/>
      <c r="H337" s="217">
        <f>SUM(H333:H336)</f>
        <v>7.1</v>
      </c>
      <c r="I337" s="194"/>
      <c r="J337" s="194"/>
      <c r="K337" s="202"/>
      <c r="L337" s="203"/>
      <c r="M337" s="204"/>
      <c r="N337" s="205"/>
      <c r="O337" s="206"/>
      <c r="P337" s="207"/>
      <c r="Q337" s="207"/>
      <c r="R337" s="207"/>
      <c r="S337" s="207"/>
      <c r="T337" s="208"/>
      <c r="U337" s="195"/>
      <c r="V337" s="195"/>
      <c r="W337" s="195"/>
      <c r="X337" s="195"/>
      <c r="Y337" s="195"/>
      <c r="Z337" s="195"/>
      <c r="AA337" s="195"/>
      <c r="AB337" s="195"/>
      <c r="AC337" s="195"/>
      <c r="AD337" s="195"/>
      <c r="AE337" s="195"/>
      <c r="AR337" s="210"/>
      <c r="AT337" s="210"/>
      <c r="AU337" s="210"/>
      <c r="AY337" s="211"/>
      <c r="BE337" s="212"/>
      <c r="BF337" s="212"/>
      <c r="BG337" s="212"/>
      <c r="BH337" s="212"/>
      <c r="BI337" s="212"/>
      <c r="BJ337" s="211"/>
      <c r="BK337" s="212"/>
      <c r="BL337" s="211"/>
      <c r="BM337" s="210"/>
    </row>
    <row r="338" spans="1:65" s="2" customFormat="1" ht="76.349999999999994" customHeight="1">
      <c r="A338" s="29"/>
      <c r="B338" s="152"/>
      <c r="C338" s="167" t="s">
        <v>372</v>
      </c>
      <c r="D338" s="167" t="s">
        <v>202</v>
      </c>
      <c r="E338" s="168" t="s">
        <v>373</v>
      </c>
      <c r="F338" s="169" t="s">
        <v>374</v>
      </c>
      <c r="G338" s="170" t="s">
        <v>217</v>
      </c>
      <c r="H338" s="171">
        <v>1</v>
      </c>
      <c r="I338" s="172"/>
      <c r="J338" s="173">
        <v>0</v>
      </c>
      <c r="K338" s="174"/>
      <c r="L338" s="175"/>
      <c r="M338" s="176" t="s">
        <v>1</v>
      </c>
      <c r="N338" s="177" t="s">
        <v>35</v>
      </c>
      <c r="O338" s="58"/>
      <c r="P338" s="163">
        <f t="shared" si="9"/>
        <v>0</v>
      </c>
      <c r="Q338" s="163">
        <v>0</v>
      </c>
      <c r="R338" s="163">
        <f t="shared" si="10"/>
        <v>0</v>
      </c>
      <c r="S338" s="163">
        <v>0</v>
      </c>
      <c r="T338" s="164">
        <f t="shared" si="11"/>
        <v>0</v>
      </c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R338" s="165" t="s">
        <v>197</v>
      </c>
      <c r="AT338" s="165" t="s">
        <v>202</v>
      </c>
      <c r="AU338" s="165" t="s">
        <v>82</v>
      </c>
      <c r="AY338" s="14" t="s">
        <v>179</v>
      </c>
      <c r="BE338" s="166">
        <f t="shared" si="12"/>
        <v>0</v>
      </c>
      <c r="BF338" s="166">
        <f t="shared" si="13"/>
        <v>0</v>
      </c>
      <c r="BG338" s="166">
        <f t="shared" si="14"/>
        <v>0</v>
      </c>
      <c r="BH338" s="166">
        <f t="shared" si="15"/>
        <v>0</v>
      </c>
      <c r="BI338" s="166">
        <f t="shared" si="16"/>
        <v>0</v>
      </c>
      <c r="BJ338" s="14" t="s">
        <v>82</v>
      </c>
      <c r="BK338" s="166">
        <f t="shared" si="17"/>
        <v>0</v>
      </c>
      <c r="BL338" s="14" t="s">
        <v>185</v>
      </c>
      <c r="BM338" s="165" t="s">
        <v>375</v>
      </c>
    </row>
    <row r="339" spans="1:65" s="2" customFormat="1" ht="76.349999999999994" customHeight="1">
      <c r="A339" s="29"/>
      <c r="B339" s="152"/>
      <c r="C339" s="167" t="s">
        <v>283</v>
      </c>
      <c r="D339" s="167" t="s">
        <v>202</v>
      </c>
      <c r="E339" s="168" t="s">
        <v>376</v>
      </c>
      <c r="F339" s="169" t="s">
        <v>377</v>
      </c>
      <c r="G339" s="170" t="s">
        <v>217</v>
      </c>
      <c r="H339" s="171">
        <v>1</v>
      </c>
      <c r="I339" s="172"/>
      <c r="J339" s="173">
        <v>0</v>
      </c>
      <c r="K339" s="174"/>
      <c r="L339" s="175"/>
      <c r="M339" s="176" t="s">
        <v>1</v>
      </c>
      <c r="N339" s="177" t="s">
        <v>35</v>
      </c>
      <c r="O339" s="58"/>
      <c r="P339" s="163">
        <f t="shared" si="9"/>
        <v>0</v>
      </c>
      <c r="Q339" s="163">
        <v>0</v>
      </c>
      <c r="R339" s="163">
        <f t="shared" si="10"/>
        <v>0</v>
      </c>
      <c r="S339" s="163">
        <v>0</v>
      </c>
      <c r="T339" s="164">
        <f t="shared" si="11"/>
        <v>0</v>
      </c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R339" s="165" t="s">
        <v>197</v>
      </c>
      <c r="AT339" s="165" t="s">
        <v>202</v>
      </c>
      <c r="AU339" s="165" t="s">
        <v>82</v>
      </c>
      <c r="AY339" s="14" t="s">
        <v>179</v>
      </c>
      <c r="BE339" s="166">
        <f t="shared" si="12"/>
        <v>0</v>
      </c>
      <c r="BF339" s="166">
        <f t="shared" si="13"/>
        <v>0</v>
      </c>
      <c r="BG339" s="166">
        <f t="shared" si="14"/>
        <v>0</v>
      </c>
      <c r="BH339" s="166">
        <f t="shared" si="15"/>
        <v>0</v>
      </c>
      <c r="BI339" s="166">
        <f t="shared" si="16"/>
        <v>0</v>
      </c>
      <c r="BJ339" s="14" t="s">
        <v>82</v>
      </c>
      <c r="BK339" s="166">
        <f t="shared" si="17"/>
        <v>0</v>
      </c>
      <c r="BL339" s="14" t="s">
        <v>185</v>
      </c>
      <c r="BM339" s="165" t="s">
        <v>378</v>
      </c>
    </row>
    <row r="340" spans="1:65" s="2" customFormat="1" ht="76.349999999999994" customHeight="1">
      <c r="A340" s="29"/>
      <c r="B340" s="152"/>
      <c r="C340" s="167" t="s">
        <v>379</v>
      </c>
      <c r="D340" s="167" t="s">
        <v>202</v>
      </c>
      <c r="E340" s="168" t="s">
        <v>380</v>
      </c>
      <c r="F340" s="169" t="s">
        <v>381</v>
      </c>
      <c r="G340" s="170" t="s">
        <v>217</v>
      </c>
      <c r="H340" s="171">
        <v>4</v>
      </c>
      <c r="I340" s="172"/>
      <c r="J340" s="173">
        <v>0</v>
      </c>
      <c r="K340" s="174"/>
      <c r="L340" s="175"/>
      <c r="M340" s="176" t="s">
        <v>1</v>
      </c>
      <c r="N340" s="177" t="s">
        <v>35</v>
      </c>
      <c r="O340" s="58"/>
      <c r="P340" s="163">
        <f t="shared" si="9"/>
        <v>0</v>
      </c>
      <c r="Q340" s="163">
        <v>0</v>
      </c>
      <c r="R340" s="163">
        <f t="shared" si="10"/>
        <v>0</v>
      </c>
      <c r="S340" s="163">
        <v>0</v>
      </c>
      <c r="T340" s="164">
        <f t="shared" si="11"/>
        <v>0</v>
      </c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R340" s="165" t="s">
        <v>197</v>
      </c>
      <c r="AT340" s="165" t="s">
        <v>202</v>
      </c>
      <c r="AU340" s="165" t="s">
        <v>82</v>
      </c>
      <c r="AY340" s="14" t="s">
        <v>179</v>
      </c>
      <c r="BE340" s="166">
        <f t="shared" si="12"/>
        <v>0</v>
      </c>
      <c r="BF340" s="166">
        <f t="shared" si="13"/>
        <v>0</v>
      </c>
      <c r="BG340" s="166">
        <f t="shared" si="14"/>
        <v>0</v>
      </c>
      <c r="BH340" s="166">
        <f t="shared" si="15"/>
        <v>0</v>
      </c>
      <c r="BI340" s="166">
        <f t="shared" si="16"/>
        <v>0</v>
      </c>
      <c r="BJ340" s="14" t="s">
        <v>82</v>
      </c>
      <c r="BK340" s="166">
        <f t="shared" si="17"/>
        <v>0</v>
      </c>
      <c r="BL340" s="14" t="s">
        <v>185</v>
      </c>
      <c r="BM340" s="165" t="s">
        <v>382</v>
      </c>
    </row>
    <row r="341" spans="1:65" s="2" customFormat="1" ht="76.349999999999994" customHeight="1">
      <c r="A341" s="29"/>
      <c r="B341" s="152"/>
      <c r="C341" s="167" t="s">
        <v>286</v>
      </c>
      <c r="D341" s="167" t="s">
        <v>202</v>
      </c>
      <c r="E341" s="168" t="s">
        <v>383</v>
      </c>
      <c r="F341" s="169" t="s">
        <v>384</v>
      </c>
      <c r="G341" s="170" t="s">
        <v>217</v>
      </c>
      <c r="H341" s="171">
        <v>1</v>
      </c>
      <c r="I341" s="172"/>
      <c r="J341" s="173">
        <v>0</v>
      </c>
      <c r="K341" s="174"/>
      <c r="L341" s="175"/>
      <c r="M341" s="176" t="s">
        <v>1</v>
      </c>
      <c r="N341" s="177" t="s">
        <v>35</v>
      </c>
      <c r="O341" s="58"/>
      <c r="P341" s="163">
        <f t="shared" si="9"/>
        <v>0</v>
      </c>
      <c r="Q341" s="163">
        <v>0</v>
      </c>
      <c r="R341" s="163">
        <f t="shared" si="10"/>
        <v>0</v>
      </c>
      <c r="S341" s="163">
        <v>0</v>
      </c>
      <c r="T341" s="164">
        <f t="shared" si="11"/>
        <v>0</v>
      </c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R341" s="165" t="s">
        <v>197</v>
      </c>
      <c r="AT341" s="165" t="s">
        <v>202</v>
      </c>
      <c r="AU341" s="165" t="s">
        <v>82</v>
      </c>
      <c r="AY341" s="14" t="s">
        <v>179</v>
      </c>
      <c r="BE341" s="166">
        <f t="shared" si="12"/>
        <v>0</v>
      </c>
      <c r="BF341" s="166">
        <f t="shared" si="13"/>
        <v>0</v>
      </c>
      <c r="BG341" s="166">
        <f t="shared" si="14"/>
        <v>0</v>
      </c>
      <c r="BH341" s="166">
        <f t="shared" si="15"/>
        <v>0</v>
      </c>
      <c r="BI341" s="166">
        <f t="shared" si="16"/>
        <v>0</v>
      </c>
      <c r="BJ341" s="14" t="s">
        <v>82</v>
      </c>
      <c r="BK341" s="166">
        <f t="shared" si="17"/>
        <v>0</v>
      </c>
      <c r="BL341" s="14" t="s">
        <v>185</v>
      </c>
      <c r="BM341" s="165" t="s">
        <v>385</v>
      </c>
    </row>
    <row r="342" spans="1:65" s="12" customFormat="1" ht="22.9" customHeight="1">
      <c r="B342" s="139"/>
      <c r="D342" s="140" t="s">
        <v>68</v>
      </c>
      <c r="E342" s="150" t="s">
        <v>214</v>
      </c>
      <c r="F342" s="150" t="s">
        <v>386</v>
      </c>
      <c r="I342" s="142"/>
      <c r="J342" s="151">
        <f>BK342</f>
        <v>0</v>
      </c>
      <c r="L342" s="139"/>
      <c r="M342" s="144"/>
      <c r="N342" s="145"/>
      <c r="O342" s="145"/>
      <c r="P342" s="146">
        <f>SUM(P343:P508)</f>
        <v>0</v>
      </c>
      <c r="Q342" s="145"/>
      <c r="R342" s="146">
        <f>SUM(R343:R508)</f>
        <v>73.032730659000009</v>
      </c>
      <c r="S342" s="145"/>
      <c r="T342" s="147">
        <f>SUM(T343:T508)</f>
        <v>54.068170000000009</v>
      </c>
      <c r="AR342" s="140" t="s">
        <v>76</v>
      </c>
      <c r="AT342" s="148" t="s">
        <v>68</v>
      </c>
      <c r="AU342" s="148" t="s">
        <v>76</v>
      </c>
      <c r="AY342" s="140" t="s">
        <v>179</v>
      </c>
      <c r="BK342" s="149">
        <f>SUM(BK343:BK508)</f>
        <v>0</v>
      </c>
    </row>
    <row r="343" spans="1:65" s="2" customFormat="1" ht="33" customHeight="1">
      <c r="A343" s="29"/>
      <c r="B343" s="152"/>
      <c r="C343" s="153" t="s">
        <v>387</v>
      </c>
      <c r="D343" s="153" t="s">
        <v>181</v>
      </c>
      <c r="E343" s="154" t="s">
        <v>388</v>
      </c>
      <c r="F343" s="155" t="s">
        <v>389</v>
      </c>
      <c r="G343" s="156" t="s">
        <v>184</v>
      </c>
      <c r="H343" s="157">
        <v>1069.83</v>
      </c>
      <c r="I343" s="158"/>
      <c r="J343" s="159">
        <v>0</v>
      </c>
      <c r="K343" s="160"/>
      <c r="L343" s="30"/>
      <c r="M343" s="161" t="s">
        <v>1</v>
      </c>
      <c r="N343" s="162" t="s">
        <v>35</v>
      </c>
      <c r="O343" s="58"/>
      <c r="P343" s="163">
        <f t="shared" ref="P343:P398" si="19">O343*H343</f>
        <v>0</v>
      </c>
      <c r="Q343" s="163">
        <v>1.575E-2</v>
      </c>
      <c r="R343" s="163">
        <f t="shared" ref="R343:R398" si="20">Q343*H343</f>
        <v>16.849822499999998</v>
      </c>
      <c r="S343" s="163">
        <v>0</v>
      </c>
      <c r="T343" s="164">
        <f t="shared" ref="T343:T398" si="21">S343*H343</f>
        <v>0</v>
      </c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R343" s="165" t="s">
        <v>185</v>
      </c>
      <c r="AT343" s="165" t="s">
        <v>181</v>
      </c>
      <c r="AU343" s="165" t="s">
        <v>82</v>
      </c>
      <c r="AY343" s="14" t="s">
        <v>179</v>
      </c>
      <c r="BE343" s="166">
        <f t="shared" ref="BE343:BE508" si="22">IF(N343="základná",J343,0)</f>
        <v>0</v>
      </c>
      <c r="BF343" s="166">
        <f t="shared" ref="BF343:BF508" si="23">IF(N343="znížená",J343,0)</f>
        <v>0</v>
      </c>
      <c r="BG343" s="166">
        <f t="shared" ref="BG343:BG508" si="24">IF(N343="zákl. prenesená",J343,0)</f>
        <v>0</v>
      </c>
      <c r="BH343" s="166">
        <f t="shared" ref="BH343:BH508" si="25">IF(N343="zníž. prenesená",J343,0)</f>
        <v>0</v>
      </c>
      <c r="BI343" s="166">
        <f t="shared" ref="BI343:BI508" si="26">IF(N343="nulová",J343,0)</f>
        <v>0</v>
      </c>
      <c r="BJ343" s="14" t="s">
        <v>82</v>
      </c>
      <c r="BK343" s="166">
        <f t="shared" ref="BK343:BK398" si="27">ROUND(I343*H343,2)</f>
        <v>0</v>
      </c>
      <c r="BL343" s="14" t="s">
        <v>185</v>
      </c>
      <c r="BM343" s="165" t="s">
        <v>390</v>
      </c>
    </row>
    <row r="344" spans="1:65" s="209" customFormat="1" ht="22.5">
      <c r="A344" s="195"/>
      <c r="B344" s="196"/>
      <c r="C344" s="197"/>
      <c r="D344" s="197"/>
      <c r="E344" s="198"/>
      <c r="F344" s="213" t="s">
        <v>3041</v>
      </c>
      <c r="G344" s="200"/>
      <c r="H344" s="214">
        <f>ROUND((2*6+4.5)*14+4.5*7.4+2*10.12*5.22+2*1/2*(5.22+6.6)*2.3+2*25.62*6.6+21.6*(5.22+6.6)+2*6*6.6,2)</f>
        <v>1069.83</v>
      </c>
      <c r="I344" s="194"/>
      <c r="J344" s="194"/>
      <c r="K344" s="202"/>
      <c r="L344" s="203"/>
      <c r="M344" s="204"/>
      <c r="N344" s="205"/>
      <c r="O344" s="206"/>
      <c r="P344" s="207"/>
      <c r="Q344" s="207"/>
      <c r="R344" s="207"/>
      <c r="S344" s="207"/>
      <c r="T344" s="208"/>
      <c r="U344" s="195"/>
      <c r="V344" s="195"/>
      <c r="W344" s="195"/>
      <c r="X344" s="195"/>
      <c r="Y344" s="195"/>
      <c r="Z344" s="195"/>
      <c r="AA344" s="195"/>
      <c r="AB344" s="195"/>
      <c r="AC344" s="195"/>
      <c r="AD344" s="195"/>
      <c r="AE344" s="195"/>
      <c r="AR344" s="210"/>
      <c r="AT344" s="210"/>
      <c r="AU344" s="210"/>
      <c r="AY344" s="211"/>
      <c r="BE344" s="212"/>
      <c r="BF344" s="212"/>
      <c r="BG344" s="212"/>
      <c r="BH344" s="212"/>
      <c r="BI344" s="212"/>
      <c r="BJ344" s="211"/>
      <c r="BK344" s="212"/>
      <c r="BL344" s="211"/>
      <c r="BM344" s="210"/>
    </row>
    <row r="345" spans="1:65" s="209" customFormat="1" ht="12">
      <c r="A345" s="195"/>
      <c r="B345" s="196"/>
      <c r="C345" s="197"/>
      <c r="D345" s="197"/>
      <c r="E345" s="198"/>
      <c r="F345" s="215" t="s">
        <v>2983</v>
      </c>
      <c r="G345" s="216"/>
      <c r="H345" s="217">
        <f>SUM(H344:H344)</f>
        <v>1069.83</v>
      </c>
      <c r="I345" s="194"/>
      <c r="J345" s="194"/>
      <c r="K345" s="202"/>
      <c r="L345" s="203"/>
      <c r="M345" s="204"/>
      <c r="N345" s="205"/>
      <c r="O345" s="206"/>
      <c r="P345" s="207"/>
      <c r="Q345" s="207"/>
      <c r="R345" s="207"/>
      <c r="S345" s="207"/>
      <c r="T345" s="208"/>
      <c r="U345" s="195"/>
      <c r="V345" s="195"/>
      <c r="W345" s="195"/>
      <c r="X345" s="195"/>
      <c r="Y345" s="195"/>
      <c r="Z345" s="195"/>
      <c r="AA345" s="195"/>
      <c r="AB345" s="195"/>
      <c r="AC345" s="195"/>
      <c r="AD345" s="195"/>
      <c r="AE345" s="195"/>
      <c r="AR345" s="210"/>
      <c r="AT345" s="210"/>
      <c r="AU345" s="210"/>
      <c r="AY345" s="211"/>
      <c r="BE345" s="212"/>
      <c r="BF345" s="212"/>
      <c r="BG345" s="212"/>
      <c r="BH345" s="212"/>
      <c r="BI345" s="212"/>
      <c r="BJ345" s="211"/>
      <c r="BK345" s="212"/>
      <c r="BL345" s="211"/>
      <c r="BM345" s="210"/>
    </row>
    <row r="346" spans="1:65" s="2" customFormat="1" ht="37.9" customHeight="1">
      <c r="A346" s="29"/>
      <c r="B346" s="152"/>
      <c r="C346" s="153" t="s">
        <v>290</v>
      </c>
      <c r="D346" s="153" t="s">
        <v>181</v>
      </c>
      <c r="E346" s="154" t="s">
        <v>391</v>
      </c>
      <c r="F346" s="155" t="s">
        <v>392</v>
      </c>
      <c r="G346" s="156" t="s">
        <v>184</v>
      </c>
      <c r="H346" s="157">
        <v>10698.3</v>
      </c>
      <c r="I346" s="158"/>
      <c r="J346" s="159">
        <v>0</v>
      </c>
      <c r="K346" s="160"/>
      <c r="L346" s="30"/>
      <c r="M346" s="161" t="s">
        <v>1</v>
      </c>
      <c r="N346" s="162" t="s">
        <v>35</v>
      </c>
      <c r="O346" s="58"/>
      <c r="P346" s="163">
        <f t="shared" si="19"/>
        <v>0</v>
      </c>
      <c r="Q346" s="163">
        <v>0</v>
      </c>
      <c r="R346" s="163">
        <f t="shared" si="20"/>
        <v>0</v>
      </c>
      <c r="S346" s="163">
        <v>0</v>
      </c>
      <c r="T346" s="164">
        <f t="shared" si="21"/>
        <v>0</v>
      </c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R346" s="165" t="s">
        <v>185</v>
      </c>
      <c r="AT346" s="165" t="s">
        <v>181</v>
      </c>
      <c r="AU346" s="165" t="s">
        <v>82</v>
      </c>
      <c r="AY346" s="14" t="s">
        <v>179</v>
      </c>
      <c r="BE346" s="166">
        <f t="shared" si="22"/>
        <v>0</v>
      </c>
      <c r="BF346" s="166">
        <f t="shared" si="23"/>
        <v>0</v>
      </c>
      <c r="BG346" s="166">
        <f t="shared" si="24"/>
        <v>0</v>
      </c>
      <c r="BH346" s="166">
        <f t="shared" si="25"/>
        <v>0</v>
      </c>
      <c r="BI346" s="166">
        <f t="shared" si="26"/>
        <v>0</v>
      </c>
      <c r="BJ346" s="14" t="s">
        <v>82</v>
      </c>
      <c r="BK346" s="166">
        <f t="shared" si="27"/>
        <v>0</v>
      </c>
      <c r="BL346" s="14" t="s">
        <v>185</v>
      </c>
      <c r="BM346" s="165" t="s">
        <v>393</v>
      </c>
    </row>
    <row r="347" spans="1:65" s="209" customFormat="1" ht="12">
      <c r="A347" s="195"/>
      <c r="B347" s="196"/>
      <c r="C347" s="197"/>
      <c r="D347" s="197"/>
      <c r="E347" s="198"/>
      <c r="F347" s="184" t="s">
        <v>3042</v>
      </c>
      <c r="G347" s="185"/>
      <c r="H347" s="192">
        <f>H343*10</f>
        <v>10698.3</v>
      </c>
      <c r="I347" s="194"/>
      <c r="J347" s="194"/>
      <c r="K347" s="202"/>
      <c r="L347" s="203"/>
      <c r="M347" s="204"/>
      <c r="N347" s="205"/>
      <c r="O347" s="206"/>
      <c r="P347" s="207"/>
      <c r="Q347" s="207"/>
      <c r="R347" s="207"/>
      <c r="S347" s="207"/>
      <c r="T347" s="208"/>
      <c r="U347" s="195"/>
      <c r="V347" s="195"/>
      <c r="W347" s="195"/>
      <c r="X347" s="195"/>
      <c r="Y347" s="195"/>
      <c r="Z347" s="195"/>
      <c r="AA347" s="195"/>
      <c r="AB347" s="195"/>
      <c r="AC347" s="195"/>
      <c r="AD347" s="195"/>
      <c r="AE347" s="195"/>
      <c r="AR347" s="210"/>
      <c r="AT347" s="210"/>
      <c r="AU347" s="210"/>
      <c r="AY347" s="211"/>
      <c r="BE347" s="212"/>
      <c r="BF347" s="212"/>
      <c r="BG347" s="212"/>
      <c r="BH347" s="212"/>
      <c r="BI347" s="212"/>
      <c r="BJ347" s="211"/>
      <c r="BK347" s="212"/>
      <c r="BL347" s="211"/>
      <c r="BM347" s="210"/>
    </row>
    <row r="348" spans="1:65" s="209" customFormat="1" ht="12">
      <c r="A348" s="195"/>
      <c r="B348" s="196"/>
      <c r="C348" s="197"/>
      <c r="D348" s="197"/>
      <c r="E348" s="198"/>
      <c r="F348" s="187" t="s">
        <v>2983</v>
      </c>
      <c r="G348" s="188"/>
      <c r="H348" s="189">
        <f>SUM(H347:H347)</f>
        <v>10698.3</v>
      </c>
      <c r="I348" s="194"/>
      <c r="J348" s="194"/>
      <c r="K348" s="202"/>
      <c r="L348" s="203"/>
      <c r="M348" s="204"/>
      <c r="N348" s="205"/>
      <c r="O348" s="206"/>
      <c r="P348" s="207"/>
      <c r="Q348" s="207"/>
      <c r="R348" s="207"/>
      <c r="S348" s="207"/>
      <c r="T348" s="208"/>
      <c r="U348" s="195"/>
      <c r="V348" s="195"/>
      <c r="W348" s="195"/>
      <c r="X348" s="195"/>
      <c r="Y348" s="195"/>
      <c r="Z348" s="195"/>
      <c r="AA348" s="195"/>
      <c r="AB348" s="195"/>
      <c r="AC348" s="195"/>
      <c r="AD348" s="195"/>
      <c r="AE348" s="195"/>
      <c r="AR348" s="210"/>
      <c r="AT348" s="210"/>
      <c r="AU348" s="210"/>
      <c r="AY348" s="211"/>
      <c r="BE348" s="212"/>
      <c r="BF348" s="212"/>
      <c r="BG348" s="212"/>
      <c r="BH348" s="212"/>
      <c r="BI348" s="212"/>
      <c r="BJ348" s="211"/>
      <c r="BK348" s="212"/>
      <c r="BL348" s="211"/>
      <c r="BM348" s="210"/>
    </row>
    <row r="349" spans="1:65" s="2" customFormat="1" ht="33" customHeight="1">
      <c r="A349" s="29"/>
      <c r="B349" s="152"/>
      <c r="C349" s="153" t="s">
        <v>394</v>
      </c>
      <c r="D349" s="153" t="s">
        <v>181</v>
      </c>
      <c r="E349" s="154" t="s">
        <v>395</v>
      </c>
      <c r="F349" s="155" t="s">
        <v>396</v>
      </c>
      <c r="G349" s="156" t="s">
        <v>184</v>
      </c>
      <c r="H349" s="157">
        <v>1069.83</v>
      </c>
      <c r="I349" s="158"/>
      <c r="J349" s="159">
        <v>0</v>
      </c>
      <c r="K349" s="160"/>
      <c r="L349" s="30"/>
      <c r="M349" s="161" t="s">
        <v>1</v>
      </c>
      <c r="N349" s="162" t="s">
        <v>35</v>
      </c>
      <c r="O349" s="58"/>
      <c r="P349" s="163">
        <f t="shared" si="19"/>
        <v>0</v>
      </c>
      <c r="Q349" s="163">
        <v>0</v>
      </c>
      <c r="R349" s="163">
        <f t="shared" si="20"/>
        <v>0</v>
      </c>
      <c r="S349" s="163">
        <v>0</v>
      </c>
      <c r="T349" s="164">
        <f t="shared" si="21"/>
        <v>0</v>
      </c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R349" s="165" t="s">
        <v>185</v>
      </c>
      <c r="AT349" s="165" t="s">
        <v>181</v>
      </c>
      <c r="AU349" s="165" t="s">
        <v>82</v>
      </c>
      <c r="AY349" s="14" t="s">
        <v>179</v>
      </c>
      <c r="BE349" s="166">
        <f t="shared" si="22"/>
        <v>0</v>
      </c>
      <c r="BF349" s="166">
        <f t="shared" si="23"/>
        <v>0</v>
      </c>
      <c r="BG349" s="166">
        <f t="shared" si="24"/>
        <v>0</v>
      </c>
      <c r="BH349" s="166">
        <f t="shared" si="25"/>
        <v>0</v>
      </c>
      <c r="BI349" s="166">
        <f t="shared" si="26"/>
        <v>0</v>
      </c>
      <c r="BJ349" s="14" t="s">
        <v>82</v>
      </c>
      <c r="BK349" s="166">
        <f t="shared" si="27"/>
        <v>0</v>
      </c>
      <c r="BL349" s="14" t="s">
        <v>185</v>
      </c>
      <c r="BM349" s="165" t="s">
        <v>397</v>
      </c>
    </row>
    <row r="350" spans="1:65" s="209" customFormat="1" ht="12">
      <c r="A350" s="195"/>
      <c r="B350" s="196"/>
      <c r="C350" s="197"/>
      <c r="D350" s="197"/>
      <c r="E350" s="198"/>
      <c r="F350" s="184" t="s">
        <v>3043</v>
      </c>
      <c r="G350" s="185"/>
      <c r="H350" s="192">
        <f>H343</f>
        <v>1069.83</v>
      </c>
      <c r="I350" s="194"/>
      <c r="J350" s="194"/>
      <c r="K350" s="202"/>
      <c r="L350" s="203"/>
      <c r="M350" s="204"/>
      <c r="N350" s="205"/>
      <c r="O350" s="206"/>
      <c r="P350" s="207"/>
      <c r="Q350" s="207"/>
      <c r="R350" s="207"/>
      <c r="S350" s="207"/>
      <c r="T350" s="208"/>
      <c r="U350" s="195"/>
      <c r="V350" s="195"/>
      <c r="W350" s="195"/>
      <c r="X350" s="195"/>
      <c r="Y350" s="195"/>
      <c r="Z350" s="195"/>
      <c r="AA350" s="195"/>
      <c r="AB350" s="195"/>
      <c r="AC350" s="195"/>
      <c r="AD350" s="195"/>
      <c r="AE350" s="195"/>
      <c r="AR350" s="210"/>
      <c r="AT350" s="210"/>
      <c r="AU350" s="210"/>
      <c r="AY350" s="211"/>
      <c r="BE350" s="212"/>
      <c r="BF350" s="212"/>
      <c r="BG350" s="212"/>
      <c r="BH350" s="212"/>
      <c r="BI350" s="212"/>
      <c r="BJ350" s="211"/>
      <c r="BK350" s="212"/>
      <c r="BL350" s="211"/>
      <c r="BM350" s="210"/>
    </row>
    <row r="351" spans="1:65" s="209" customFormat="1" ht="12">
      <c r="A351" s="195"/>
      <c r="B351" s="196"/>
      <c r="C351" s="197"/>
      <c r="D351" s="197"/>
      <c r="E351" s="198"/>
      <c r="F351" s="187" t="s">
        <v>2983</v>
      </c>
      <c r="G351" s="188"/>
      <c r="H351" s="189">
        <f>SUM(H350:H350)</f>
        <v>1069.83</v>
      </c>
      <c r="I351" s="194"/>
      <c r="J351" s="194"/>
      <c r="K351" s="202"/>
      <c r="L351" s="203"/>
      <c r="M351" s="204"/>
      <c r="N351" s="205"/>
      <c r="O351" s="206"/>
      <c r="P351" s="207"/>
      <c r="Q351" s="207"/>
      <c r="R351" s="207"/>
      <c r="S351" s="207"/>
      <c r="T351" s="208"/>
      <c r="U351" s="195"/>
      <c r="V351" s="195"/>
      <c r="W351" s="195"/>
      <c r="X351" s="195"/>
      <c r="Y351" s="195"/>
      <c r="Z351" s="195"/>
      <c r="AA351" s="195"/>
      <c r="AB351" s="195"/>
      <c r="AC351" s="195"/>
      <c r="AD351" s="195"/>
      <c r="AE351" s="195"/>
      <c r="AR351" s="210"/>
      <c r="AT351" s="210"/>
      <c r="AU351" s="210"/>
      <c r="AY351" s="211"/>
      <c r="BE351" s="212"/>
      <c r="BF351" s="212"/>
      <c r="BG351" s="212"/>
      <c r="BH351" s="212"/>
      <c r="BI351" s="212"/>
      <c r="BJ351" s="211"/>
      <c r="BK351" s="212"/>
      <c r="BL351" s="211"/>
      <c r="BM351" s="210"/>
    </row>
    <row r="352" spans="1:65" s="2" customFormat="1" ht="16.5" customHeight="1">
      <c r="A352" s="29"/>
      <c r="B352" s="152"/>
      <c r="C352" s="153" t="s">
        <v>294</v>
      </c>
      <c r="D352" s="153" t="s">
        <v>181</v>
      </c>
      <c r="E352" s="154" t="s">
        <v>398</v>
      </c>
      <c r="F352" s="155" t="s">
        <v>399</v>
      </c>
      <c r="G352" s="156" t="s">
        <v>184</v>
      </c>
      <c r="H352" s="157">
        <v>739.2</v>
      </c>
      <c r="I352" s="158"/>
      <c r="J352" s="159">
        <v>0</v>
      </c>
      <c r="K352" s="160"/>
      <c r="L352" s="30"/>
      <c r="M352" s="161" t="s">
        <v>1</v>
      </c>
      <c r="N352" s="162" t="s">
        <v>35</v>
      </c>
      <c r="O352" s="58"/>
      <c r="P352" s="163">
        <f t="shared" si="19"/>
        <v>0</v>
      </c>
      <c r="Q352" s="163">
        <v>4.6999999999999997E-5</v>
      </c>
      <c r="R352" s="163">
        <f t="shared" si="20"/>
        <v>3.47424E-2</v>
      </c>
      <c r="S352" s="163">
        <v>0</v>
      </c>
      <c r="T352" s="164">
        <f t="shared" si="21"/>
        <v>0</v>
      </c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R352" s="165" t="s">
        <v>185</v>
      </c>
      <c r="AT352" s="165" t="s">
        <v>181</v>
      </c>
      <c r="AU352" s="165" t="s">
        <v>82</v>
      </c>
      <c r="AY352" s="14" t="s">
        <v>179</v>
      </c>
      <c r="BE352" s="166">
        <f t="shared" si="22"/>
        <v>0</v>
      </c>
      <c r="BF352" s="166">
        <f t="shared" si="23"/>
        <v>0</v>
      </c>
      <c r="BG352" s="166">
        <f t="shared" si="24"/>
        <v>0</v>
      </c>
      <c r="BH352" s="166">
        <f t="shared" si="25"/>
        <v>0</v>
      </c>
      <c r="BI352" s="166">
        <f t="shared" si="26"/>
        <v>0</v>
      </c>
      <c r="BJ352" s="14" t="s">
        <v>82</v>
      </c>
      <c r="BK352" s="166">
        <f t="shared" si="27"/>
        <v>0</v>
      </c>
      <c r="BL352" s="14" t="s">
        <v>185</v>
      </c>
      <c r="BM352" s="165" t="s">
        <v>400</v>
      </c>
    </row>
    <row r="353" spans="1:65" s="209" customFormat="1" ht="12">
      <c r="A353" s="195"/>
      <c r="B353" s="196"/>
      <c r="C353" s="197"/>
      <c r="D353" s="197"/>
      <c r="E353" s="198"/>
      <c r="F353" s="184" t="s">
        <v>3044</v>
      </c>
      <c r="G353" s="185"/>
      <c r="H353" s="192">
        <v>739.2</v>
      </c>
      <c r="I353" s="194"/>
      <c r="J353" s="194"/>
      <c r="K353" s="202"/>
      <c r="L353" s="203"/>
      <c r="M353" s="204"/>
      <c r="N353" s="205"/>
      <c r="O353" s="206"/>
      <c r="P353" s="207"/>
      <c r="Q353" s="207"/>
      <c r="R353" s="207"/>
      <c r="S353" s="207"/>
      <c r="T353" s="208"/>
      <c r="U353" s="195"/>
      <c r="V353" s="195"/>
      <c r="W353" s="195"/>
      <c r="X353" s="195"/>
      <c r="Y353" s="195"/>
      <c r="Z353" s="195"/>
      <c r="AA353" s="195"/>
      <c r="AB353" s="195"/>
      <c r="AC353" s="195"/>
      <c r="AD353" s="195"/>
      <c r="AE353" s="195"/>
      <c r="AR353" s="210"/>
      <c r="AT353" s="210"/>
      <c r="AU353" s="210"/>
      <c r="AY353" s="211"/>
      <c r="BE353" s="212"/>
      <c r="BF353" s="212"/>
      <c r="BG353" s="212"/>
      <c r="BH353" s="212"/>
      <c r="BI353" s="212"/>
      <c r="BJ353" s="211"/>
      <c r="BK353" s="212"/>
      <c r="BL353" s="211"/>
      <c r="BM353" s="210"/>
    </row>
    <row r="354" spans="1:65" s="209" customFormat="1" ht="12">
      <c r="A354" s="195"/>
      <c r="B354" s="196"/>
      <c r="C354" s="197"/>
      <c r="D354" s="197"/>
      <c r="E354" s="198"/>
      <c r="F354" s="187" t="s">
        <v>2983</v>
      </c>
      <c r="G354" s="188"/>
      <c r="H354" s="189">
        <f>SUM(H353:H353)</f>
        <v>739.2</v>
      </c>
      <c r="I354" s="194"/>
      <c r="J354" s="194"/>
      <c r="K354" s="202"/>
      <c r="L354" s="203"/>
      <c r="M354" s="204"/>
      <c r="N354" s="205"/>
      <c r="O354" s="206"/>
      <c r="P354" s="207"/>
      <c r="Q354" s="207"/>
      <c r="R354" s="207"/>
      <c r="S354" s="207"/>
      <c r="T354" s="208"/>
      <c r="U354" s="195"/>
      <c r="V354" s="195"/>
      <c r="W354" s="195"/>
      <c r="X354" s="195"/>
      <c r="Y354" s="195"/>
      <c r="Z354" s="195"/>
      <c r="AA354" s="195"/>
      <c r="AB354" s="195"/>
      <c r="AC354" s="195"/>
      <c r="AD354" s="195"/>
      <c r="AE354" s="195"/>
      <c r="AR354" s="210"/>
      <c r="AT354" s="210"/>
      <c r="AU354" s="210"/>
      <c r="AY354" s="211"/>
      <c r="BE354" s="212"/>
      <c r="BF354" s="212"/>
      <c r="BG354" s="212"/>
      <c r="BH354" s="212"/>
      <c r="BI354" s="212"/>
      <c r="BJ354" s="211"/>
      <c r="BK354" s="212"/>
      <c r="BL354" s="211"/>
      <c r="BM354" s="210"/>
    </row>
    <row r="355" spans="1:65" s="2" customFormat="1" ht="24.2" customHeight="1">
      <c r="A355" s="29"/>
      <c r="B355" s="152"/>
      <c r="C355" s="153" t="s">
        <v>401</v>
      </c>
      <c r="D355" s="153" t="s">
        <v>181</v>
      </c>
      <c r="E355" s="154" t="s">
        <v>402</v>
      </c>
      <c r="F355" s="155" t="s">
        <v>403</v>
      </c>
      <c r="G355" s="156" t="s">
        <v>184</v>
      </c>
      <c r="H355" s="157">
        <v>739.2</v>
      </c>
      <c r="I355" s="158"/>
      <c r="J355" s="159">
        <v>0</v>
      </c>
      <c r="K355" s="160"/>
      <c r="L355" s="30"/>
      <c r="M355" s="161" t="s">
        <v>1</v>
      </c>
      <c r="N355" s="162" t="s">
        <v>35</v>
      </c>
      <c r="O355" s="58"/>
      <c r="P355" s="163">
        <f t="shared" si="19"/>
        <v>0</v>
      </c>
      <c r="Q355" s="163">
        <v>7.5953530000000005E-2</v>
      </c>
      <c r="R355" s="163">
        <f t="shared" si="20"/>
        <v>56.14484937600001</v>
      </c>
      <c r="S355" s="163">
        <v>0</v>
      </c>
      <c r="T355" s="164">
        <f t="shared" si="21"/>
        <v>0</v>
      </c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R355" s="165" t="s">
        <v>185</v>
      </c>
      <c r="AT355" s="165" t="s">
        <v>181</v>
      </c>
      <c r="AU355" s="165" t="s">
        <v>82</v>
      </c>
      <c r="AY355" s="14" t="s">
        <v>179</v>
      </c>
      <c r="BE355" s="166">
        <f t="shared" si="22"/>
        <v>0</v>
      </c>
      <c r="BF355" s="166">
        <f t="shared" si="23"/>
        <v>0</v>
      </c>
      <c r="BG355" s="166">
        <f t="shared" si="24"/>
        <v>0</v>
      </c>
      <c r="BH355" s="166">
        <f t="shared" si="25"/>
        <v>0</v>
      </c>
      <c r="BI355" s="166">
        <f t="shared" si="26"/>
        <v>0</v>
      </c>
      <c r="BJ355" s="14" t="s">
        <v>82</v>
      </c>
      <c r="BK355" s="166">
        <f t="shared" si="27"/>
        <v>0</v>
      </c>
      <c r="BL355" s="14" t="s">
        <v>185</v>
      </c>
      <c r="BM355" s="165" t="s">
        <v>404</v>
      </c>
    </row>
    <row r="356" spans="1:65" s="209" customFormat="1" ht="12">
      <c r="A356" s="195"/>
      <c r="B356" s="196"/>
      <c r="C356" s="197"/>
      <c r="D356" s="197"/>
      <c r="E356" s="198"/>
      <c r="F356" s="213" t="s">
        <v>3045</v>
      </c>
      <c r="G356" s="200"/>
      <c r="H356" s="201">
        <v>739.2</v>
      </c>
      <c r="I356" s="194"/>
      <c r="J356" s="194"/>
      <c r="K356" s="202"/>
      <c r="L356" s="203"/>
      <c r="M356" s="204"/>
      <c r="N356" s="205"/>
      <c r="O356" s="206"/>
      <c r="P356" s="207"/>
      <c r="Q356" s="207"/>
      <c r="R356" s="207"/>
      <c r="S356" s="207"/>
      <c r="T356" s="208"/>
      <c r="U356" s="195"/>
      <c r="V356" s="195"/>
      <c r="W356" s="195"/>
      <c r="X356" s="195"/>
      <c r="Y356" s="195"/>
      <c r="Z356" s="195"/>
      <c r="AA356" s="195"/>
      <c r="AB356" s="195"/>
      <c r="AC356" s="195"/>
      <c r="AD356" s="195"/>
      <c r="AE356" s="195"/>
      <c r="AR356" s="210"/>
      <c r="AT356" s="210"/>
      <c r="AU356" s="210"/>
      <c r="AY356" s="211"/>
      <c r="BE356" s="212"/>
      <c r="BF356" s="212"/>
      <c r="BG356" s="212"/>
      <c r="BH356" s="212"/>
      <c r="BI356" s="212"/>
      <c r="BJ356" s="211"/>
      <c r="BK356" s="212"/>
      <c r="BL356" s="211"/>
      <c r="BM356" s="210"/>
    </row>
    <row r="357" spans="1:65" s="209" customFormat="1" ht="12">
      <c r="A357" s="195"/>
      <c r="B357" s="196"/>
      <c r="C357" s="197"/>
      <c r="D357" s="197"/>
      <c r="E357" s="198"/>
      <c r="F357" s="215" t="s">
        <v>2983</v>
      </c>
      <c r="G357" s="216"/>
      <c r="H357" s="217">
        <f>SUM(H356:H356)</f>
        <v>739.2</v>
      </c>
      <c r="I357" s="194"/>
      <c r="J357" s="194"/>
      <c r="K357" s="202"/>
      <c r="L357" s="203"/>
      <c r="M357" s="204"/>
      <c r="N357" s="205"/>
      <c r="O357" s="206"/>
      <c r="P357" s="207"/>
      <c r="Q357" s="207"/>
      <c r="R357" s="207"/>
      <c r="S357" s="207"/>
      <c r="T357" s="208"/>
      <c r="U357" s="195"/>
      <c r="V357" s="195"/>
      <c r="W357" s="195"/>
      <c r="X357" s="195"/>
      <c r="Y357" s="195"/>
      <c r="Z357" s="195"/>
      <c r="AA357" s="195"/>
      <c r="AB357" s="195"/>
      <c r="AC357" s="195"/>
      <c r="AD357" s="195"/>
      <c r="AE357" s="195"/>
      <c r="AR357" s="210"/>
      <c r="AT357" s="210"/>
      <c r="AU357" s="210"/>
      <c r="AY357" s="211"/>
      <c r="BE357" s="212"/>
      <c r="BF357" s="212"/>
      <c r="BG357" s="212"/>
      <c r="BH357" s="212"/>
      <c r="BI357" s="212"/>
      <c r="BJ357" s="211"/>
      <c r="BK357" s="212"/>
      <c r="BL357" s="211"/>
      <c r="BM357" s="210"/>
    </row>
    <row r="358" spans="1:65" s="2" customFormat="1" ht="44.25" customHeight="1">
      <c r="A358" s="29"/>
      <c r="B358" s="152"/>
      <c r="C358" s="153" t="s">
        <v>298</v>
      </c>
      <c r="D358" s="153" t="s">
        <v>181</v>
      </c>
      <c r="E358" s="154" t="s">
        <v>405</v>
      </c>
      <c r="F358" s="155" t="s">
        <v>406</v>
      </c>
      <c r="G358" s="156" t="s">
        <v>196</v>
      </c>
      <c r="H358" s="157">
        <v>12.72</v>
      </c>
      <c r="I358" s="158"/>
      <c r="J358" s="159">
        <v>0</v>
      </c>
      <c r="K358" s="160"/>
      <c r="L358" s="30"/>
      <c r="M358" s="161" t="s">
        <v>1</v>
      </c>
      <c r="N358" s="162" t="s">
        <v>35</v>
      </c>
      <c r="O358" s="58"/>
      <c r="P358" s="163">
        <f t="shared" si="19"/>
        <v>0</v>
      </c>
      <c r="Q358" s="163">
        <v>0</v>
      </c>
      <c r="R358" s="163">
        <f t="shared" si="20"/>
        <v>0</v>
      </c>
      <c r="S358" s="163">
        <v>2.4</v>
      </c>
      <c r="T358" s="164">
        <f t="shared" si="21"/>
        <v>30.527999999999999</v>
      </c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R358" s="165" t="s">
        <v>185</v>
      </c>
      <c r="AT358" s="165" t="s">
        <v>181</v>
      </c>
      <c r="AU358" s="165" t="s">
        <v>82</v>
      </c>
      <c r="AY358" s="14" t="s">
        <v>179</v>
      </c>
      <c r="BE358" s="166">
        <f t="shared" si="22"/>
        <v>0</v>
      </c>
      <c r="BF358" s="166">
        <f t="shared" si="23"/>
        <v>0</v>
      </c>
      <c r="BG358" s="166">
        <f t="shared" si="24"/>
        <v>0</v>
      </c>
      <c r="BH358" s="166">
        <f t="shared" si="25"/>
        <v>0</v>
      </c>
      <c r="BI358" s="166">
        <f t="shared" si="26"/>
        <v>0</v>
      </c>
      <c r="BJ358" s="14" t="s">
        <v>82</v>
      </c>
      <c r="BK358" s="166">
        <f t="shared" si="27"/>
        <v>0</v>
      </c>
      <c r="BL358" s="14" t="s">
        <v>185</v>
      </c>
      <c r="BM358" s="165" t="s">
        <v>407</v>
      </c>
    </row>
    <row r="359" spans="1:65" s="209" customFormat="1" ht="22.5">
      <c r="A359" s="195"/>
      <c r="B359" s="196"/>
      <c r="C359" s="197"/>
      <c r="D359" s="197"/>
      <c r="E359" s="198"/>
      <c r="F359" s="213" t="s">
        <v>3046</v>
      </c>
      <c r="G359" s="200"/>
      <c r="H359" s="214">
        <f>ROUND(3.4*0.04,2)</f>
        <v>0.14000000000000001</v>
      </c>
      <c r="I359" s="194"/>
      <c r="J359" s="194"/>
      <c r="K359" s="202"/>
      <c r="L359" s="203"/>
      <c r="M359" s="204"/>
      <c r="N359" s="205"/>
      <c r="O359" s="206"/>
      <c r="P359" s="207"/>
      <c r="Q359" s="207"/>
      <c r="R359" s="207"/>
      <c r="S359" s="207"/>
      <c r="T359" s="208"/>
      <c r="U359" s="195"/>
      <c r="V359" s="195"/>
      <c r="W359" s="195"/>
      <c r="X359" s="195"/>
      <c r="Y359" s="195"/>
      <c r="Z359" s="195"/>
      <c r="AA359" s="195"/>
      <c r="AB359" s="195"/>
      <c r="AC359" s="195"/>
      <c r="AD359" s="195"/>
      <c r="AE359" s="195"/>
      <c r="AR359" s="210"/>
      <c r="AT359" s="210"/>
      <c r="AU359" s="210"/>
      <c r="AY359" s="211"/>
      <c r="BE359" s="212"/>
      <c r="BF359" s="212"/>
      <c r="BG359" s="212"/>
      <c r="BH359" s="212"/>
      <c r="BI359" s="212"/>
      <c r="BJ359" s="211"/>
      <c r="BK359" s="212"/>
      <c r="BL359" s="211"/>
      <c r="BM359" s="210"/>
    </row>
    <row r="360" spans="1:65" s="209" customFormat="1" ht="22.5">
      <c r="A360" s="195"/>
      <c r="B360" s="196"/>
      <c r="C360" s="197"/>
      <c r="D360" s="197"/>
      <c r="E360" s="198"/>
      <c r="F360" s="213" t="s">
        <v>3047</v>
      </c>
      <c r="G360" s="200"/>
      <c r="H360" s="214">
        <f>ROUND(1.15*1.2*0.3*2,2)</f>
        <v>0.83</v>
      </c>
      <c r="I360" s="194"/>
      <c r="J360" s="194"/>
      <c r="K360" s="202"/>
      <c r="L360" s="203"/>
      <c r="M360" s="204"/>
      <c r="N360" s="205"/>
      <c r="O360" s="206"/>
      <c r="P360" s="207"/>
      <c r="Q360" s="207"/>
      <c r="R360" s="207"/>
      <c r="S360" s="207"/>
      <c r="T360" s="208"/>
      <c r="U360" s="195"/>
      <c r="V360" s="195"/>
      <c r="W360" s="195"/>
      <c r="X360" s="195"/>
      <c r="Y360" s="195"/>
      <c r="Z360" s="195"/>
      <c r="AA360" s="195"/>
      <c r="AB360" s="195"/>
      <c r="AC360" s="195"/>
      <c r="AD360" s="195"/>
      <c r="AE360" s="195"/>
      <c r="AR360" s="210"/>
      <c r="AT360" s="210"/>
      <c r="AU360" s="210"/>
      <c r="AY360" s="211"/>
      <c r="BE360" s="212"/>
      <c r="BF360" s="212"/>
      <c r="BG360" s="212"/>
      <c r="BH360" s="212"/>
      <c r="BI360" s="212"/>
      <c r="BJ360" s="211"/>
      <c r="BK360" s="212"/>
      <c r="BL360" s="211"/>
      <c r="BM360" s="210"/>
    </row>
    <row r="361" spans="1:65" s="209" customFormat="1" ht="22.5">
      <c r="A361" s="195"/>
      <c r="B361" s="196"/>
      <c r="C361" s="197"/>
      <c r="D361" s="197"/>
      <c r="E361" s="198"/>
      <c r="F361" s="213" t="s">
        <v>3048</v>
      </c>
      <c r="G361" s="200"/>
      <c r="H361" s="214">
        <f>ROUND(2.65*1*0.12,2)</f>
        <v>0.32</v>
      </c>
      <c r="I361" s="194"/>
      <c r="J361" s="194"/>
      <c r="K361" s="202"/>
      <c r="L361" s="203"/>
      <c r="M361" s="204"/>
      <c r="N361" s="205"/>
      <c r="O361" s="206"/>
      <c r="P361" s="207"/>
      <c r="Q361" s="207"/>
      <c r="R361" s="207"/>
      <c r="S361" s="207"/>
      <c r="T361" s="208"/>
      <c r="U361" s="195"/>
      <c r="V361" s="195"/>
      <c r="W361" s="195"/>
      <c r="X361" s="195"/>
      <c r="Y361" s="195"/>
      <c r="Z361" s="195"/>
      <c r="AA361" s="195"/>
      <c r="AB361" s="195"/>
      <c r="AC361" s="195"/>
      <c r="AD361" s="195"/>
      <c r="AE361" s="195"/>
      <c r="AR361" s="210"/>
      <c r="AT361" s="210"/>
      <c r="AU361" s="210"/>
      <c r="AY361" s="211"/>
      <c r="BE361" s="212"/>
      <c r="BF361" s="212"/>
      <c r="BG361" s="212"/>
      <c r="BH361" s="212"/>
      <c r="BI361" s="212"/>
      <c r="BJ361" s="211"/>
      <c r="BK361" s="212"/>
      <c r="BL361" s="211"/>
      <c r="BM361" s="210"/>
    </row>
    <row r="362" spans="1:65" s="209" customFormat="1" ht="22.5">
      <c r="A362" s="195"/>
      <c r="B362" s="196"/>
      <c r="C362" s="197"/>
      <c r="D362" s="197"/>
      <c r="E362" s="198"/>
      <c r="F362" s="213" t="s">
        <v>3049</v>
      </c>
      <c r="G362" s="200"/>
      <c r="H362" s="214">
        <f>ROUND(0.44*0.44*0.1*2,2)</f>
        <v>0.04</v>
      </c>
      <c r="I362" s="194"/>
      <c r="J362" s="194"/>
      <c r="K362" s="202"/>
      <c r="L362" s="203"/>
      <c r="M362" s="204"/>
      <c r="N362" s="205"/>
      <c r="O362" s="206"/>
      <c r="P362" s="207"/>
      <c r="Q362" s="207"/>
      <c r="R362" s="207"/>
      <c r="S362" s="207"/>
      <c r="T362" s="208"/>
      <c r="U362" s="195"/>
      <c r="V362" s="195"/>
      <c r="W362" s="195"/>
      <c r="X362" s="195"/>
      <c r="Y362" s="195"/>
      <c r="Z362" s="195"/>
      <c r="AA362" s="195"/>
      <c r="AB362" s="195"/>
      <c r="AC362" s="195"/>
      <c r="AD362" s="195"/>
      <c r="AE362" s="195"/>
      <c r="AR362" s="210"/>
      <c r="AT362" s="210"/>
      <c r="AU362" s="210"/>
      <c r="AY362" s="211"/>
      <c r="BE362" s="212"/>
      <c r="BF362" s="212"/>
      <c r="BG362" s="212"/>
      <c r="BH362" s="212"/>
      <c r="BI362" s="212"/>
      <c r="BJ362" s="211"/>
      <c r="BK362" s="212"/>
      <c r="BL362" s="211"/>
      <c r="BM362" s="210"/>
    </row>
    <row r="363" spans="1:65" s="209" customFormat="1" ht="22.5">
      <c r="A363" s="195"/>
      <c r="B363" s="196"/>
      <c r="C363" s="197"/>
      <c r="D363" s="197"/>
      <c r="E363" s="198"/>
      <c r="F363" s="213" t="s">
        <v>3050</v>
      </c>
      <c r="G363" s="200"/>
      <c r="H363" s="214">
        <f>ROUND(1*0.9*0.1,2)</f>
        <v>0.09</v>
      </c>
      <c r="I363" s="194"/>
      <c r="J363" s="194"/>
      <c r="K363" s="202"/>
      <c r="L363" s="203"/>
      <c r="M363" s="204"/>
      <c r="N363" s="205"/>
      <c r="O363" s="206"/>
      <c r="P363" s="207"/>
      <c r="Q363" s="207"/>
      <c r="R363" s="207"/>
      <c r="S363" s="207"/>
      <c r="T363" s="208"/>
      <c r="U363" s="195"/>
      <c r="V363" s="195"/>
      <c r="W363" s="195"/>
      <c r="X363" s="195"/>
      <c r="Y363" s="195"/>
      <c r="Z363" s="195"/>
      <c r="AA363" s="195"/>
      <c r="AB363" s="195"/>
      <c r="AC363" s="195"/>
      <c r="AD363" s="195"/>
      <c r="AE363" s="195"/>
      <c r="AR363" s="210"/>
      <c r="AT363" s="210"/>
      <c r="AU363" s="210"/>
      <c r="AY363" s="211"/>
      <c r="BE363" s="212"/>
      <c r="BF363" s="212"/>
      <c r="BG363" s="212"/>
      <c r="BH363" s="212"/>
      <c r="BI363" s="212"/>
      <c r="BJ363" s="211"/>
      <c r="BK363" s="212"/>
      <c r="BL363" s="211"/>
      <c r="BM363" s="210"/>
    </row>
    <row r="364" spans="1:65" s="209" customFormat="1" ht="22.5">
      <c r="A364" s="195"/>
      <c r="B364" s="196"/>
      <c r="C364" s="197"/>
      <c r="D364" s="197"/>
      <c r="E364" s="198"/>
      <c r="F364" s="213" t="s">
        <v>3051</v>
      </c>
      <c r="G364" s="200"/>
      <c r="H364" s="214">
        <f>ROUND((3.5*0.3+10.56*0.415+1*0.8)*0.15,2)</f>
        <v>0.93</v>
      </c>
      <c r="I364" s="194"/>
      <c r="J364" s="194"/>
      <c r="K364" s="202"/>
      <c r="L364" s="203"/>
      <c r="M364" s="204"/>
      <c r="N364" s="205"/>
      <c r="O364" s="206"/>
      <c r="P364" s="207"/>
      <c r="Q364" s="207"/>
      <c r="R364" s="207"/>
      <c r="S364" s="207"/>
      <c r="T364" s="208"/>
      <c r="U364" s="195"/>
      <c r="V364" s="195"/>
      <c r="W364" s="195"/>
      <c r="X364" s="195"/>
      <c r="Y364" s="195"/>
      <c r="Z364" s="195"/>
      <c r="AA364" s="195"/>
      <c r="AB364" s="195"/>
      <c r="AC364" s="195"/>
      <c r="AD364" s="195"/>
      <c r="AE364" s="195"/>
      <c r="AR364" s="210"/>
      <c r="AT364" s="210"/>
      <c r="AU364" s="210"/>
      <c r="AY364" s="211"/>
      <c r="BE364" s="212"/>
      <c r="BF364" s="212"/>
      <c r="BG364" s="212"/>
      <c r="BH364" s="212"/>
      <c r="BI364" s="212"/>
      <c r="BJ364" s="211"/>
      <c r="BK364" s="212"/>
      <c r="BL364" s="211"/>
      <c r="BM364" s="210"/>
    </row>
    <row r="365" spans="1:65" s="209" customFormat="1" ht="22.5">
      <c r="A365" s="195"/>
      <c r="B365" s="196"/>
      <c r="C365" s="197"/>
      <c r="D365" s="197"/>
      <c r="E365" s="198"/>
      <c r="F365" s="213" t="s">
        <v>3052</v>
      </c>
      <c r="G365" s="200"/>
      <c r="H365" s="214">
        <f>ROUND(1.35*0.6*0.1*3,2)</f>
        <v>0.24</v>
      </c>
      <c r="I365" s="194"/>
      <c r="J365" s="194"/>
      <c r="K365" s="202"/>
      <c r="L365" s="203"/>
      <c r="M365" s="204"/>
      <c r="N365" s="205"/>
      <c r="O365" s="206"/>
      <c r="P365" s="207"/>
      <c r="Q365" s="207"/>
      <c r="R365" s="207"/>
      <c r="S365" s="207"/>
      <c r="T365" s="208"/>
      <c r="U365" s="195"/>
      <c r="V365" s="195"/>
      <c r="W365" s="195"/>
      <c r="X365" s="195"/>
      <c r="Y365" s="195"/>
      <c r="Z365" s="195"/>
      <c r="AA365" s="195"/>
      <c r="AB365" s="195"/>
      <c r="AC365" s="195"/>
      <c r="AD365" s="195"/>
      <c r="AE365" s="195"/>
      <c r="AR365" s="210"/>
      <c r="AT365" s="210"/>
      <c r="AU365" s="210"/>
      <c r="AY365" s="211"/>
      <c r="BE365" s="212"/>
      <c r="BF365" s="212"/>
      <c r="BG365" s="212"/>
      <c r="BH365" s="212"/>
      <c r="BI365" s="212"/>
      <c r="BJ365" s="211"/>
      <c r="BK365" s="212"/>
      <c r="BL365" s="211"/>
      <c r="BM365" s="210"/>
    </row>
    <row r="366" spans="1:65" s="209" customFormat="1" ht="22.5">
      <c r="A366" s="195"/>
      <c r="B366" s="196"/>
      <c r="C366" s="197"/>
      <c r="D366" s="197"/>
      <c r="E366" s="198"/>
      <c r="F366" s="213" t="s">
        <v>3053</v>
      </c>
      <c r="G366" s="200"/>
      <c r="H366" s="214">
        <f>ROUND(2.7*0.6*0.1*2,2)</f>
        <v>0.32</v>
      </c>
      <c r="I366" s="194"/>
      <c r="J366" s="194"/>
      <c r="K366" s="202"/>
      <c r="L366" s="203"/>
      <c r="M366" s="204"/>
      <c r="N366" s="205"/>
      <c r="O366" s="206"/>
      <c r="P366" s="207"/>
      <c r="Q366" s="207"/>
      <c r="R366" s="207"/>
      <c r="S366" s="207"/>
      <c r="T366" s="208"/>
      <c r="U366" s="195"/>
      <c r="V366" s="195"/>
      <c r="W366" s="195"/>
      <c r="X366" s="195"/>
      <c r="Y366" s="195"/>
      <c r="Z366" s="195"/>
      <c r="AA366" s="195"/>
      <c r="AB366" s="195"/>
      <c r="AC366" s="195"/>
      <c r="AD366" s="195"/>
      <c r="AE366" s="195"/>
      <c r="AR366" s="210"/>
      <c r="AT366" s="210"/>
      <c r="AU366" s="210"/>
      <c r="AY366" s="211"/>
      <c r="BE366" s="212"/>
      <c r="BF366" s="212"/>
      <c r="BG366" s="212"/>
      <c r="BH366" s="212"/>
      <c r="BI366" s="212"/>
      <c r="BJ366" s="211"/>
      <c r="BK366" s="212"/>
      <c r="BL366" s="211"/>
      <c r="BM366" s="210"/>
    </row>
    <row r="367" spans="1:65" s="209" customFormat="1" ht="22.5">
      <c r="A367" s="195"/>
      <c r="B367" s="196"/>
      <c r="C367" s="197"/>
      <c r="D367" s="197"/>
      <c r="E367" s="198"/>
      <c r="F367" s="213" t="s">
        <v>3054</v>
      </c>
      <c r="G367" s="200"/>
      <c r="H367" s="214">
        <f>ROUND(3.55*2.02*0.53*2,2)</f>
        <v>7.6</v>
      </c>
      <c r="I367" s="194"/>
      <c r="J367" s="194"/>
      <c r="K367" s="202"/>
      <c r="L367" s="203"/>
      <c r="M367" s="204"/>
      <c r="N367" s="205"/>
      <c r="O367" s="206"/>
      <c r="P367" s="207"/>
      <c r="Q367" s="207"/>
      <c r="R367" s="207"/>
      <c r="S367" s="207"/>
      <c r="T367" s="208"/>
      <c r="U367" s="195"/>
      <c r="V367" s="195"/>
      <c r="W367" s="195"/>
      <c r="X367" s="195"/>
      <c r="Y367" s="195"/>
      <c r="Z367" s="195"/>
      <c r="AA367" s="195"/>
      <c r="AB367" s="195"/>
      <c r="AC367" s="195"/>
      <c r="AD367" s="195"/>
      <c r="AE367" s="195"/>
      <c r="AR367" s="210"/>
      <c r="AT367" s="210"/>
      <c r="AU367" s="210"/>
      <c r="AY367" s="211"/>
      <c r="BE367" s="212"/>
      <c r="BF367" s="212"/>
      <c r="BG367" s="212"/>
      <c r="BH367" s="212"/>
      <c r="BI367" s="212"/>
      <c r="BJ367" s="211"/>
      <c r="BK367" s="212"/>
      <c r="BL367" s="211"/>
      <c r="BM367" s="210"/>
    </row>
    <row r="368" spans="1:65" s="209" customFormat="1" ht="22.5">
      <c r="A368" s="195"/>
      <c r="B368" s="196"/>
      <c r="C368" s="197"/>
      <c r="D368" s="197"/>
      <c r="E368" s="198"/>
      <c r="F368" s="213" t="s">
        <v>3055</v>
      </c>
      <c r="G368" s="200"/>
      <c r="H368" s="214">
        <f>ROUND(2.87*1.45*0.53,2)</f>
        <v>2.21</v>
      </c>
      <c r="I368" s="194"/>
      <c r="J368" s="194"/>
      <c r="K368" s="202"/>
      <c r="L368" s="203"/>
      <c r="M368" s="204"/>
      <c r="N368" s="205"/>
      <c r="O368" s="206"/>
      <c r="P368" s="207"/>
      <c r="Q368" s="207"/>
      <c r="R368" s="207"/>
      <c r="S368" s="207"/>
      <c r="T368" s="208"/>
      <c r="U368" s="195"/>
      <c r="V368" s="195"/>
      <c r="W368" s="195"/>
      <c r="X368" s="195"/>
      <c r="Y368" s="195"/>
      <c r="Z368" s="195"/>
      <c r="AA368" s="195"/>
      <c r="AB368" s="195"/>
      <c r="AC368" s="195"/>
      <c r="AD368" s="195"/>
      <c r="AE368" s="195"/>
      <c r="AR368" s="210"/>
      <c r="AT368" s="210"/>
      <c r="AU368" s="210"/>
      <c r="AY368" s="211"/>
      <c r="BE368" s="212"/>
      <c r="BF368" s="212"/>
      <c r="BG368" s="212"/>
      <c r="BH368" s="212"/>
      <c r="BI368" s="212"/>
      <c r="BJ368" s="211"/>
      <c r="BK368" s="212"/>
      <c r="BL368" s="211"/>
      <c r="BM368" s="210"/>
    </row>
    <row r="369" spans="1:65" s="209" customFormat="1" ht="12">
      <c r="A369" s="195"/>
      <c r="B369" s="196"/>
      <c r="C369" s="197"/>
      <c r="D369" s="197"/>
      <c r="E369" s="198"/>
      <c r="F369" s="215" t="s">
        <v>2983</v>
      </c>
      <c r="G369" s="216"/>
      <c r="H369" s="217">
        <f>SUM(H359:H368)</f>
        <v>12.719999999999999</v>
      </c>
      <c r="I369" s="194"/>
      <c r="J369" s="194"/>
      <c r="K369" s="202"/>
      <c r="L369" s="203"/>
      <c r="M369" s="204"/>
      <c r="N369" s="205"/>
      <c r="O369" s="206"/>
      <c r="P369" s="207"/>
      <c r="Q369" s="207"/>
      <c r="R369" s="207"/>
      <c r="S369" s="207"/>
      <c r="T369" s="208"/>
      <c r="U369" s="195"/>
      <c r="V369" s="195"/>
      <c r="W369" s="195"/>
      <c r="X369" s="195"/>
      <c r="Y369" s="195"/>
      <c r="Z369" s="195"/>
      <c r="AA369" s="195"/>
      <c r="AB369" s="195"/>
      <c r="AC369" s="195"/>
      <c r="AD369" s="195"/>
      <c r="AE369" s="195"/>
      <c r="AR369" s="210"/>
      <c r="AT369" s="210"/>
      <c r="AU369" s="210"/>
      <c r="AY369" s="211"/>
      <c r="BE369" s="212"/>
      <c r="BF369" s="212"/>
      <c r="BG369" s="212"/>
      <c r="BH369" s="212"/>
      <c r="BI369" s="212"/>
      <c r="BJ369" s="211"/>
      <c r="BK369" s="212"/>
      <c r="BL369" s="211"/>
      <c r="BM369" s="210"/>
    </row>
    <row r="370" spans="1:65" s="2" customFormat="1" ht="37.9" customHeight="1">
      <c r="A370" s="29"/>
      <c r="B370" s="152"/>
      <c r="C370" s="153" t="s">
        <v>408</v>
      </c>
      <c r="D370" s="153" t="s">
        <v>181</v>
      </c>
      <c r="E370" s="154" t="s">
        <v>409</v>
      </c>
      <c r="F370" s="155" t="s">
        <v>410</v>
      </c>
      <c r="G370" s="156" t="s">
        <v>184</v>
      </c>
      <c r="H370" s="157">
        <v>233.4</v>
      </c>
      <c r="I370" s="158"/>
      <c r="J370" s="159">
        <v>0</v>
      </c>
      <c r="K370" s="160"/>
      <c r="L370" s="30"/>
      <c r="M370" s="161" t="s">
        <v>1</v>
      </c>
      <c r="N370" s="162" t="s">
        <v>35</v>
      </c>
      <c r="O370" s="58"/>
      <c r="P370" s="163">
        <f t="shared" si="19"/>
        <v>0</v>
      </c>
      <c r="Q370" s="163">
        <v>0</v>
      </c>
      <c r="R370" s="163">
        <f t="shared" si="20"/>
        <v>0</v>
      </c>
      <c r="S370" s="163">
        <v>0</v>
      </c>
      <c r="T370" s="164">
        <f t="shared" si="21"/>
        <v>0</v>
      </c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R370" s="165" t="s">
        <v>185</v>
      </c>
      <c r="AT370" s="165" t="s">
        <v>181</v>
      </c>
      <c r="AU370" s="165" t="s">
        <v>82</v>
      </c>
      <c r="AY370" s="14" t="s">
        <v>179</v>
      </c>
      <c r="BE370" s="166">
        <f t="shared" si="22"/>
        <v>0</v>
      </c>
      <c r="BF370" s="166">
        <f t="shared" si="23"/>
        <v>0</v>
      </c>
      <c r="BG370" s="166">
        <f t="shared" si="24"/>
        <v>0</v>
      </c>
      <c r="BH370" s="166">
        <f t="shared" si="25"/>
        <v>0</v>
      </c>
      <c r="BI370" s="166">
        <f t="shared" si="26"/>
        <v>0</v>
      </c>
      <c r="BJ370" s="14" t="s">
        <v>82</v>
      </c>
      <c r="BK370" s="166">
        <f t="shared" si="27"/>
        <v>0</v>
      </c>
      <c r="BL370" s="14" t="s">
        <v>185</v>
      </c>
      <c r="BM370" s="165" t="s">
        <v>411</v>
      </c>
    </row>
    <row r="371" spans="1:65" s="209" customFormat="1" ht="22.5">
      <c r="A371" s="195"/>
      <c r="B371" s="196"/>
      <c r="C371" s="197"/>
      <c r="D371" s="197"/>
      <c r="E371" s="198"/>
      <c r="F371" s="184" t="s">
        <v>3056</v>
      </c>
      <c r="G371" s="185"/>
      <c r="H371" s="186">
        <f>ROUND(1/2*(0.6+2.1)*6,2)</f>
        <v>8.1</v>
      </c>
      <c r="I371" s="194"/>
      <c r="J371" s="194"/>
      <c r="K371" s="202"/>
      <c r="L371" s="203"/>
      <c r="M371" s="204"/>
      <c r="N371" s="205"/>
      <c r="O371" s="206"/>
      <c r="P371" s="207"/>
      <c r="Q371" s="207"/>
      <c r="R371" s="207"/>
      <c r="S371" s="207"/>
      <c r="T371" s="208"/>
      <c r="U371" s="195"/>
      <c r="V371" s="195"/>
      <c r="W371" s="195"/>
      <c r="X371" s="195"/>
      <c r="Y371" s="195"/>
      <c r="Z371" s="195"/>
      <c r="AA371" s="195"/>
      <c r="AB371" s="195"/>
      <c r="AC371" s="195"/>
      <c r="AD371" s="195"/>
      <c r="AE371" s="195"/>
      <c r="AR371" s="210"/>
      <c r="AT371" s="210"/>
      <c r="AU371" s="210"/>
      <c r="AY371" s="211"/>
      <c r="BE371" s="212"/>
      <c r="BF371" s="212"/>
      <c r="BG371" s="212"/>
      <c r="BH371" s="212"/>
      <c r="BI371" s="212"/>
      <c r="BJ371" s="211"/>
      <c r="BK371" s="212"/>
      <c r="BL371" s="211"/>
      <c r="BM371" s="210"/>
    </row>
    <row r="372" spans="1:65" s="209" customFormat="1" ht="33.75">
      <c r="A372" s="195"/>
      <c r="B372" s="196"/>
      <c r="C372" s="197"/>
      <c r="D372" s="197"/>
      <c r="E372" s="198"/>
      <c r="F372" s="184" t="s">
        <v>3057</v>
      </c>
      <c r="G372" s="185"/>
      <c r="H372" s="186">
        <f>ROUND(1.1*0.48+0.18*2+0.19*0.25,2)</f>
        <v>0.94</v>
      </c>
      <c r="I372" s="194"/>
      <c r="J372" s="194"/>
      <c r="K372" s="202"/>
      <c r="L372" s="203"/>
      <c r="M372" s="204"/>
      <c r="N372" s="205"/>
      <c r="O372" s="206"/>
      <c r="P372" s="207"/>
      <c r="Q372" s="207"/>
      <c r="R372" s="207"/>
      <c r="S372" s="207"/>
      <c r="T372" s="208"/>
      <c r="U372" s="195"/>
      <c r="V372" s="195"/>
      <c r="W372" s="195"/>
      <c r="X372" s="195"/>
      <c r="Y372" s="195"/>
      <c r="Z372" s="195"/>
      <c r="AA372" s="195"/>
      <c r="AB372" s="195"/>
      <c r="AC372" s="195"/>
      <c r="AD372" s="195"/>
      <c r="AE372" s="195"/>
      <c r="AR372" s="210"/>
      <c r="AT372" s="210"/>
      <c r="AU372" s="210"/>
      <c r="AY372" s="211"/>
      <c r="BE372" s="212"/>
      <c r="BF372" s="212"/>
      <c r="BG372" s="212"/>
      <c r="BH372" s="212"/>
      <c r="BI372" s="212"/>
      <c r="BJ372" s="211"/>
      <c r="BK372" s="212"/>
      <c r="BL372" s="211"/>
      <c r="BM372" s="210"/>
    </row>
    <row r="373" spans="1:65" s="209" customFormat="1" ht="56.25">
      <c r="A373" s="195"/>
      <c r="B373" s="196"/>
      <c r="C373" s="197"/>
      <c r="D373" s="197"/>
      <c r="E373" s="198"/>
      <c r="F373" s="184" t="s">
        <v>3058</v>
      </c>
      <c r="G373" s="185"/>
      <c r="H373" s="186">
        <f>ROUND((0.355+1.04+5.95+1.15+0.85+1.55+18.15+4.35+3.13+1.84+0.1+6.79+6.2+7.2)*4.21-(0.6*1.97+2*0.8*1.97+5*0.9*1.97+3*1.1*1.97+2.4*1.2),2)</f>
        <v>224.36</v>
      </c>
      <c r="I373" s="194"/>
      <c r="J373" s="194"/>
      <c r="K373" s="202"/>
      <c r="L373" s="203"/>
      <c r="M373" s="204"/>
      <c r="N373" s="205"/>
      <c r="O373" s="206"/>
      <c r="P373" s="207"/>
      <c r="Q373" s="207"/>
      <c r="R373" s="207"/>
      <c r="S373" s="207"/>
      <c r="T373" s="208"/>
      <c r="U373" s="195"/>
      <c r="V373" s="195"/>
      <c r="W373" s="195"/>
      <c r="X373" s="195"/>
      <c r="Y373" s="195"/>
      <c r="Z373" s="195"/>
      <c r="AA373" s="195"/>
      <c r="AB373" s="195"/>
      <c r="AC373" s="195"/>
      <c r="AD373" s="195"/>
      <c r="AE373" s="195"/>
      <c r="AR373" s="210"/>
      <c r="AT373" s="210"/>
      <c r="AU373" s="210"/>
      <c r="AY373" s="211"/>
      <c r="BE373" s="212"/>
      <c r="BF373" s="212"/>
      <c r="BG373" s="212"/>
      <c r="BH373" s="212"/>
      <c r="BI373" s="212"/>
      <c r="BJ373" s="211"/>
      <c r="BK373" s="212"/>
      <c r="BL373" s="211"/>
      <c r="BM373" s="210"/>
    </row>
    <row r="374" spans="1:65" s="209" customFormat="1" ht="12">
      <c r="A374" s="195"/>
      <c r="B374" s="196"/>
      <c r="C374" s="197"/>
      <c r="D374" s="197"/>
      <c r="E374" s="198"/>
      <c r="F374" s="187" t="s">
        <v>2983</v>
      </c>
      <c r="G374" s="188"/>
      <c r="H374" s="189">
        <f>SUM(H371:H373)</f>
        <v>233.4</v>
      </c>
      <c r="I374" s="194"/>
      <c r="J374" s="194"/>
      <c r="K374" s="202"/>
      <c r="L374" s="203"/>
      <c r="M374" s="204"/>
      <c r="N374" s="205"/>
      <c r="O374" s="206"/>
      <c r="P374" s="207"/>
      <c r="Q374" s="207"/>
      <c r="R374" s="207"/>
      <c r="S374" s="207"/>
      <c r="T374" s="208"/>
      <c r="U374" s="195"/>
      <c r="V374" s="195"/>
      <c r="W374" s="195"/>
      <c r="X374" s="195"/>
      <c r="Y374" s="195"/>
      <c r="Z374" s="195"/>
      <c r="AA374" s="195"/>
      <c r="AB374" s="195"/>
      <c r="AC374" s="195"/>
      <c r="AD374" s="195"/>
      <c r="AE374" s="195"/>
      <c r="AR374" s="210"/>
      <c r="AT374" s="210"/>
      <c r="AU374" s="210"/>
      <c r="AY374" s="211"/>
      <c r="BE374" s="212"/>
      <c r="BF374" s="212"/>
      <c r="BG374" s="212"/>
      <c r="BH374" s="212"/>
      <c r="BI374" s="212"/>
      <c r="BJ374" s="211"/>
      <c r="BK374" s="212"/>
      <c r="BL374" s="211"/>
      <c r="BM374" s="210"/>
    </row>
    <row r="375" spans="1:65" s="2" customFormat="1" ht="44.25" customHeight="1">
      <c r="A375" s="29"/>
      <c r="B375" s="152"/>
      <c r="C375" s="153" t="s">
        <v>301</v>
      </c>
      <c r="D375" s="153" t="s">
        <v>181</v>
      </c>
      <c r="E375" s="154" t="s">
        <v>412</v>
      </c>
      <c r="F375" s="155" t="s">
        <v>413</v>
      </c>
      <c r="G375" s="156" t="s">
        <v>196</v>
      </c>
      <c r="H375" s="157">
        <v>3.86</v>
      </c>
      <c r="I375" s="158"/>
      <c r="J375" s="159">
        <v>0</v>
      </c>
      <c r="K375" s="160"/>
      <c r="L375" s="30"/>
      <c r="M375" s="161" t="s">
        <v>1</v>
      </c>
      <c r="N375" s="162" t="s">
        <v>35</v>
      </c>
      <c r="O375" s="58"/>
      <c r="P375" s="163">
        <f t="shared" si="19"/>
        <v>0</v>
      </c>
      <c r="Q375" s="163">
        <v>0</v>
      </c>
      <c r="R375" s="163">
        <f t="shared" si="20"/>
        <v>0</v>
      </c>
      <c r="S375" s="163">
        <v>1.8</v>
      </c>
      <c r="T375" s="164">
        <f t="shared" si="21"/>
        <v>6.9479999999999995</v>
      </c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R375" s="165" t="s">
        <v>185</v>
      </c>
      <c r="AT375" s="165" t="s">
        <v>181</v>
      </c>
      <c r="AU375" s="165" t="s">
        <v>82</v>
      </c>
      <c r="AY375" s="14" t="s">
        <v>179</v>
      </c>
      <c r="BE375" s="166">
        <f t="shared" si="22"/>
        <v>0</v>
      </c>
      <c r="BF375" s="166">
        <f t="shared" si="23"/>
        <v>0</v>
      </c>
      <c r="BG375" s="166">
        <f t="shared" si="24"/>
        <v>0</v>
      </c>
      <c r="BH375" s="166">
        <f t="shared" si="25"/>
        <v>0</v>
      </c>
      <c r="BI375" s="166">
        <f t="shared" si="26"/>
        <v>0</v>
      </c>
      <c r="BJ375" s="14" t="s">
        <v>82</v>
      </c>
      <c r="BK375" s="166">
        <f t="shared" si="27"/>
        <v>0</v>
      </c>
      <c r="BL375" s="14" t="s">
        <v>185</v>
      </c>
      <c r="BM375" s="165" t="s">
        <v>414</v>
      </c>
    </row>
    <row r="376" spans="1:65" s="209" customFormat="1" ht="22.5">
      <c r="A376" s="195"/>
      <c r="B376" s="196"/>
      <c r="C376" s="197"/>
      <c r="D376" s="197"/>
      <c r="E376" s="198"/>
      <c r="F376" s="184" t="s">
        <v>3059</v>
      </c>
      <c r="G376" s="185"/>
      <c r="H376" s="186">
        <f>ROUND((2.12+1.55)*4.21*0.25,2)</f>
        <v>3.86</v>
      </c>
      <c r="I376" s="194"/>
      <c r="J376" s="194"/>
      <c r="K376" s="202"/>
      <c r="L376" s="203"/>
      <c r="M376" s="204"/>
      <c r="N376" s="205"/>
      <c r="O376" s="206"/>
      <c r="P376" s="207"/>
      <c r="Q376" s="207"/>
      <c r="R376" s="207"/>
      <c r="S376" s="207"/>
      <c r="T376" s="208"/>
      <c r="U376" s="195"/>
      <c r="V376" s="195"/>
      <c r="W376" s="195"/>
      <c r="X376" s="195"/>
      <c r="Y376" s="195"/>
      <c r="Z376" s="195"/>
      <c r="AA376" s="195"/>
      <c r="AB376" s="195"/>
      <c r="AC376" s="195"/>
      <c r="AD376" s="195"/>
      <c r="AE376" s="195"/>
      <c r="AR376" s="210"/>
      <c r="AT376" s="210"/>
      <c r="AU376" s="210"/>
      <c r="AY376" s="211"/>
      <c r="BE376" s="212"/>
      <c r="BF376" s="212"/>
      <c r="BG376" s="212"/>
      <c r="BH376" s="212"/>
      <c r="BI376" s="212"/>
      <c r="BJ376" s="211"/>
      <c r="BK376" s="212"/>
      <c r="BL376" s="211"/>
      <c r="BM376" s="210"/>
    </row>
    <row r="377" spans="1:65" s="209" customFormat="1" ht="12">
      <c r="A377" s="195"/>
      <c r="B377" s="196"/>
      <c r="C377" s="197"/>
      <c r="D377" s="197"/>
      <c r="E377" s="198"/>
      <c r="F377" s="187" t="s">
        <v>2983</v>
      </c>
      <c r="G377" s="188"/>
      <c r="H377" s="189">
        <f>SUM(H376:H376)</f>
        <v>3.86</v>
      </c>
      <c r="I377" s="194"/>
      <c r="J377" s="194"/>
      <c r="K377" s="202"/>
      <c r="L377" s="203"/>
      <c r="M377" s="204"/>
      <c r="N377" s="205"/>
      <c r="O377" s="206"/>
      <c r="P377" s="207"/>
      <c r="Q377" s="207"/>
      <c r="R377" s="207"/>
      <c r="S377" s="207"/>
      <c r="T377" s="208"/>
      <c r="U377" s="195"/>
      <c r="V377" s="195"/>
      <c r="W377" s="195"/>
      <c r="X377" s="195"/>
      <c r="Y377" s="195"/>
      <c r="Z377" s="195"/>
      <c r="AA377" s="195"/>
      <c r="AB377" s="195"/>
      <c r="AC377" s="195"/>
      <c r="AD377" s="195"/>
      <c r="AE377" s="195"/>
      <c r="AR377" s="210"/>
      <c r="AT377" s="210"/>
      <c r="AU377" s="210"/>
      <c r="AY377" s="211"/>
      <c r="BE377" s="212"/>
      <c r="BF377" s="212"/>
      <c r="BG377" s="212"/>
      <c r="BH377" s="212"/>
      <c r="BI377" s="212"/>
      <c r="BJ377" s="211"/>
      <c r="BK377" s="212"/>
      <c r="BL377" s="211"/>
      <c r="BM377" s="210"/>
    </row>
    <row r="378" spans="1:65" s="2" customFormat="1" ht="33" customHeight="1">
      <c r="A378" s="29"/>
      <c r="B378" s="152"/>
      <c r="C378" s="153" t="s">
        <v>415</v>
      </c>
      <c r="D378" s="153" t="s">
        <v>181</v>
      </c>
      <c r="E378" s="154" t="s">
        <v>416</v>
      </c>
      <c r="F378" s="155" t="s">
        <v>417</v>
      </c>
      <c r="G378" s="156" t="s">
        <v>196</v>
      </c>
      <c r="H378" s="157">
        <v>0.13</v>
      </c>
      <c r="I378" s="158"/>
      <c r="J378" s="159">
        <v>0</v>
      </c>
      <c r="K378" s="160"/>
      <c r="L378" s="30"/>
      <c r="M378" s="161" t="s">
        <v>1</v>
      </c>
      <c r="N378" s="162" t="s">
        <v>35</v>
      </c>
      <c r="O378" s="58"/>
      <c r="P378" s="163">
        <f t="shared" si="19"/>
        <v>0</v>
      </c>
      <c r="Q378" s="163">
        <v>0</v>
      </c>
      <c r="R378" s="163">
        <f t="shared" si="20"/>
        <v>0</v>
      </c>
      <c r="S378" s="163">
        <v>2.2000000000000002</v>
      </c>
      <c r="T378" s="164">
        <f t="shared" si="21"/>
        <v>0.28600000000000003</v>
      </c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R378" s="165" t="s">
        <v>185</v>
      </c>
      <c r="AT378" s="165" t="s">
        <v>181</v>
      </c>
      <c r="AU378" s="165" t="s">
        <v>82</v>
      </c>
      <c r="AY378" s="14" t="s">
        <v>179</v>
      </c>
      <c r="BE378" s="166">
        <f t="shared" si="22"/>
        <v>0</v>
      </c>
      <c r="BF378" s="166">
        <f t="shared" si="23"/>
        <v>0</v>
      </c>
      <c r="BG378" s="166">
        <f t="shared" si="24"/>
        <v>0</v>
      </c>
      <c r="BH378" s="166">
        <f t="shared" si="25"/>
        <v>0</v>
      </c>
      <c r="BI378" s="166">
        <f t="shared" si="26"/>
        <v>0</v>
      </c>
      <c r="BJ378" s="14" t="s">
        <v>82</v>
      </c>
      <c r="BK378" s="166">
        <f t="shared" si="27"/>
        <v>0</v>
      </c>
      <c r="BL378" s="14" t="s">
        <v>185</v>
      </c>
      <c r="BM378" s="165" t="s">
        <v>418</v>
      </c>
    </row>
    <row r="379" spans="1:65" s="209" customFormat="1" ht="22.5">
      <c r="A379" s="195"/>
      <c r="B379" s="196"/>
      <c r="C379" s="197"/>
      <c r="D379" s="197"/>
      <c r="E379" s="198"/>
      <c r="F379" s="213" t="s">
        <v>3060</v>
      </c>
      <c r="G379" s="200"/>
      <c r="H379" s="214">
        <f>ROUND(2*2*(0.845+2.19)*0.06*0.08,2)</f>
        <v>0.06</v>
      </c>
      <c r="I379" s="194"/>
      <c r="J379" s="194"/>
      <c r="K379" s="202"/>
      <c r="L379" s="203"/>
      <c r="M379" s="204"/>
      <c r="N379" s="205"/>
      <c r="O379" s="206"/>
      <c r="P379" s="207"/>
      <c r="Q379" s="207"/>
      <c r="R379" s="207"/>
      <c r="S379" s="207"/>
      <c r="T379" s="208"/>
      <c r="U379" s="195"/>
      <c r="V379" s="195"/>
      <c r="W379" s="195"/>
      <c r="X379" s="195"/>
      <c r="Y379" s="195"/>
      <c r="Z379" s="195"/>
      <c r="AA379" s="195"/>
      <c r="AB379" s="195"/>
      <c r="AC379" s="195"/>
      <c r="AD379" s="195"/>
      <c r="AE379" s="195"/>
      <c r="AR379" s="210"/>
      <c r="AT379" s="210"/>
      <c r="AU379" s="210"/>
      <c r="AY379" s="211"/>
      <c r="BE379" s="212"/>
      <c r="BF379" s="212"/>
      <c r="BG379" s="212"/>
      <c r="BH379" s="212"/>
      <c r="BI379" s="212"/>
      <c r="BJ379" s="211"/>
      <c r="BK379" s="212"/>
      <c r="BL379" s="211"/>
      <c r="BM379" s="210"/>
    </row>
    <row r="380" spans="1:65" s="209" customFormat="1" ht="22.5">
      <c r="A380" s="195"/>
      <c r="B380" s="196"/>
      <c r="C380" s="197"/>
      <c r="D380" s="197"/>
      <c r="E380" s="198"/>
      <c r="F380" s="213" t="s">
        <v>3061</v>
      </c>
      <c r="G380" s="200"/>
      <c r="H380" s="214">
        <f>ROUND(1*2*(1.035+2.19)*0.06*0.08,2)</f>
        <v>0.03</v>
      </c>
      <c r="I380" s="194"/>
      <c r="J380" s="194"/>
      <c r="K380" s="202"/>
      <c r="L380" s="203"/>
      <c r="M380" s="204"/>
      <c r="N380" s="205"/>
      <c r="O380" s="206"/>
      <c r="P380" s="207"/>
      <c r="Q380" s="207"/>
      <c r="R380" s="207"/>
      <c r="S380" s="207"/>
      <c r="T380" s="208"/>
      <c r="U380" s="195"/>
      <c r="V380" s="195"/>
      <c r="W380" s="195"/>
      <c r="X380" s="195"/>
      <c r="Y380" s="195"/>
      <c r="Z380" s="195"/>
      <c r="AA380" s="195"/>
      <c r="AB380" s="195"/>
      <c r="AC380" s="195"/>
      <c r="AD380" s="195"/>
      <c r="AE380" s="195"/>
      <c r="AR380" s="210"/>
      <c r="AT380" s="210"/>
      <c r="AU380" s="210"/>
      <c r="AY380" s="211"/>
      <c r="BE380" s="212"/>
      <c r="BF380" s="212"/>
      <c r="BG380" s="212"/>
      <c r="BH380" s="212"/>
      <c r="BI380" s="212"/>
      <c r="BJ380" s="211"/>
      <c r="BK380" s="212"/>
      <c r="BL380" s="211"/>
      <c r="BM380" s="210"/>
    </row>
    <row r="381" spans="1:65" s="209" customFormat="1" ht="22.5">
      <c r="A381" s="195"/>
      <c r="B381" s="196"/>
      <c r="C381" s="197"/>
      <c r="D381" s="197"/>
      <c r="E381" s="198"/>
      <c r="F381" s="213" t="s">
        <v>3062</v>
      </c>
      <c r="G381" s="200"/>
      <c r="H381" s="214">
        <f>ROUND(2*0.95*0.06*0.08,2)</f>
        <v>0.01</v>
      </c>
      <c r="I381" s="194"/>
      <c r="J381" s="194"/>
      <c r="K381" s="202"/>
      <c r="L381" s="203"/>
      <c r="M381" s="204"/>
      <c r="N381" s="205"/>
      <c r="O381" s="206"/>
      <c r="P381" s="207"/>
      <c r="Q381" s="207"/>
      <c r="R381" s="207"/>
      <c r="S381" s="207"/>
      <c r="T381" s="208"/>
      <c r="U381" s="195"/>
      <c r="V381" s="195"/>
      <c r="W381" s="195"/>
      <c r="X381" s="195"/>
      <c r="Y381" s="195"/>
      <c r="Z381" s="195"/>
      <c r="AA381" s="195"/>
      <c r="AB381" s="195"/>
      <c r="AC381" s="195"/>
      <c r="AD381" s="195"/>
      <c r="AE381" s="195"/>
      <c r="AR381" s="210"/>
      <c r="AT381" s="210"/>
      <c r="AU381" s="210"/>
      <c r="AY381" s="211"/>
      <c r="BE381" s="212"/>
      <c r="BF381" s="212"/>
      <c r="BG381" s="212"/>
      <c r="BH381" s="212"/>
      <c r="BI381" s="212"/>
      <c r="BJ381" s="211"/>
      <c r="BK381" s="212"/>
      <c r="BL381" s="211"/>
      <c r="BM381" s="210"/>
    </row>
    <row r="382" spans="1:65" s="209" customFormat="1" ht="22.5">
      <c r="A382" s="195"/>
      <c r="B382" s="196"/>
      <c r="C382" s="197"/>
      <c r="D382" s="197"/>
      <c r="E382" s="198"/>
      <c r="F382" s="213" t="s">
        <v>3063</v>
      </c>
      <c r="G382" s="200"/>
      <c r="H382" s="214">
        <f>ROUND(2*(2.4+1.2)*0.06*0.08,2)</f>
        <v>0.03</v>
      </c>
      <c r="I382" s="194"/>
      <c r="J382" s="194"/>
      <c r="K382" s="202"/>
      <c r="L382" s="203"/>
      <c r="M382" s="204"/>
      <c r="N382" s="205"/>
      <c r="O382" s="206"/>
      <c r="P382" s="207"/>
      <c r="Q382" s="207"/>
      <c r="R382" s="207"/>
      <c r="S382" s="207"/>
      <c r="T382" s="208"/>
      <c r="U382" s="195"/>
      <c r="V382" s="195"/>
      <c r="W382" s="195"/>
      <c r="X382" s="195"/>
      <c r="Y382" s="195"/>
      <c r="Z382" s="195"/>
      <c r="AA382" s="195"/>
      <c r="AB382" s="195"/>
      <c r="AC382" s="195"/>
      <c r="AD382" s="195"/>
      <c r="AE382" s="195"/>
      <c r="AR382" s="210"/>
      <c r="AT382" s="210"/>
      <c r="AU382" s="210"/>
      <c r="AY382" s="211"/>
      <c r="BE382" s="212"/>
      <c r="BF382" s="212"/>
      <c r="BG382" s="212"/>
      <c r="BH382" s="212"/>
      <c r="BI382" s="212"/>
      <c r="BJ382" s="211"/>
      <c r="BK382" s="212"/>
      <c r="BL382" s="211"/>
      <c r="BM382" s="210"/>
    </row>
    <row r="383" spans="1:65" s="209" customFormat="1" ht="12">
      <c r="A383" s="195"/>
      <c r="B383" s="196"/>
      <c r="C383" s="197"/>
      <c r="D383" s="197"/>
      <c r="E383" s="198"/>
      <c r="F383" s="215" t="s">
        <v>2983</v>
      </c>
      <c r="G383" s="216"/>
      <c r="H383" s="217">
        <f>SUM(H379:H382)</f>
        <v>0.13</v>
      </c>
      <c r="I383" s="194"/>
      <c r="J383" s="194"/>
      <c r="K383" s="202"/>
      <c r="L383" s="203"/>
      <c r="M383" s="204"/>
      <c r="N383" s="205"/>
      <c r="O383" s="206"/>
      <c r="P383" s="207"/>
      <c r="Q383" s="207"/>
      <c r="R383" s="207"/>
      <c r="S383" s="207"/>
      <c r="T383" s="208"/>
      <c r="U383" s="195"/>
      <c r="V383" s="195"/>
      <c r="W383" s="195"/>
      <c r="X383" s="195"/>
      <c r="Y383" s="195"/>
      <c r="Z383" s="195"/>
      <c r="AA383" s="195"/>
      <c r="AB383" s="195"/>
      <c r="AC383" s="195"/>
      <c r="AD383" s="195"/>
      <c r="AE383" s="195"/>
      <c r="AR383" s="210"/>
      <c r="AT383" s="210"/>
      <c r="AU383" s="210"/>
      <c r="AY383" s="211"/>
      <c r="BE383" s="212"/>
      <c r="BF383" s="212"/>
      <c r="BG383" s="212"/>
      <c r="BH383" s="212"/>
      <c r="BI383" s="212"/>
      <c r="BJ383" s="211"/>
      <c r="BK383" s="212"/>
      <c r="BL383" s="211"/>
      <c r="BM383" s="210"/>
    </row>
    <row r="384" spans="1:65" s="2" customFormat="1" ht="24.2" customHeight="1">
      <c r="A384" s="29"/>
      <c r="B384" s="152"/>
      <c r="C384" s="153" t="s">
        <v>305</v>
      </c>
      <c r="D384" s="153" t="s">
        <v>181</v>
      </c>
      <c r="E384" s="154" t="s">
        <v>419</v>
      </c>
      <c r="F384" s="155" t="s">
        <v>420</v>
      </c>
      <c r="G384" s="156" t="s">
        <v>184</v>
      </c>
      <c r="H384" s="157">
        <v>10.050000000000001</v>
      </c>
      <c r="I384" s="158"/>
      <c r="J384" s="159">
        <v>0</v>
      </c>
      <c r="K384" s="160"/>
      <c r="L384" s="30"/>
      <c r="M384" s="161" t="s">
        <v>1</v>
      </c>
      <c r="N384" s="162" t="s">
        <v>35</v>
      </c>
      <c r="O384" s="58"/>
      <c r="P384" s="163">
        <f t="shared" si="19"/>
        <v>0</v>
      </c>
      <c r="Q384" s="163">
        <v>0</v>
      </c>
      <c r="R384" s="163">
        <f t="shared" si="20"/>
        <v>0</v>
      </c>
      <c r="S384" s="163">
        <v>8.2000000000000003E-2</v>
      </c>
      <c r="T384" s="164">
        <f t="shared" si="21"/>
        <v>0.82410000000000005</v>
      </c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R384" s="165" t="s">
        <v>185</v>
      </c>
      <c r="AT384" s="165" t="s">
        <v>181</v>
      </c>
      <c r="AU384" s="165" t="s">
        <v>82</v>
      </c>
      <c r="AY384" s="14" t="s">
        <v>179</v>
      </c>
      <c r="BE384" s="166">
        <f t="shared" si="22"/>
        <v>0</v>
      </c>
      <c r="BF384" s="166">
        <f t="shared" si="23"/>
        <v>0</v>
      </c>
      <c r="BG384" s="166">
        <f t="shared" si="24"/>
        <v>0</v>
      </c>
      <c r="BH384" s="166">
        <f t="shared" si="25"/>
        <v>0</v>
      </c>
      <c r="BI384" s="166">
        <f t="shared" si="26"/>
        <v>0</v>
      </c>
      <c r="BJ384" s="14" t="s">
        <v>82</v>
      </c>
      <c r="BK384" s="166">
        <f t="shared" si="27"/>
        <v>0</v>
      </c>
      <c r="BL384" s="14" t="s">
        <v>185</v>
      </c>
      <c r="BM384" s="165" t="s">
        <v>421</v>
      </c>
    </row>
    <row r="385" spans="1:65" s="209" customFormat="1" ht="12">
      <c r="A385" s="195"/>
      <c r="B385" s="196"/>
      <c r="C385" s="197"/>
      <c r="D385" s="197"/>
      <c r="E385" s="198"/>
      <c r="F385" s="213" t="s">
        <v>3064</v>
      </c>
      <c r="G385" s="200"/>
      <c r="H385" s="214">
        <f>ROUND(0.725*2.19*2,2)</f>
        <v>3.18</v>
      </c>
      <c r="I385" s="194"/>
      <c r="J385" s="194"/>
      <c r="K385" s="202"/>
      <c r="L385" s="203"/>
      <c r="M385" s="204"/>
      <c r="N385" s="205"/>
      <c r="O385" s="206"/>
      <c r="P385" s="207"/>
      <c r="Q385" s="207"/>
      <c r="R385" s="207"/>
      <c r="S385" s="207"/>
      <c r="T385" s="208"/>
      <c r="U385" s="195"/>
      <c r="V385" s="195"/>
      <c r="W385" s="195"/>
      <c r="X385" s="195"/>
      <c r="Y385" s="195"/>
      <c r="Z385" s="195"/>
      <c r="AA385" s="195"/>
      <c r="AB385" s="195"/>
      <c r="AC385" s="195"/>
      <c r="AD385" s="195"/>
      <c r="AE385" s="195"/>
      <c r="AR385" s="210"/>
      <c r="AT385" s="210"/>
      <c r="AU385" s="210"/>
      <c r="AY385" s="211"/>
      <c r="BE385" s="212"/>
      <c r="BF385" s="212"/>
      <c r="BG385" s="212"/>
      <c r="BH385" s="212"/>
      <c r="BI385" s="212"/>
      <c r="BJ385" s="211"/>
      <c r="BK385" s="212"/>
      <c r="BL385" s="211"/>
      <c r="BM385" s="210"/>
    </row>
    <row r="386" spans="1:65" s="209" customFormat="1" ht="12">
      <c r="A386" s="195"/>
      <c r="B386" s="196"/>
      <c r="C386" s="197"/>
      <c r="D386" s="197"/>
      <c r="E386" s="198"/>
      <c r="F386" s="213" t="s">
        <v>3065</v>
      </c>
      <c r="G386" s="200"/>
      <c r="H386" s="214">
        <f>ROUND(0.915*2.19*1,2)</f>
        <v>2</v>
      </c>
      <c r="I386" s="194"/>
      <c r="J386" s="194"/>
      <c r="K386" s="202"/>
      <c r="L386" s="203"/>
      <c r="M386" s="204"/>
      <c r="N386" s="205"/>
      <c r="O386" s="206"/>
      <c r="P386" s="207"/>
      <c r="Q386" s="207"/>
      <c r="R386" s="207"/>
      <c r="S386" s="207"/>
      <c r="T386" s="208"/>
      <c r="U386" s="195"/>
      <c r="V386" s="195"/>
      <c r="W386" s="195"/>
      <c r="X386" s="195"/>
      <c r="Y386" s="195"/>
      <c r="Z386" s="195"/>
      <c r="AA386" s="195"/>
      <c r="AB386" s="195"/>
      <c r="AC386" s="195"/>
      <c r="AD386" s="195"/>
      <c r="AE386" s="195"/>
      <c r="AR386" s="210"/>
      <c r="AT386" s="210"/>
      <c r="AU386" s="210"/>
      <c r="AY386" s="211"/>
      <c r="BE386" s="212"/>
      <c r="BF386" s="212"/>
      <c r="BG386" s="212"/>
      <c r="BH386" s="212"/>
      <c r="BI386" s="212"/>
      <c r="BJ386" s="211"/>
      <c r="BK386" s="212"/>
      <c r="BL386" s="211"/>
      <c r="BM386" s="210"/>
    </row>
    <row r="387" spans="1:65" s="209" customFormat="1" ht="12">
      <c r="A387" s="195"/>
      <c r="B387" s="196"/>
      <c r="C387" s="197"/>
      <c r="D387" s="197"/>
      <c r="E387" s="198"/>
      <c r="F387" s="213" t="s">
        <v>3066</v>
      </c>
      <c r="G387" s="200"/>
      <c r="H387" s="214">
        <f>ROUND(2.09*0.95*1,2)</f>
        <v>1.99</v>
      </c>
      <c r="I387" s="194"/>
      <c r="J387" s="194"/>
      <c r="K387" s="202"/>
      <c r="L387" s="203"/>
      <c r="M387" s="204"/>
      <c r="N387" s="205"/>
      <c r="O387" s="206"/>
      <c r="P387" s="207"/>
      <c r="Q387" s="207"/>
      <c r="R387" s="207"/>
      <c r="S387" s="207"/>
      <c r="T387" s="208"/>
      <c r="U387" s="195"/>
      <c r="V387" s="195"/>
      <c r="W387" s="195"/>
      <c r="X387" s="195"/>
      <c r="Y387" s="195"/>
      <c r="Z387" s="195"/>
      <c r="AA387" s="195"/>
      <c r="AB387" s="195"/>
      <c r="AC387" s="195"/>
      <c r="AD387" s="195"/>
      <c r="AE387" s="195"/>
      <c r="AR387" s="210"/>
      <c r="AT387" s="210"/>
      <c r="AU387" s="210"/>
      <c r="AY387" s="211"/>
      <c r="BE387" s="212"/>
      <c r="BF387" s="212"/>
      <c r="BG387" s="212"/>
      <c r="BH387" s="212"/>
      <c r="BI387" s="212"/>
      <c r="BJ387" s="211"/>
      <c r="BK387" s="212"/>
      <c r="BL387" s="211"/>
      <c r="BM387" s="210"/>
    </row>
    <row r="388" spans="1:65" s="209" customFormat="1" ht="12">
      <c r="A388" s="195"/>
      <c r="B388" s="196"/>
      <c r="C388" s="197"/>
      <c r="D388" s="197"/>
      <c r="E388" s="198"/>
      <c r="F388" s="213" t="s">
        <v>3067</v>
      </c>
      <c r="G388" s="200"/>
      <c r="H388" s="214">
        <f>ROUND(2.4*1.2*1,2)</f>
        <v>2.88</v>
      </c>
      <c r="I388" s="194"/>
      <c r="J388" s="194"/>
      <c r="K388" s="202"/>
      <c r="L388" s="203"/>
      <c r="M388" s="204"/>
      <c r="N388" s="205"/>
      <c r="O388" s="206"/>
      <c r="P388" s="207"/>
      <c r="Q388" s="207"/>
      <c r="R388" s="207"/>
      <c r="S388" s="207"/>
      <c r="T388" s="208"/>
      <c r="U388" s="195"/>
      <c r="V388" s="195"/>
      <c r="W388" s="195"/>
      <c r="X388" s="195"/>
      <c r="Y388" s="195"/>
      <c r="Z388" s="195"/>
      <c r="AA388" s="195"/>
      <c r="AB388" s="195"/>
      <c r="AC388" s="195"/>
      <c r="AD388" s="195"/>
      <c r="AE388" s="195"/>
      <c r="AR388" s="210"/>
      <c r="AT388" s="210"/>
      <c r="AU388" s="210"/>
      <c r="AY388" s="211"/>
      <c r="BE388" s="212"/>
      <c r="BF388" s="212"/>
      <c r="BG388" s="212"/>
      <c r="BH388" s="212"/>
      <c r="BI388" s="212"/>
      <c r="BJ388" s="211"/>
      <c r="BK388" s="212"/>
      <c r="BL388" s="211"/>
      <c r="BM388" s="210"/>
    </row>
    <row r="389" spans="1:65" s="209" customFormat="1" ht="12">
      <c r="A389" s="195"/>
      <c r="B389" s="196"/>
      <c r="C389" s="197"/>
      <c r="D389" s="197"/>
      <c r="E389" s="198"/>
      <c r="F389" s="215" t="s">
        <v>2983</v>
      </c>
      <c r="G389" s="216"/>
      <c r="H389" s="217">
        <f>SUM(H385:H388)</f>
        <v>10.050000000000001</v>
      </c>
      <c r="I389" s="194"/>
      <c r="J389" s="194"/>
      <c r="K389" s="202"/>
      <c r="L389" s="203"/>
      <c r="M389" s="204"/>
      <c r="N389" s="205"/>
      <c r="O389" s="206"/>
      <c r="P389" s="207"/>
      <c r="Q389" s="207"/>
      <c r="R389" s="207"/>
      <c r="S389" s="207"/>
      <c r="T389" s="208"/>
      <c r="U389" s="195"/>
      <c r="V389" s="195"/>
      <c r="W389" s="195"/>
      <c r="X389" s="195"/>
      <c r="Y389" s="195"/>
      <c r="Z389" s="195"/>
      <c r="AA389" s="195"/>
      <c r="AB389" s="195"/>
      <c r="AC389" s="195"/>
      <c r="AD389" s="195"/>
      <c r="AE389" s="195"/>
      <c r="AR389" s="210"/>
      <c r="AT389" s="210"/>
      <c r="AU389" s="210"/>
      <c r="AY389" s="211"/>
      <c r="BE389" s="212"/>
      <c r="BF389" s="212"/>
      <c r="BG389" s="212"/>
      <c r="BH389" s="212"/>
      <c r="BI389" s="212"/>
      <c r="BJ389" s="211"/>
      <c r="BK389" s="212"/>
      <c r="BL389" s="211"/>
      <c r="BM389" s="210"/>
    </row>
    <row r="390" spans="1:65" s="2" customFormat="1" ht="24.2" customHeight="1">
      <c r="A390" s="29"/>
      <c r="B390" s="152"/>
      <c r="C390" s="153" t="s">
        <v>422</v>
      </c>
      <c r="D390" s="153" t="s">
        <v>181</v>
      </c>
      <c r="E390" s="154" t="s">
        <v>423</v>
      </c>
      <c r="F390" s="155" t="s">
        <v>424</v>
      </c>
      <c r="G390" s="156" t="s">
        <v>217</v>
      </c>
      <c r="H390" s="157">
        <v>3</v>
      </c>
      <c r="I390" s="158"/>
      <c r="J390" s="159">
        <v>0</v>
      </c>
      <c r="K390" s="160"/>
      <c r="L390" s="30"/>
      <c r="M390" s="161" t="s">
        <v>1</v>
      </c>
      <c r="N390" s="162" t="s">
        <v>35</v>
      </c>
      <c r="O390" s="58"/>
      <c r="P390" s="163">
        <f t="shared" si="19"/>
        <v>0</v>
      </c>
      <c r="Q390" s="163">
        <v>0</v>
      </c>
      <c r="R390" s="163">
        <f t="shared" si="20"/>
        <v>0</v>
      </c>
      <c r="S390" s="163">
        <v>2.4E-2</v>
      </c>
      <c r="T390" s="164">
        <f t="shared" si="21"/>
        <v>7.2000000000000008E-2</v>
      </c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R390" s="165" t="s">
        <v>185</v>
      </c>
      <c r="AT390" s="165" t="s">
        <v>181</v>
      </c>
      <c r="AU390" s="165" t="s">
        <v>82</v>
      </c>
      <c r="AY390" s="14" t="s">
        <v>179</v>
      </c>
      <c r="BE390" s="166">
        <f t="shared" si="22"/>
        <v>0</v>
      </c>
      <c r="BF390" s="166">
        <f t="shared" si="23"/>
        <v>0</v>
      </c>
      <c r="BG390" s="166">
        <f t="shared" si="24"/>
        <v>0</v>
      </c>
      <c r="BH390" s="166">
        <f t="shared" si="25"/>
        <v>0</v>
      </c>
      <c r="BI390" s="166">
        <f t="shared" si="26"/>
        <v>0</v>
      </c>
      <c r="BJ390" s="14" t="s">
        <v>82</v>
      </c>
      <c r="BK390" s="166">
        <f t="shared" si="27"/>
        <v>0</v>
      </c>
      <c r="BL390" s="14" t="s">
        <v>185</v>
      </c>
      <c r="BM390" s="165" t="s">
        <v>425</v>
      </c>
    </row>
    <row r="391" spans="1:65" s="209" customFormat="1" ht="12">
      <c r="A391" s="195"/>
      <c r="B391" s="196"/>
      <c r="C391" s="197"/>
      <c r="D391" s="197"/>
      <c r="E391" s="198"/>
      <c r="F391" s="213" t="s">
        <v>3068</v>
      </c>
      <c r="G391" s="200"/>
      <c r="H391" s="201">
        <v>3</v>
      </c>
      <c r="I391" s="194"/>
      <c r="J391" s="194"/>
      <c r="K391" s="202"/>
      <c r="L391" s="203"/>
      <c r="M391" s="204"/>
      <c r="N391" s="205"/>
      <c r="O391" s="206"/>
      <c r="P391" s="207"/>
      <c r="Q391" s="207"/>
      <c r="R391" s="207"/>
      <c r="S391" s="207"/>
      <c r="T391" s="208"/>
      <c r="U391" s="195"/>
      <c r="V391" s="195"/>
      <c r="W391" s="195"/>
      <c r="X391" s="195"/>
      <c r="Y391" s="195"/>
      <c r="Z391" s="195"/>
      <c r="AA391" s="195"/>
      <c r="AB391" s="195"/>
      <c r="AC391" s="195"/>
      <c r="AD391" s="195"/>
      <c r="AE391" s="195"/>
      <c r="AR391" s="210"/>
      <c r="AT391" s="210"/>
      <c r="AU391" s="210"/>
      <c r="AY391" s="211"/>
      <c r="BE391" s="212"/>
      <c r="BF391" s="212"/>
      <c r="BG391" s="212"/>
      <c r="BH391" s="212"/>
      <c r="BI391" s="212"/>
      <c r="BJ391" s="211"/>
      <c r="BK391" s="212"/>
      <c r="BL391" s="211"/>
      <c r="BM391" s="210"/>
    </row>
    <row r="392" spans="1:65" s="209" customFormat="1" ht="12">
      <c r="A392" s="195"/>
      <c r="B392" s="196"/>
      <c r="C392" s="197"/>
      <c r="D392" s="197"/>
      <c r="E392" s="198"/>
      <c r="F392" s="215" t="s">
        <v>2983</v>
      </c>
      <c r="G392" s="216"/>
      <c r="H392" s="217">
        <f>SUM(H391:H391)</f>
        <v>3</v>
      </c>
      <c r="I392" s="194"/>
      <c r="J392" s="194"/>
      <c r="K392" s="202"/>
      <c r="L392" s="203"/>
      <c r="M392" s="204"/>
      <c r="N392" s="205"/>
      <c r="O392" s="206"/>
      <c r="P392" s="207"/>
      <c r="Q392" s="207"/>
      <c r="R392" s="207"/>
      <c r="S392" s="207"/>
      <c r="T392" s="208"/>
      <c r="U392" s="195"/>
      <c r="V392" s="195"/>
      <c r="W392" s="195"/>
      <c r="X392" s="195"/>
      <c r="Y392" s="195"/>
      <c r="Z392" s="195"/>
      <c r="AA392" s="195"/>
      <c r="AB392" s="195"/>
      <c r="AC392" s="195"/>
      <c r="AD392" s="195"/>
      <c r="AE392" s="195"/>
      <c r="AR392" s="210"/>
      <c r="AT392" s="210"/>
      <c r="AU392" s="210"/>
      <c r="AY392" s="211"/>
      <c r="BE392" s="212"/>
      <c r="BF392" s="212"/>
      <c r="BG392" s="212"/>
      <c r="BH392" s="212"/>
      <c r="BI392" s="212"/>
      <c r="BJ392" s="211"/>
      <c r="BK392" s="212"/>
      <c r="BL392" s="211"/>
      <c r="BM392" s="210"/>
    </row>
    <row r="393" spans="1:65" s="2" customFormat="1" ht="24.2" customHeight="1">
      <c r="A393" s="29"/>
      <c r="B393" s="152"/>
      <c r="C393" s="153" t="s">
        <v>308</v>
      </c>
      <c r="D393" s="153" t="s">
        <v>181</v>
      </c>
      <c r="E393" s="154" t="s">
        <v>426</v>
      </c>
      <c r="F393" s="155" t="s">
        <v>427</v>
      </c>
      <c r="G393" s="156" t="s">
        <v>217</v>
      </c>
      <c r="H393" s="157">
        <v>11</v>
      </c>
      <c r="I393" s="158"/>
      <c r="J393" s="159">
        <v>0</v>
      </c>
      <c r="K393" s="160"/>
      <c r="L393" s="30"/>
      <c r="M393" s="161" t="s">
        <v>1</v>
      </c>
      <c r="N393" s="162" t="s">
        <v>35</v>
      </c>
      <c r="O393" s="58"/>
      <c r="P393" s="163">
        <f t="shared" si="19"/>
        <v>0</v>
      </c>
      <c r="Q393" s="163">
        <v>0</v>
      </c>
      <c r="R393" s="163">
        <f t="shared" si="20"/>
        <v>0</v>
      </c>
      <c r="S393" s="163">
        <v>0.03</v>
      </c>
      <c r="T393" s="164">
        <f t="shared" si="21"/>
        <v>0.32999999999999996</v>
      </c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R393" s="165" t="s">
        <v>185</v>
      </c>
      <c r="AT393" s="165" t="s">
        <v>181</v>
      </c>
      <c r="AU393" s="165" t="s">
        <v>82</v>
      </c>
      <c r="AY393" s="14" t="s">
        <v>179</v>
      </c>
      <c r="BE393" s="166">
        <f t="shared" si="22"/>
        <v>0</v>
      </c>
      <c r="BF393" s="166">
        <f t="shared" si="23"/>
        <v>0</v>
      </c>
      <c r="BG393" s="166">
        <f t="shared" si="24"/>
        <v>0</v>
      </c>
      <c r="BH393" s="166">
        <f t="shared" si="25"/>
        <v>0</v>
      </c>
      <c r="BI393" s="166">
        <f t="shared" si="26"/>
        <v>0</v>
      </c>
      <c r="BJ393" s="14" t="s">
        <v>82</v>
      </c>
      <c r="BK393" s="166">
        <f t="shared" si="27"/>
        <v>0</v>
      </c>
      <c r="BL393" s="14" t="s">
        <v>185</v>
      </c>
      <c r="BM393" s="165" t="s">
        <v>428</v>
      </c>
    </row>
    <row r="394" spans="1:65" s="209" customFormat="1" ht="12">
      <c r="A394" s="195"/>
      <c r="B394" s="196"/>
      <c r="C394" s="197"/>
      <c r="D394" s="197"/>
      <c r="E394" s="198"/>
      <c r="F394" s="213" t="s">
        <v>3069</v>
      </c>
      <c r="G394" s="200"/>
      <c r="H394" s="201">
        <v>2</v>
      </c>
      <c r="I394" s="194"/>
      <c r="J394" s="194"/>
      <c r="K394" s="202"/>
      <c r="L394" s="203"/>
      <c r="M394" s="204"/>
      <c r="N394" s="205"/>
      <c r="O394" s="206"/>
      <c r="P394" s="207"/>
      <c r="Q394" s="207"/>
      <c r="R394" s="207"/>
      <c r="S394" s="207"/>
      <c r="T394" s="208"/>
      <c r="U394" s="195"/>
      <c r="V394" s="195"/>
      <c r="W394" s="195"/>
      <c r="X394" s="195"/>
      <c r="Y394" s="195"/>
      <c r="Z394" s="195"/>
      <c r="AA394" s="195"/>
      <c r="AB394" s="195"/>
      <c r="AC394" s="195"/>
      <c r="AD394" s="195"/>
      <c r="AE394" s="195"/>
      <c r="AR394" s="210"/>
      <c r="AT394" s="210"/>
      <c r="AU394" s="210"/>
      <c r="AY394" s="211"/>
      <c r="BE394" s="212"/>
      <c r="BF394" s="212"/>
      <c r="BG394" s="212"/>
      <c r="BH394" s="212"/>
      <c r="BI394" s="212"/>
      <c r="BJ394" s="211"/>
      <c r="BK394" s="212"/>
      <c r="BL394" s="211"/>
      <c r="BM394" s="210"/>
    </row>
    <row r="395" spans="1:65" s="209" customFormat="1" ht="12">
      <c r="A395" s="195"/>
      <c r="B395" s="196"/>
      <c r="C395" s="197"/>
      <c r="D395" s="197"/>
      <c r="E395" s="198"/>
      <c r="F395" s="213" t="s">
        <v>3070</v>
      </c>
      <c r="G395" s="200"/>
      <c r="H395" s="201">
        <v>4</v>
      </c>
      <c r="I395" s="194"/>
      <c r="J395" s="194"/>
      <c r="K395" s="202"/>
      <c r="L395" s="203"/>
      <c r="M395" s="204"/>
      <c r="N395" s="205"/>
      <c r="O395" s="206"/>
      <c r="P395" s="207"/>
      <c r="Q395" s="207"/>
      <c r="R395" s="207"/>
      <c r="S395" s="207"/>
      <c r="T395" s="208"/>
      <c r="U395" s="195"/>
      <c r="V395" s="195"/>
      <c r="W395" s="195"/>
      <c r="X395" s="195"/>
      <c r="Y395" s="195"/>
      <c r="Z395" s="195"/>
      <c r="AA395" s="195"/>
      <c r="AB395" s="195"/>
      <c r="AC395" s="195"/>
      <c r="AD395" s="195"/>
      <c r="AE395" s="195"/>
      <c r="AR395" s="210"/>
      <c r="AT395" s="210"/>
      <c r="AU395" s="210"/>
      <c r="AY395" s="211"/>
      <c r="BE395" s="212"/>
      <c r="BF395" s="212"/>
      <c r="BG395" s="212"/>
      <c r="BH395" s="212"/>
      <c r="BI395" s="212"/>
      <c r="BJ395" s="211"/>
      <c r="BK395" s="212"/>
      <c r="BL395" s="211"/>
      <c r="BM395" s="210"/>
    </row>
    <row r="396" spans="1:65" s="209" customFormat="1" ht="12">
      <c r="A396" s="195"/>
      <c r="B396" s="196"/>
      <c r="C396" s="197"/>
      <c r="D396" s="197"/>
      <c r="E396" s="198"/>
      <c r="F396" s="213" t="s">
        <v>3071</v>
      </c>
      <c r="G396" s="200"/>
      <c r="H396" s="201">
        <v>5</v>
      </c>
      <c r="I396" s="194"/>
      <c r="J396" s="194"/>
      <c r="K396" s="202"/>
      <c r="L396" s="203"/>
      <c r="M396" s="204"/>
      <c r="N396" s="205"/>
      <c r="O396" s="206"/>
      <c r="P396" s="207"/>
      <c r="Q396" s="207"/>
      <c r="R396" s="207"/>
      <c r="S396" s="207"/>
      <c r="T396" s="208"/>
      <c r="U396" s="195"/>
      <c r="V396" s="195"/>
      <c r="W396" s="195"/>
      <c r="X396" s="195"/>
      <c r="Y396" s="195"/>
      <c r="Z396" s="195"/>
      <c r="AA396" s="195"/>
      <c r="AB396" s="195"/>
      <c r="AC396" s="195"/>
      <c r="AD396" s="195"/>
      <c r="AE396" s="195"/>
      <c r="AR396" s="210"/>
      <c r="AT396" s="210"/>
      <c r="AU396" s="210"/>
      <c r="AY396" s="211"/>
      <c r="BE396" s="212"/>
      <c r="BF396" s="212"/>
      <c r="BG396" s="212"/>
      <c r="BH396" s="212"/>
      <c r="BI396" s="212"/>
      <c r="BJ396" s="211"/>
      <c r="BK396" s="212"/>
      <c r="BL396" s="211"/>
      <c r="BM396" s="210"/>
    </row>
    <row r="397" spans="1:65" s="209" customFormat="1" ht="12">
      <c r="A397" s="195"/>
      <c r="B397" s="196"/>
      <c r="C397" s="197"/>
      <c r="D397" s="197"/>
      <c r="E397" s="198"/>
      <c r="F397" s="215" t="s">
        <v>2983</v>
      </c>
      <c r="G397" s="216"/>
      <c r="H397" s="217">
        <f>SUM(H394:H396)</f>
        <v>11</v>
      </c>
      <c r="I397" s="194"/>
      <c r="J397" s="194"/>
      <c r="K397" s="202"/>
      <c r="L397" s="203"/>
      <c r="M397" s="204"/>
      <c r="N397" s="205"/>
      <c r="O397" s="206"/>
      <c r="P397" s="207"/>
      <c r="Q397" s="207"/>
      <c r="R397" s="207"/>
      <c r="S397" s="207"/>
      <c r="T397" s="208"/>
      <c r="U397" s="195"/>
      <c r="V397" s="195"/>
      <c r="W397" s="195"/>
      <c r="X397" s="195"/>
      <c r="Y397" s="195"/>
      <c r="Z397" s="195"/>
      <c r="AA397" s="195"/>
      <c r="AB397" s="195"/>
      <c r="AC397" s="195"/>
      <c r="AD397" s="195"/>
      <c r="AE397" s="195"/>
      <c r="AR397" s="210"/>
      <c r="AT397" s="210"/>
      <c r="AU397" s="210"/>
      <c r="AY397" s="211"/>
      <c r="BE397" s="212"/>
      <c r="BF397" s="212"/>
      <c r="BG397" s="212"/>
      <c r="BH397" s="212"/>
      <c r="BI397" s="212"/>
      <c r="BJ397" s="211"/>
      <c r="BK397" s="212"/>
      <c r="BL397" s="211"/>
      <c r="BM397" s="210"/>
    </row>
    <row r="398" spans="1:65" s="2" customFormat="1" ht="24.2" customHeight="1">
      <c r="A398" s="29"/>
      <c r="B398" s="152"/>
      <c r="C398" s="153" t="s">
        <v>429</v>
      </c>
      <c r="D398" s="153" t="s">
        <v>181</v>
      </c>
      <c r="E398" s="154" t="s">
        <v>430</v>
      </c>
      <c r="F398" s="155" t="s">
        <v>431</v>
      </c>
      <c r="G398" s="156" t="s">
        <v>217</v>
      </c>
      <c r="H398" s="157">
        <v>9</v>
      </c>
      <c r="I398" s="158"/>
      <c r="J398" s="159">
        <v>0</v>
      </c>
      <c r="K398" s="160"/>
      <c r="L398" s="30"/>
      <c r="M398" s="161" t="s">
        <v>1</v>
      </c>
      <c r="N398" s="162" t="s">
        <v>35</v>
      </c>
      <c r="O398" s="58"/>
      <c r="P398" s="163">
        <f t="shared" si="19"/>
        <v>0</v>
      </c>
      <c r="Q398" s="163">
        <v>0</v>
      </c>
      <c r="R398" s="163">
        <f t="shared" si="20"/>
        <v>0</v>
      </c>
      <c r="S398" s="163">
        <v>0.06</v>
      </c>
      <c r="T398" s="164">
        <f t="shared" si="21"/>
        <v>0.54</v>
      </c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R398" s="165" t="s">
        <v>185</v>
      </c>
      <c r="AT398" s="165" t="s">
        <v>181</v>
      </c>
      <c r="AU398" s="165" t="s">
        <v>82</v>
      </c>
      <c r="AY398" s="14" t="s">
        <v>179</v>
      </c>
      <c r="BE398" s="166">
        <f t="shared" si="22"/>
        <v>0</v>
      </c>
      <c r="BF398" s="166">
        <f t="shared" si="23"/>
        <v>0</v>
      </c>
      <c r="BG398" s="166">
        <f t="shared" si="24"/>
        <v>0</v>
      </c>
      <c r="BH398" s="166">
        <f t="shared" si="25"/>
        <v>0</v>
      </c>
      <c r="BI398" s="166">
        <f t="shared" si="26"/>
        <v>0</v>
      </c>
      <c r="BJ398" s="14" t="s">
        <v>82</v>
      </c>
      <c r="BK398" s="166">
        <f t="shared" si="27"/>
        <v>0</v>
      </c>
      <c r="BL398" s="14" t="s">
        <v>185</v>
      </c>
      <c r="BM398" s="165" t="s">
        <v>432</v>
      </c>
    </row>
    <row r="399" spans="1:65" s="209" customFormat="1" ht="12">
      <c r="A399" s="195"/>
      <c r="B399" s="196"/>
      <c r="C399" s="197"/>
      <c r="D399" s="197"/>
      <c r="E399" s="198"/>
      <c r="F399" s="213" t="s">
        <v>3072</v>
      </c>
      <c r="G399" s="200"/>
      <c r="H399" s="201">
        <v>8</v>
      </c>
      <c r="I399" s="194"/>
      <c r="J399" s="194"/>
      <c r="K399" s="202"/>
      <c r="L399" s="203"/>
      <c r="M399" s="204"/>
      <c r="N399" s="205"/>
      <c r="O399" s="206"/>
      <c r="P399" s="207"/>
      <c r="Q399" s="207"/>
      <c r="R399" s="207"/>
      <c r="S399" s="207"/>
      <c r="T399" s="208"/>
      <c r="U399" s="195"/>
      <c r="V399" s="195"/>
      <c r="W399" s="195"/>
      <c r="X399" s="195"/>
      <c r="Y399" s="195"/>
      <c r="Z399" s="195"/>
      <c r="AA399" s="195"/>
      <c r="AB399" s="195"/>
      <c r="AC399" s="195"/>
      <c r="AD399" s="195"/>
      <c r="AE399" s="195"/>
      <c r="AR399" s="210"/>
      <c r="AT399" s="210"/>
      <c r="AU399" s="210"/>
      <c r="AY399" s="211"/>
      <c r="BE399" s="212"/>
      <c r="BF399" s="212"/>
      <c r="BG399" s="212"/>
      <c r="BH399" s="212"/>
      <c r="BI399" s="212"/>
      <c r="BJ399" s="211"/>
      <c r="BK399" s="212"/>
      <c r="BL399" s="211"/>
      <c r="BM399" s="210"/>
    </row>
    <row r="400" spans="1:65" s="209" customFormat="1" ht="12">
      <c r="A400" s="195"/>
      <c r="B400" s="196"/>
      <c r="C400" s="197"/>
      <c r="D400" s="197"/>
      <c r="E400" s="198"/>
      <c r="F400" s="213" t="s">
        <v>3073</v>
      </c>
      <c r="G400" s="200"/>
      <c r="H400" s="201">
        <v>1</v>
      </c>
      <c r="I400" s="194"/>
      <c r="J400" s="194"/>
      <c r="K400" s="202"/>
      <c r="L400" s="203"/>
      <c r="M400" s="204"/>
      <c r="N400" s="205"/>
      <c r="O400" s="206"/>
      <c r="P400" s="207"/>
      <c r="Q400" s="207"/>
      <c r="R400" s="207"/>
      <c r="S400" s="207"/>
      <c r="T400" s="208"/>
      <c r="U400" s="195"/>
      <c r="V400" s="195"/>
      <c r="W400" s="195"/>
      <c r="X400" s="195"/>
      <c r="Y400" s="195"/>
      <c r="Z400" s="195"/>
      <c r="AA400" s="195"/>
      <c r="AB400" s="195"/>
      <c r="AC400" s="195"/>
      <c r="AD400" s="195"/>
      <c r="AE400" s="195"/>
      <c r="AR400" s="210"/>
      <c r="AT400" s="210"/>
      <c r="AU400" s="210"/>
      <c r="AY400" s="211"/>
      <c r="BE400" s="212"/>
      <c r="BF400" s="212"/>
      <c r="BG400" s="212"/>
      <c r="BH400" s="212"/>
      <c r="BI400" s="212"/>
      <c r="BJ400" s="211"/>
      <c r="BK400" s="212"/>
      <c r="BL400" s="211"/>
      <c r="BM400" s="210"/>
    </row>
    <row r="401" spans="1:65" s="209" customFormat="1" ht="12">
      <c r="A401" s="195"/>
      <c r="B401" s="196"/>
      <c r="C401" s="197"/>
      <c r="D401" s="197"/>
      <c r="E401" s="198"/>
      <c r="F401" s="215" t="s">
        <v>2983</v>
      </c>
      <c r="G401" s="216"/>
      <c r="H401" s="217">
        <f>SUM(H399:H400)</f>
        <v>9</v>
      </c>
      <c r="I401" s="194"/>
      <c r="J401" s="194"/>
      <c r="K401" s="202"/>
      <c r="L401" s="203"/>
      <c r="M401" s="204"/>
      <c r="N401" s="205"/>
      <c r="O401" s="206"/>
      <c r="P401" s="207"/>
      <c r="Q401" s="207"/>
      <c r="R401" s="207"/>
      <c r="S401" s="207"/>
      <c r="T401" s="208"/>
      <c r="U401" s="195"/>
      <c r="V401" s="195"/>
      <c r="W401" s="195"/>
      <c r="X401" s="195"/>
      <c r="Y401" s="195"/>
      <c r="Z401" s="195"/>
      <c r="AA401" s="195"/>
      <c r="AB401" s="195"/>
      <c r="AC401" s="195"/>
      <c r="AD401" s="195"/>
      <c r="AE401" s="195"/>
      <c r="AR401" s="210"/>
      <c r="AT401" s="210"/>
      <c r="AU401" s="210"/>
      <c r="AY401" s="211"/>
      <c r="BE401" s="212"/>
      <c r="BF401" s="212"/>
      <c r="BG401" s="212"/>
      <c r="BH401" s="212"/>
      <c r="BI401" s="212"/>
      <c r="BJ401" s="211"/>
      <c r="BK401" s="212"/>
      <c r="BL401" s="211"/>
      <c r="BM401" s="210"/>
    </row>
    <row r="402" spans="1:65" s="2" customFormat="1" ht="24.2" customHeight="1">
      <c r="A402" s="29"/>
      <c r="B402" s="152"/>
      <c r="C402" s="153" t="s">
        <v>312</v>
      </c>
      <c r="D402" s="153" t="s">
        <v>181</v>
      </c>
      <c r="E402" s="154" t="s">
        <v>433</v>
      </c>
      <c r="F402" s="155" t="s">
        <v>434</v>
      </c>
      <c r="G402" s="156" t="s">
        <v>217</v>
      </c>
      <c r="H402" s="157">
        <v>36</v>
      </c>
      <c r="I402" s="158"/>
      <c r="J402" s="159">
        <v>0</v>
      </c>
      <c r="K402" s="160"/>
      <c r="L402" s="30"/>
      <c r="M402" s="161" t="s">
        <v>1</v>
      </c>
      <c r="N402" s="162" t="s">
        <v>35</v>
      </c>
      <c r="O402" s="58"/>
      <c r="P402" s="163">
        <f>O402*H402</f>
        <v>0</v>
      </c>
      <c r="Q402" s="163">
        <v>0</v>
      </c>
      <c r="R402" s="163">
        <f>Q402*H402</f>
        <v>0</v>
      </c>
      <c r="S402" s="163">
        <v>1.2E-2</v>
      </c>
      <c r="T402" s="164">
        <f>S402*H402</f>
        <v>0.432</v>
      </c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R402" s="165" t="s">
        <v>185</v>
      </c>
      <c r="AT402" s="165" t="s">
        <v>181</v>
      </c>
      <c r="AU402" s="165" t="s">
        <v>82</v>
      </c>
      <c r="AY402" s="14" t="s">
        <v>179</v>
      </c>
      <c r="BE402" s="166">
        <f t="shared" si="22"/>
        <v>0</v>
      </c>
      <c r="BF402" s="166">
        <f t="shared" si="23"/>
        <v>0</v>
      </c>
      <c r="BG402" s="166">
        <f t="shared" si="24"/>
        <v>0</v>
      </c>
      <c r="BH402" s="166">
        <f t="shared" si="25"/>
        <v>0</v>
      </c>
      <c r="BI402" s="166">
        <f t="shared" si="26"/>
        <v>0</v>
      </c>
      <c r="BJ402" s="14" t="s">
        <v>82</v>
      </c>
      <c r="BK402" s="166">
        <f>ROUND(I402*H402,2)</f>
        <v>0</v>
      </c>
      <c r="BL402" s="14" t="s">
        <v>185</v>
      </c>
      <c r="BM402" s="165" t="s">
        <v>435</v>
      </c>
    </row>
    <row r="403" spans="1:65" s="209" customFormat="1" ht="12">
      <c r="A403" s="195"/>
      <c r="B403" s="196"/>
      <c r="C403" s="197"/>
      <c r="D403" s="197"/>
      <c r="E403" s="198"/>
      <c r="F403" s="213" t="s">
        <v>3074</v>
      </c>
      <c r="G403" s="223"/>
      <c r="H403" s="224"/>
      <c r="I403" s="194"/>
      <c r="J403" s="194"/>
      <c r="K403" s="202"/>
      <c r="L403" s="203"/>
      <c r="M403" s="204"/>
      <c r="N403" s="205"/>
      <c r="O403" s="206"/>
      <c r="P403" s="207"/>
      <c r="Q403" s="207"/>
      <c r="R403" s="207"/>
      <c r="S403" s="207"/>
      <c r="T403" s="208"/>
      <c r="U403" s="195"/>
      <c r="V403" s="195"/>
      <c r="W403" s="195"/>
      <c r="X403" s="195"/>
      <c r="Y403" s="195"/>
      <c r="Z403" s="195"/>
      <c r="AA403" s="195"/>
      <c r="AB403" s="195"/>
      <c r="AC403" s="195"/>
      <c r="AD403" s="195"/>
      <c r="AE403" s="195"/>
      <c r="AR403" s="210"/>
      <c r="AT403" s="210"/>
      <c r="AU403" s="210"/>
      <c r="AY403" s="211"/>
      <c r="BE403" s="212"/>
      <c r="BF403" s="212"/>
      <c r="BG403" s="212"/>
      <c r="BH403" s="212"/>
      <c r="BI403" s="212"/>
      <c r="BJ403" s="211"/>
      <c r="BK403" s="212"/>
      <c r="BL403" s="211"/>
      <c r="BM403" s="210"/>
    </row>
    <row r="404" spans="1:65" s="209" customFormat="1" ht="12">
      <c r="A404" s="195"/>
      <c r="B404" s="196"/>
      <c r="C404" s="197"/>
      <c r="D404" s="197"/>
      <c r="E404" s="198"/>
      <c r="F404" s="213" t="s">
        <v>3075</v>
      </c>
      <c r="G404" s="223"/>
      <c r="H404" s="224"/>
      <c r="I404" s="194"/>
      <c r="J404" s="194"/>
      <c r="K404" s="202"/>
      <c r="L404" s="203"/>
      <c r="M404" s="204"/>
      <c r="N404" s="205"/>
      <c r="O404" s="206"/>
      <c r="P404" s="207"/>
      <c r="Q404" s="207"/>
      <c r="R404" s="207"/>
      <c r="S404" s="207"/>
      <c r="T404" s="208"/>
      <c r="U404" s="195"/>
      <c r="V404" s="195"/>
      <c r="W404" s="195"/>
      <c r="X404" s="195"/>
      <c r="Y404" s="195"/>
      <c r="Z404" s="195"/>
      <c r="AA404" s="195"/>
      <c r="AB404" s="195"/>
      <c r="AC404" s="195"/>
      <c r="AD404" s="195"/>
      <c r="AE404" s="195"/>
      <c r="AR404" s="210"/>
      <c r="AT404" s="210"/>
      <c r="AU404" s="210"/>
      <c r="AY404" s="211"/>
      <c r="BE404" s="212"/>
      <c r="BF404" s="212"/>
      <c r="BG404" s="212"/>
      <c r="BH404" s="212"/>
      <c r="BI404" s="212"/>
      <c r="BJ404" s="211"/>
      <c r="BK404" s="212"/>
      <c r="BL404" s="211"/>
      <c r="BM404" s="210"/>
    </row>
    <row r="405" spans="1:65" s="209" customFormat="1" ht="12">
      <c r="A405" s="195"/>
      <c r="B405" s="196"/>
      <c r="C405" s="197"/>
      <c r="D405" s="197"/>
      <c r="E405" s="198"/>
      <c r="F405" s="213" t="s">
        <v>3076</v>
      </c>
      <c r="G405" s="223"/>
      <c r="H405" s="224"/>
      <c r="I405" s="194"/>
      <c r="J405" s="194"/>
      <c r="K405" s="202"/>
      <c r="L405" s="203"/>
      <c r="M405" s="204"/>
      <c r="N405" s="205"/>
      <c r="O405" s="206"/>
      <c r="P405" s="207"/>
      <c r="Q405" s="207"/>
      <c r="R405" s="207"/>
      <c r="S405" s="207"/>
      <c r="T405" s="208"/>
      <c r="U405" s="195"/>
      <c r="V405" s="195"/>
      <c r="W405" s="195"/>
      <c r="X405" s="195"/>
      <c r="Y405" s="195"/>
      <c r="Z405" s="195"/>
      <c r="AA405" s="195"/>
      <c r="AB405" s="195"/>
      <c r="AC405" s="195"/>
      <c r="AD405" s="195"/>
      <c r="AE405" s="195"/>
      <c r="AR405" s="210"/>
      <c r="AT405" s="210"/>
      <c r="AU405" s="210"/>
      <c r="AY405" s="211"/>
      <c r="BE405" s="212"/>
      <c r="BF405" s="212"/>
      <c r="BG405" s="212"/>
      <c r="BH405" s="212"/>
      <c r="BI405" s="212"/>
      <c r="BJ405" s="211"/>
      <c r="BK405" s="212"/>
      <c r="BL405" s="211"/>
      <c r="BM405" s="210"/>
    </row>
    <row r="406" spans="1:65" s="209" customFormat="1" ht="12">
      <c r="A406" s="195"/>
      <c r="B406" s="196"/>
      <c r="C406" s="197"/>
      <c r="D406" s="197"/>
      <c r="E406" s="198"/>
      <c r="F406" s="213" t="s">
        <v>3077</v>
      </c>
      <c r="G406" s="223"/>
      <c r="H406" s="224"/>
      <c r="I406" s="194"/>
      <c r="J406" s="194"/>
      <c r="K406" s="202"/>
      <c r="L406" s="203"/>
      <c r="M406" s="204"/>
      <c r="N406" s="205"/>
      <c r="O406" s="206"/>
      <c r="P406" s="207"/>
      <c r="Q406" s="207"/>
      <c r="R406" s="207"/>
      <c r="S406" s="207"/>
      <c r="T406" s="208"/>
      <c r="U406" s="195"/>
      <c r="V406" s="195"/>
      <c r="W406" s="195"/>
      <c r="X406" s="195"/>
      <c r="Y406" s="195"/>
      <c r="Z406" s="195"/>
      <c r="AA406" s="195"/>
      <c r="AB406" s="195"/>
      <c r="AC406" s="195"/>
      <c r="AD406" s="195"/>
      <c r="AE406" s="195"/>
      <c r="AR406" s="210"/>
      <c r="AT406" s="210"/>
      <c r="AU406" s="210"/>
      <c r="AY406" s="211"/>
      <c r="BE406" s="212"/>
      <c r="BF406" s="212"/>
      <c r="BG406" s="212"/>
      <c r="BH406" s="212"/>
      <c r="BI406" s="212"/>
      <c r="BJ406" s="211"/>
      <c r="BK406" s="212"/>
      <c r="BL406" s="211"/>
      <c r="BM406" s="210"/>
    </row>
    <row r="407" spans="1:65" s="209" customFormat="1" ht="12">
      <c r="A407" s="195"/>
      <c r="B407" s="196"/>
      <c r="C407" s="197"/>
      <c r="D407" s="197"/>
      <c r="E407" s="198"/>
      <c r="F407" s="213" t="s">
        <v>3078</v>
      </c>
      <c r="G407" s="223"/>
      <c r="H407" s="224"/>
      <c r="I407" s="194"/>
      <c r="J407" s="194"/>
      <c r="K407" s="202"/>
      <c r="L407" s="203"/>
      <c r="M407" s="204"/>
      <c r="N407" s="205"/>
      <c r="O407" s="206"/>
      <c r="P407" s="207"/>
      <c r="Q407" s="207"/>
      <c r="R407" s="207"/>
      <c r="S407" s="207"/>
      <c r="T407" s="208"/>
      <c r="U407" s="195"/>
      <c r="V407" s="195"/>
      <c r="W407" s="195"/>
      <c r="X407" s="195"/>
      <c r="Y407" s="195"/>
      <c r="Z407" s="195"/>
      <c r="AA407" s="195"/>
      <c r="AB407" s="195"/>
      <c r="AC407" s="195"/>
      <c r="AD407" s="195"/>
      <c r="AE407" s="195"/>
      <c r="AR407" s="210"/>
      <c r="AT407" s="210"/>
      <c r="AU407" s="210"/>
      <c r="AY407" s="211"/>
      <c r="BE407" s="212"/>
      <c r="BF407" s="212"/>
      <c r="BG407" s="212"/>
      <c r="BH407" s="212"/>
      <c r="BI407" s="212"/>
      <c r="BJ407" s="211"/>
      <c r="BK407" s="212"/>
      <c r="BL407" s="211"/>
      <c r="BM407" s="210"/>
    </row>
    <row r="408" spans="1:65" s="209" customFormat="1" ht="12">
      <c r="A408" s="195"/>
      <c r="B408" s="196"/>
      <c r="C408" s="197"/>
      <c r="D408" s="197"/>
      <c r="E408" s="198"/>
      <c r="F408" s="215" t="s">
        <v>2983</v>
      </c>
      <c r="G408" s="223"/>
      <c r="H408" s="224"/>
      <c r="I408" s="194"/>
      <c r="J408" s="194"/>
      <c r="K408" s="202"/>
      <c r="L408" s="203"/>
      <c r="M408" s="204"/>
      <c r="N408" s="205"/>
      <c r="O408" s="206"/>
      <c r="P408" s="207"/>
      <c r="Q408" s="207"/>
      <c r="R408" s="207"/>
      <c r="S408" s="207"/>
      <c r="T408" s="208"/>
      <c r="U408" s="195"/>
      <c r="V408" s="195"/>
      <c r="W408" s="195"/>
      <c r="X408" s="195"/>
      <c r="Y408" s="195"/>
      <c r="Z408" s="195"/>
      <c r="AA408" s="195"/>
      <c r="AB408" s="195"/>
      <c r="AC408" s="195"/>
      <c r="AD408" s="195"/>
      <c r="AE408" s="195"/>
      <c r="AR408" s="210"/>
      <c r="AT408" s="210"/>
      <c r="AU408" s="210"/>
      <c r="AY408" s="211"/>
      <c r="BE408" s="212"/>
      <c r="BF408" s="212"/>
      <c r="BG408" s="212"/>
      <c r="BH408" s="212"/>
      <c r="BI408" s="212"/>
      <c r="BJ408" s="211"/>
      <c r="BK408" s="212"/>
      <c r="BL408" s="211"/>
      <c r="BM408" s="210"/>
    </row>
    <row r="409" spans="1:65" s="2" customFormat="1" ht="24.2" customHeight="1">
      <c r="A409" s="29"/>
      <c r="B409" s="152"/>
      <c r="C409" s="153" t="s">
        <v>436</v>
      </c>
      <c r="D409" s="153" t="s">
        <v>181</v>
      </c>
      <c r="E409" s="154" t="s">
        <v>437</v>
      </c>
      <c r="F409" s="155" t="s">
        <v>438</v>
      </c>
      <c r="G409" s="156" t="s">
        <v>217</v>
      </c>
      <c r="H409" s="157">
        <v>4</v>
      </c>
      <c r="I409" s="158"/>
      <c r="J409" s="159">
        <v>0</v>
      </c>
      <c r="K409" s="160"/>
      <c r="L409" s="30"/>
      <c r="M409" s="161" t="s">
        <v>1</v>
      </c>
      <c r="N409" s="162" t="s">
        <v>35</v>
      </c>
      <c r="O409" s="58"/>
      <c r="P409" s="163">
        <f>O409*H409</f>
        <v>0</v>
      </c>
      <c r="Q409" s="163">
        <v>0</v>
      </c>
      <c r="R409" s="163">
        <f>Q409*H409</f>
        <v>0</v>
      </c>
      <c r="S409" s="163">
        <v>0.06</v>
      </c>
      <c r="T409" s="164">
        <f>S409*H409</f>
        <v>0.24</v>
      </c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R409" s="165" t="s">
        <v>185</v>
      </c>
      <c r="AT409" s="165" t="s">
        <v>181</v>
      </c>
      <c r="AU409" s="165" t="s">
        <v>82</v>
      </c>
      <c r="AY409" s="14" t="s">
        <v>179</v>
      </c>
      <c r="BE409" s="166">
        <f t="shared" si="22"/>
        <v>0</v>
      </c>
      <c r="BF409" s="166">
        <f t="shared" si="23"/>
        <v>0</v>
      </c>
      <c r="BG409" s="166">
        <f t="shared" si="24"/>
        <v>0</v>
      </c>
      <c r="BH409" s="166">
        <f t="shared" si="25"/>
        <v>0</v>
      </c>
      <c r="BI409" s="166">
        <f t="shared" si="26"/>
        <v>0</v>
      </c>
      <c r="BJ409" s="14" t="s">
        <v>82</v>
      </c>
      <c r="BK409" s="166">
        <f>ROUND(I409*H409,2)</f>
        <v>0</v>
      </c>
      <c r="BL409" s="14" t="s">
        <v>185</v>
      </c>
      <c r="BM409" s="165" t="s">
        <v>439</v>
      </c>
    </row>
    <row r="410" spans="1:65" s="209" customFormat="1" ht="12">
      <c r="A410" s="195"/>
      <c r="B410" s="196"/>
      <c r="C410" s="197"/>
      <c r="D410" s="197"/>
      <c r="E410" s="198"/>
      <c r="F410" s="213" t="s">
        <v>3079</v>
      </c>
      <c r="G410" s="200"/>
      <c r="H410" s="201">
        <v>3</v>
      </c>
      <c r="I410" s="194"/>
      <c r="J410" s="194"/>
      <c r="K410" s="202"/>
      <c r="L410" s="203"/>
      <c r="M410" s="204"/>
      <c r="N410" s="205"/>
      <c r="O410" s="206"/>
      <c r="P410" s="207"/>
      <c r="Q410" s="207"/>
      <c r="R410" s="207"/>
      <c r="S410" s="207"/>
      <c r="T410" s="208"/>
      <c r="U410" s="195"/>
      <c r="V410" s="195"/>
      <c r="W410" s="195"/>
      <c r="X410" s="195"/>
      <c r="Y410" s="195"/>
      <c r="Z410" s="195"/>
      <c r="AA410" s="195"/>
      <c r="AB410" s="195"/>
      <c r="AC410" s="195"/>
      <c r="AD410" s="195"/>
      <c r="AE410" s="195"/>
      <c r="AR410" s="210"/>
      <c r="AT410" s="210"/>
      <c r="AU410" s="210"/>
      <c r="AY410" s="211"/>
      <c r="BE410" s="212"/>
      <c r="BF410" s="212"/>
      <c r="BG410" s="212"/>
      <c r="BH410" s="212"/>
      <c r="BI410" s="212"/>
      <c r="BJ410" s="211"/>
      <c r="BK410" s="212"/>
      <c r="BL410" s="211"/>
      <c r="BM410" s="210"/>
    </row>
    <row r="411" spans="1:65" s="209" customFormat="1" ht="12">
      <c r="A411" s="195"/>
      <c r="B411" s="196"/>
      <c r="C411" s="197"/>
      <c r="D411" s="197"/>
      <c r="E411" s="198"/>
      <c r="F411" s="213" t="s">
        <v>3080</v>
      </c>
      <c r="G411" s="200"/>
      <c r="H411" s="201">
        <v>1</v>
      </c>
      <c r="I411" s="194"/>
      <c r="J411" s="194"/>
      <c r="K411" s="202"/>
      <c r="L411" s="203"/>
      <c r="M411" s="204"/>
      <c r="N411" s="205"/>
      <c r="O411" s="206"/>
      <c r="P411" s="207"/>
      <c r="Q411" s="207"/>
      <c r="R411" s="207"/>
      <c r="S411" s="207"/>
      <c r="T411" s="208"/>
      <c r="U411" s="195"/>
      <c r="V411" s="195"/>
      <c r="W411" s="195"/>
      <c r="X411" s="195"/>
      <c r="Y411" s="195"/>
      <c r="Z411" s="195"/>
      <c r="AA411" s="195"/>
      <c r="AB411" s="195"/>
      <c r="AC411" s="195"/>
      <c r="AD411" s="195"/>
      <c r="AE411" s="195"/>
      <c r="AR411" s="210"/>
      <c r="AT411" s="210"/>
      <c r="AU411" s="210"/>
      <c r="AY411" s="211"/>
      <c r="BE411" s="212"/>
      <c r="BF411" s="212"/>
      <c r="BG411" s="212"/>
      <c r="BH411" s="212"/>
      <c r="BI411" s="212"/>
      <c r="BJ411" s="211"/>
      <c r="BK411" s="212"/>
      <c r="BL411" s="211"/>
      <c r="BM411" s="210"/>
    </row>
    <row r="412" spans="1:65" s="209" customFormat="1" ht="12">
      <c r="A412" s="195"/>
      <c r="B412" s="196"/>
      <c r="C412" s="197"/>
      <c r="D412" s="197"/>
      <c r="E412" s="198"/>
      <c r="F412" s="215" t="s">
        <v>2983</v>
      </c>
      <c r="G412" s="216"/>
      <c r="H412" s="217">
        <f>SUM(H410:H411)</f>
        <v>4</v>
      </c>
      <c r="I412" s="194"/>
      <c r="J412" s="194"/>
      <c r="K412" s="202"/>
      <c r="L412" s="203"/>
      <c r="M412" s="204"/>
      <c r="N412" s="205"/>
      <c r="O412" s="206"/>
      <c r="P412" s="207"/>
      <c r="Q412" s="207"/>
      <c r="R412" s="207"/>
      <c r="S412" s="207"/>
      <c r="T412" s="208"/>
      <c r="U412" s="195"/>
      <c r="V412" s="195"/>
      <c r="W412" s="195"/>
      <c r="X412" s="195"/>
      <c r="Y412" s="195"/>
      <c r="Z412" s="195"/>
      <c r="AA412" s="195"/>
      <c r="AB412" s="195"/>
      <c r="AC412" s="195"/>
      <c r="AD412" s="195"/>
      <c r="AE412" s="195"/>
      <c r="AR412" s="210"/>
      <c r="AT412" s="210"/>
      <c r="AU412" s="210"/>
      <c r="AY412" s="211"/>
      <c r="BE412" s="212"/>
      <c r="BF412" s="212"/>
      <c r="BG412" s="212"/>
      <c r="BH412" s="212"/>
      <c r="BI412" s="212"/>
      <c r="BJ412" s="211"/>
      <c r="BK412" s="212"/>
      <c r="BL412" s="211"/>
      <c r="BM412" s="210"/>
    </row>
    <row r="413" spans="1:65" s="2" customFormat="1" ht="24.2" customHeight="1">
      <c r="A413" s="29"/>
      <c r="B413" s="152"/>
      <c r="C413" s="153" t="s">
        <v>315</v>
      </c>
      <c r="D413" s="153" t="s">
        <v>181</v>
      </c>
      <c r="E413" s="154" t="s">
        <v>440</v>
      </c>
      <c r="F413" s="155" t="s">
        <v>441</v>
      </c>
      <c r="G413" s="156" t="s">
        <v>217</v>
      </c>
      <c r="H413" s="157">
        <v>2</v>
      </c>
      <c r="I413" s="158"/>
      <c r="J413" s="159">
        <v>0</v>
      </c>
      <c r="K413" s="160"/>
      <c r="L413" s="30"/>
      <c r="M413" s="161" t="s">
        <v>1</v>
      </c>
      <c r="N413" s="162" t="s">
        <v>35</v>
      </c>
      <c r="O413" s="58"/>
      <c r="P413" s="163">
        <f>O413*H413</f>
        <v>0</v>
      </c>
      <c r="Q413" s="163">
        <v>0</v>
      </c>
      <c r="R413" s="163">
        <f>Q413*H413</f>
        <v>0</v>
      </c>
      <c r="S413" s="163">
        <v>6.0000000000000001E-3</v>
      </c>
      <c r="T413" s="164">
        <f>S413*H413</f>
        <v>1.2E-2</v>
      </c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R413" s="165" t="s">
        <v>185</v>
      </c>
      <c r="AT413" s="165" t="s">
        <v>181</v>
      </c>
      <c r="AU413" s="165" t="s">
        <v>82</v>
      </c>
      <c r="AY413" s="14" t="s">
        <v>179</v>
      </c>
      <c r="BE413" s="166">
        <f t="shared" si="22"/>
        <v>0</v>
      </c>
      <c r="BF413" s="166">
        <f t="shared" si="23"/>
        <v>0</v>
      </c>
      <c r="BG413" s="166">
        <f t="shared" si="24"/>
        <v>0</v>
      </c>
      <c r="BH413" s="166">
        <f t="shared" si="25"/>
        <v>0</v>
      </c>
      <c r="BI413" s="166">
        <f t="shared" si="26"/>
        <v>0</v>
      </c>
      <c r="BJ413" s="14" t="s">
        <v>82</v>
      </c>
      <c r="BK413" s="166">
        <f>ROUND(I413*H413,2)</f>
        <v>0</v>
      </c>
      <c r="BL413" s="14" t="s">
        <v>185</v>
      </c>
      <c r="BM413" s="165" t="s">
        <v>442</v>
      </c>
    </row>
    <row r="414" spans="1:65" s="209" customFormat="1" ht="12">
      <c r="A414" s="195"/>
      <c r="B414" s="196"/>
      <c r="C414" s="197"/>
      <c r="D414" s="197"/>
      <c r="E414" s="198"/>
      <c r="F414" s="213" t="s">
        <v>3081</v>
      </c>
      <c r="G414" s="200"/>
      <c r="H414" s="201">
        <v>2</v>
      </c>
      <c r="I414" s="194"/>
      <c r="J414" s="194"/>
      <c r="K414" s="202"/>
      <c r="L414" s="203"/>
      <c r="M414" s="204"/>
      <c r="N414" s="205"/>
      <c r="O414" s="206"/>
      <c r="P414" s="207"/>
      <c r="Q414" s="207"/>
      <c r="R414" s="207"/>
      <c r="S414" s="207"/>
      <c r="T414" s="208"/>
      <c r="U414" s="195"/>
      <c r="V414" s="195"/>
      <c r="W414" s="195"/>
      <c r="X414" s="195"/>
      <c r="Y414" s="195"/>
      <c r="Z414" s="195"/>
      <c r="AA414" s="195"/>
      <c r="AB414" s="195"/>
      <c r="AC414" s="195"/>
      <c r="AD414" s="195"/>
      <c r="AE414" s="195"/>
      <c r="AR414" s="210"/>
      <c r="AT414" s="210"/>
      <c r="AU414" s="210"/>
      <c r="AY414" s="211"/>
      <c r="BE414" s="212"/>
      <c r="BF414" s="212"/>
      <c r="BG414" s="212"/>
      <c r="BH414" s="212"/>
      <c r="BI414" s="212"/>
      <c r="BJ414" s="211"/>
      <c r="BK414" s="212"/>
      <c r="BL414" s="211"/>
      <c r="BM414" s="210"/>
    </row>
    <row r="415" spans="1:65" s="209" customFormat="1" ht="12">
      <c r="A415" s="195"/>
      <c r="B415" s="196"/>
      <c r="C415" s="197"/>
      <c r="D415" s="197"/>
      <c r="E415" s="198"/>
      <c r="F415" s="215" t="s">
        <v>2983</v>
      </c>
      <c r="G415" s="216"/>
      <c r="H415" s="217">
        <f>SUM(H414:H414)</f>
        <v>2</v>
      </c>
      <c r="I415" s="194"/>
      <c r="J415" s="194"/>
      <c r="K415" s="202"/>
      <c r="L415" s="203"/>
      <c r="M415" s="204"/>
      <c r="N415" s="205"/>
      <c r="O415" s="206"/>
      <c r="P415" s="207"/>
      <c r="Q415" s="207"/>
      <c r="R415" s="207"/>
      <c r="S415" s="207"/>
      <c r="T415" s="208"/>
      <c r="U415" s="195"/>
      <c r="V415" s="195"/>
      <c r="W415" s="195"/>
      <c r="X415" s="195"/>
      <c r="Y415" s="195"/>
      <c r="Z415" s="195"/>
      <c r="AA415" s="195"/>
      <c r="AB415" s="195"/>
      <c r="AC415" s="195"/>
      <c r="AD415" s="195"/>
      <c r="AE415" s="195"/>
      <c r="AR415" s="210"/>
      <c r="AT415" s="210"/>
      <c r="AU415" s="210"/>
      <c r="AY415" s="211"/>
      <c r="BE415" s="212"/>
      <c r="BF415" s="212"/>
      <c r="BG415" s="212"/>
      <c r="BH415" s="212"/>
      <c r="BI415" s="212"/>
      <c r="BJ415" s="211"/>
      <c r="BK415" s="212"/>
      <c r="BL415" s="211"/>
      <c r="BM415" s="210"/>
    </row>
    <row r="416" spans="1:65" s="2" customFormat="1" ht="24.2" customHeight="1">
      <c r="A416" s="29"/>
      <c r="B416" s="152"/>
      <c r="C416" s="153" t="s">
        <v>443</v>
      </c>
      <c r="D416" s="153" t="s">
        <v>181</v>
      </c>
      <c r="E416" s="154" t="s">
        <v>444</v>
      </c>
      <c r="F416" s="155" t="s">
        <v>445</v>
      </c>
      <c r="G416" s="156" t="s">
        <v>184</v>
      </c>
      <c r="H416" s="157">
        <v>26.4</v>
      </c>
      <c r="I416" s="158"/>
      <c r="J416" s="159">
        <v>0</v>
      </c>
      <c r="K416" s="160"/>
      <c r="L416" s="30"/>
      <c r="M416" s="161" t="s">
        <v>1</v>
      </c>
      <c r="N416" s="162" t="s">
        <v>35</v>
      </c>
      <c r="O416" s="58"/>
      <c r="P416" s="163">
        <f>O416*H416</f>
        <v>0</v>
      </c>
      <c r="Q416" s="163">
        <v>0</v>
      </c>
      <c r="R416" s="163">
        <f>Q416*H416</f>
        <v>0</v>
      </c>
      <c r="S416" s="163">
        <v>7.5999999999999998E-2</v>
      </c>
      <c r="T416" s="164">
        <f>S416*H416</f>
        <v>2.0063999999999997</v>
      </c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R416" s="165" t="s">
        <v>185</v>
      </c>
      <c r="AT416" s="165" t="s">
        <v>181</v>
      </c>
      <c r="AU416" s="165" t="s">
        <v>82</v>
      </c>
      <c r="AY416" s="14" t="s">
        <v>179</v>
      </c>
      <c r="BE416" s="166">
        <f t="shared" si="22"/>
        <v>0</v>
      </c>
      <c r="BF416" s="166">
        <f t="shared" si="23"/>
        <v>0</v>
      </c>
      <c r="BG416" s="166">
        <f t="shared" si="24"/>
        <v>0</v>
      </c>
      <c r="BH416" s="166">
        <f t="shared" si="25"/>
        <v>0</v>
      </c>
      <c r="BI416" s="166">
        <f t="shared" si="26"/>
        <v>0</v>
      </c>
      <c r="BJ416" s="14" t="s">
        <v>82</v>
      </c>
      <c r="BK416" s="166">
        <f>ROUND(I416*H416,2)</f>
        <v>0</v>
      </c>
      <c r="BL416" s="14" t="s">
        <v>185</v>
      </c>
      <c r="BM416" s="165" t="s">
        <v>446</v>
      </c>
    </row>
    <row r="417" spans="1:65" s="209" customFormat="1" ht="12">
      <c r="A417" s="195"/>
      <c r="B417" s="196"/>
      <c r="C417" s="197"/>
      <c r="D417" s="197"/>
      <c r="E417" s="198"/>
      <c r="F417" s="213" t="s">
        <v>3069</v>
      </c>
      <c r="G417" s="200"/>
      <c r="H417" s="201">
        <f>0.9*2*2</f>
        <v>3.6</v>
      </c>
      <c r="I417" s="194"/>
      <c r="J417" s="194"/>
      <c r="K417" s="202"/>
      <c r="L417" s="203"/>
      <c r="M417" s="204"/>
      <c r="N417" s="205"/>
      <c r="O417" s="206"/>
      <c r="P417" s="207"/>
      <c r="Q417" s="207"/>
      <c r="R417" s="207"/>
      <c r="S417" s="207"/>
      <c r="T417" s="208"/>
      <c r="U417" s="195"/>
      <c r="V417" s="195"/>
      <c r="W417" s="195"/>
      <c r="X417" s="195"/>
      <c r="Y417" s="195"/>
      <c r="Z417" s="195"/>
      <c r="AA417" s="195"/>
      <c r="AB417" s="195"/>
      <c r="AC417" s="195"/>
      <c r="AD417" s="195"/>
      <c r="AE417" s="195"/>
      <c r="AR417" s="210"/>
      <c r="AT417" s="210"/>
      <c r="AU417" s="210"/>
      <c r="AY417" s="211"/>
      <c r="BE417" s="212"/>
      <c r="BF417" s="212"/>
      <c r="BG417" s="212"/>
      <c r="BH417" s="212"/>
      <c r="BI417" s="212"/>
      <c r="BJ417" s="211"/>
      <c r="BK417" s="212"/>
      <c r="BL417" s="211"/>
      <c r="BM417" s="210"/>
    </row>
    <row r="418" spans="1:65" s="209" customFormat="1" ht="12">
      <c r="A418" s="195"/>
      <c r="B418" s="196"/>
      <c r="C418" s="197"/>
      <c r="D418" s="197"/>
      <c r="E418" s="198"/>
      <c r="F418" s="213" t="s">
        <v>3070</v>
      </c>
      <c r="G418" s="200"/>
      <c r="H418" s="201">
        <f>0.9*2*4</f>
        <v>7.2</v>
      </c>
      <c r="I418" s="194"/>
      <c r="J418" s="194"/>
      <c r="K418" s="202"/>
      <c r="L418" s="203"/>
      <c r="M418" s="204"/>
      <c r="N418" s="205"/>
      <c r="O418" s="206"/>
      <c r="P418" s="207"/>
      <c r="Q418" s="207"/>
      <c r="R418" s="207"/>
      <c r="S418" s="207"/>
      <c r="T418" s="208"/>
      <c r="U418" s="195"/>
      <c r="V418" s="195"/>
      <c r="W418" s="195"/>
      <c r="X418" s="195"/>
      <c r="Y418" s="195"/>
      <c r="Z418" s="195"/>
      <c r="AA418" s="195"/>
      <c r="AB418" s="195"/>
      <c r="AC418" s="195"/>
      <c r="AD418" s="195"/>
      <c r="AE418" s="195"/>
      <c r="AR418" s="210"/>
      <c r="AT418" s="210"/>
      <c r="AU418" s="210"/>
      <c r="AY418" s="211"/>
      <c r="BE418" s="212"/>
      <c r="BF418" s="212"/>
      <c r="BG418" s="212"/>
      <c r="BH418" s="212"/>
      <c r="BI418" s="212"/>
      <c r="BJ418" s="211"/>
      <c r="BK418" s="212"/>
      <c r="BL418" s="211"/>
      <c r="BM418" s="210"/>
    </row>
    <row r="419" spans="1:65" s="209" customFormat="1" ht="12">
      <c r="A419" s="195"/>
      <c r="B419" s="196"/>
      <c r="C419" s="197"/>
      <c r="D419" s="197"/>
      <c r="E419" s="198"/>
      <c r="F419" s="213" t="s">
        <v>3082</v>
      </c>
      <c r="G419" s="200"/>
      <c r="H419" s="201">
        <f>0.9*2*1</f>
        <v>1.8</v>
      </c>
      <c r="I419" s="194"/>
      <c r="J419" s="194"/>
      <c r="K419" s="202"/>
      <c r="L419" s="203"/>
      <c r="M419" s="204"/>
      <c r="N419" s="205"/>
      <c r="O419" s="206"/>
      <c r="P419" s="207"/>
      <c r="Q419" s="207"/>
      <c r="R419" s="207"/>
      <c r="S419" s="207"/>
      <c r="T419" s="208"/>
      <c r="U419" s="195"/>
      <c r="V419" s="195"/>
      <c r="W419" s="195"/>
      <c r="X419" s="195"/>
      <c r="Y419" s="195"/>
      <c r="Z419" s="195"/>
      <c r="AA419" s="195"/>
      <c r="AB419" s="195"/>
      <c r="AC419" s="195"/>
      <c r="AD419" s="195"/>
      <c r="AE419" s="195"/>
      <c r="AR419" s="210"/>
      <c r="AT419" s="210"/>
      <c r="AU419" s="210"/>
      <c r="AY419" s="211"/>
      <c r="BE419" s="212"/>
      <c r="BF419" s="212"/>
      <c r="BG419" s="212"/>
      <c r="BH419" s="212"/>
      <c r="BI419" s="212"/>
      <c r="BJ419" s="211"/>
      <c r="BK419" s="212"/>
      <c r="BL419" s="211"/>
      <c r="BM419" s="210"/>
    </row>
    <row r="420" spans="1:65" s="209" customFormat="1" ht="12">
      <c r="A420" s="195"/>
      <c r="B420" s="196"/>
      <c r="C420" s="197"/>
      <c r="D420" s="197"/>
      <c r="E420" s="198"/>
      <c r="F420" s="213" t="s">
        <v>3071</v>
      </c>
      <c r="G420" s="200"/>
      <c r="H420" s="201">
        <f>0.9*2*5</f>
        <v>9</v>
      </c>
      <c r="I420" s="194"/>
      <c r="J420" s="194"/>
      <c r="K420" s="202"/>
      <c r="L420" s="203"/>
      <c r="M420" s="204"/>
      <c r="N420" s="205"/>
      <c r="O420" s="206"/>
      <c r="P420" s="207"/>
      <c r="Q420" s="207"/>
      <c r="R420" s="207"/>
      <c r="S420" s="207"/>
      <c r="T420" s="208"/>
      <c r="U420" s="195"/>
      <c r="V420" s="195"/>
      <c r="W420" s="195"/>
      <c r="X420" s="195"/>
      <c r="Y420" s="195"/>
      <c r="Z420" s="195"/>
      <c r="AA420" s="195"/>
      <c r="AB420" s="195"/>
      <c r="AC420" s="195"/>
      <c r="AD420" s="195"/>
      <c r="AE420" s="195"/>
      <c r="AR420" s="210"/>
      <c r="AT420" s="210"/>
      <c r="AU420" s="210"/>
      <c r="AY420" s="211"/>
      <c r="BE420" s="212"/>
      <c r="BF420" s="212"/>
      <c r="BG420" s="212"/>
      <c r="BH420" s="212"/>
      <c r="BI420" s="212"/>
      <c r="BJ420" s="211"/>
      <c r="BK420" s="212"/>
      <c r="BL420" s="211"/>
      <c r="BM420" s="210"/>
    </row>
    <row r="421" spans="1:65" s="209" customFormat="1" ht="12">
      <c r="A421" s="195"/>
      <c r="B421" s="196"/>
      <c r="C421" s="197"/>
      <c r="D421" s="197"/>
      <c r="E421" s="198"/>
      <c r="F421" s="213" t="s">
        <v>3068</v>
      </c>
      <c r="G421" s="200"/>
      <c r="H421" s="201">
        <f>0.8*2*3</f>
        <v>4.8000000000000007</v>
      </c>
      <c r="I421" s="194"/>
      <c r="J421" s="194"/>
      <c r="K421" s="202"/>
      <c r="L421" s="203"/>
      <c r="M421" s="204"/>
      <c r="N421" s="205"/>
      <c r="O421" s="206"/>
      <c r="P421" s="207"/>
      <c r="Q421" s="207"/>
      <c r="R421" s="207"/>
      <c r="S421" s="207"/>
      <c r="T421" s="208"/>
      <c r="U421" s="195"/>
      <c r="V421" s="195"/>
      <c r="W421" s="195"/>
      <c r="X421" s="195"/>
      <c r="Y421" s="195"/>
      <c r="Z421" s="195"/>
      <c r="AA421" s="195"/>
      <c r="AB421" s="195"/>
      <c r="AC421" s="195"/>
      <c r="AD421" s="195"/>
      <c r="AE421" s="195"/>
      <c r="AR421" s="210"/>
      <c r="AT421" s="210"/>
      <c r="AU421" s="210"/>
      <c r="AY421" s="211"/>
      <c r="BE421" s="212"/>
      <c r="BF421" s="212"/>
      <c r="BG421" s="212"/>
      <c r="BH421" s="212"/>
      <c r="BI421" s="212"/>
      <c r="BJ421" s="211"/>
      <c r="BK421" s="212"/>
      <c r="BL421" s="211"/>
      <c r="BM421" s="210"/>
    </row>
    <row r="422" spans="1:65" s="209" customFormat="1" ht="12">
      <c r="A422" s="195"/>
      <c r="B422" s="196"/>
      <c r="C422" s="197"/>
      <c r="D422" s="197"/>
      <c r="E422" s="198"/>
      <c r="F422" s="215" t="s">
        <v>2983</v>
      </c>
      <c r="G422" s="216"/>
      <c r="H422" s="217">
        <f>SUM(H417:H421)</f>
        <v>26.400000000000002</v>
      </c>
      <c r="I422" s="194"/>
      <c r="J422" s="194"/>
      <c r="K422" s="202"/>
      <c r="L422" s="203"/>
      <c r="M422" s="204"/>
      <c r="N422" s="205"/>
      <c r="O422" s="206"/>
      <c r="P422" s="207"/>
      <c r="Q422" s="207"/>
      <c r="R422" s="207"/>
      <c r="S422" s="207"/>
      <c r="T422" s="208"/>
      <c r="U422" s="195"/>
      <c r="V422" s="195"/>
      <c r="W422" s="195"/>
      <c r="X422" s="195"/>
      <c r="Y422" s="195"/>
      <c r="Z422" s="195"/>
      <c r="AA422" s="195"/>
      <c r="AB422" s="195"/>
      <c r="AC422" s="195"/>
      <c r="AD422" s="195"/>
      <c r="AE422" s="195"/>
      <c r="AR422" s="210"/>
      <c r="AT422" s="210"/>
      <c r="AU422" s="210"/>
      <c r="AY422" s="211"/>
      <c r="BE422" s="212"/>
      <c r="BF422" s="212"/>
      <c r="BG422" s="212"/>
      <c r="BH422" s="212"/>
      <c r="BI422" s="212"/>
      <c r="BJ422" s="211"/>
      <c r="BK422" s="212"/>
      <c r="BL422" s="211"/>
      <c r="BM422" s="210"/>
    </row>
    <row r="423" spans="1:65" s="2" customFormat="1" ht="21.75" customHeight="1">
      <c r="A423" s="29"/>
      <c r="B423" s="152"/>
      <c r="C423" s="153" t="s">
        <v>319</v>
      </c>
      <c r="D423" s="153" t="s">
        <v>181</v>
      </c>
      <c r="E423" s="154" t="s">
        <v>447</v>
      </c>
      <c r="F423" s="155" t="s">
        <v>448</v>
      </c>
      <c r="G423" s="156" t="s">
        <v>184</v>
      </c>
      <c r="H423" s="157">
        <v>25.92</v>
      </c>
      <c r="I423" s="158"/>
      <c r="J423" s="159">
        <v>0</v>
      </c>
      <c r="K423" s="160"/>
      <c r="L423" s="30"/>
      <c r="M423" s="161" t="s">
        <v>1</v>
      </c>
      <c r="N423" s="162" t="s">
        <v>35</v>
      </c>
      <c r="O423" s="58"/>
      <c r="P423" s="163">
        <f>O423*H423</f>
        <v>0</v>
      </c>
      <c r="Q423" s="163">
        <v>0</v>
      </c>
      <c r="R423" s="163">
        <f>Q423*H423</f>
        <v>0</v>
      </c>
      <c r="S423" s="163">
        <v>6.6000000000000003E-2</v>
      </c>
      <c r="T423" s="164">
        <f>S423*H423</f>
        <v>1.7107200000000002</v>
      </c>
      <c r="U423" s="29"/>
      <c r="V423" s="29"/>
      <c r="W423" s="29"/>
      <c r="X423" s="29"/>
      <c r="Y423" s="29"/>
      <c r="Z423" s="29"/>
      <c r="AA423" s="29"/>
      <c r="AB423" s="29"/>
      <c r="AC423" s="29"/>
      <c r="AD423" s="29"/>
      <c r="AE423" s="29"/>
      <c r="AR423" s="165" t="s">
        <v>185</v>
      </c>
      <c r="AT423" s="165" t="s">
        <v>181</v>
      </c>
      <c r="AU423" s="165" t="s">
        <v>82</v>
      </c>
      <c r="AY423" s="14" t="s">
        <v>179</v>
      </c>
      <c r="BE423" s="166">
        <f t="shared" si="22"/>
        <v>0</v>
      </c>
      <c r="BF423" s="166">
        <f t="shared" si="23"/>
        <v>0</v>
      </c>
      <c r="BG423" s="166">
        <f t="shared" si="24"/>
        <v>0</v>
      </c>
      <c r="BH423" s="166">
        <f t="shared" si="25"/>
        <v>0</v>
      </c>
      <c r="BI423" s="166">
        <f t="shared" si="26"/>
        <v>0</v>
      </c>
      <c r="BJ423" s="14" t="s">
        <v>82</v>
      </c>
      <c r="BK423" s="166">
        <f>ROUND(I423*H423,2)</f>
        <v>0</v>
      </c>
      <c r="BL423" s="14" t="s">
        <v>185</v>
      </c>
      <c r="BM423" s="165" t="s">
        <v>449</v>
      </c>
    </row>
    <row r="424" spans="1:65" s="209" customFormat="1" ht="12">
      <c r="A424" s="195"/>
      <c r="B424" s="196"/>
      <c r="C424" s="197"/>
      <c r="D424" s="197"/>
      <c r="E424" s="198"/>
      <c r="F424" s="213" t="s">
        <v>3081</v>
      </c>
      <c r="G424" s="200"/>
      <c r="H424" s="201">
        <f>2*3.6*3.6</f>
        <v>25.92</v>
      </c>
      <c r="I424" s="194"/>
      <c r="J424" s="194"/>
      <c r="K424" s="202"/>
      <c r="L424" s="203"/>
      <c r="M424" s="204"/>
      <c r="N424" s="205"/>
      <c r="O424" s="206"/>
      <c r="P424" s="207"/>
      <c r="Q424" s="207"/>
      <c r="R424" s="207"/>
      <c r="S424" s="207"/>
      <c r="T424" s="208"/>
      <c r="U424" s="195"/>
      <c r="V424" s="195"/>
      <c r="W424" s="195"/>
      <c r="X424" s="195"/>
      <c r="Y424" s="195"/>
      <c r="Z424" s="195"/>
      <c r="AA424" s="195"/>
      <c r="AB424" s="195"/>
      <c r="AC424" s="195"/>
      <c r="AD424" s="195"/>
      <c r="AE424" s="195"/>
      <c r="AR424" s="210"/>
      <c r="AT424" s="210"/>
      <c r="AU424" s="210"/>
      <c r="AY424" s="211"/>
      <c r="BE424" s="212"/>
      <c r="BF424" s="212"/>
      <c r="BG424" s="212"/>
      <c r="BH424" s="212"/>
      <c r="BI424" s="212"/>
      <c r="BJ424" s="211"/>
      <c r="BK424" s="212"/>
      <c r="BL424" s="211"/>
      <c r="BM424" s="210"/>
    </row>
    <row r="425" spans="1:65" s="209" customFormat="1" ht="12">
      <c r="A425" s="195"/>
      <c r="B425" s="196"/>
      <c r="C425" s="197"/>
      <c r="D425" s="197"/>
      <c r="E425" s="198"/>
      <c r="F425" s="215" t="s">
        <v>2983</v>
      </c>
      <c r="G425" s="216"/>
      <c r="H425" s="217">
        <f>SUM(H424:H424)</f>
        <v>25.92</v>
      </c>
      <c r="I425" s="194"/>
      <c r="J425" s="194"/>
      <c r="K425" s="202"/>
      <c r="L425" s="203"/>
      <c r="M425" s="204"/>
      <c r="N425" s="205"/>
      <c r="O425" s="206"/>
      <c r="P425" s="207"/>
      <c r="Q425" s="207"/>
      <c r="R425" s="207"/>
      <c r="S425" s="207"/>
      <c r="T425" s="208"/>
      <c r="U425" s="195"/>
      <c r="V425" s="195"/>
      <c r="W425" s="195"/>
      <c r="X425" s="195"/>
      <c r="Y425" s="195"/>
      <c r="Z425" s="195"/>
      <c r="AA425" s="195"/>
      <c r="AB425" s="195"/>
      <c r="AC425" s="195"/>
      <c r="AD425" s="195"/>
      <c r="AE425" s="195"/>
      <c r="AR425" s="210"/>
      <c r="AT425" s="210"/>
      <c r="AU425" s="210"/>
      <c r="AY425" s="211"/>
      <c r="BE425" s="212"/>
      <c r="BF425" s="212"/>
      <c r="BG425" s="212"/>
      <c r="BH425" s="212"/>
      <c r="BI425" s="212"/>
      <c r="BJ425" s="211"/>
      <c r="BK425" s="212"/>
      <c r="BL425" s="211"/>
      <c r="BM425" s="210"/>
    </row>
    <row r="426" spans="1:65" s="2" customFormat="1" ht="24.2" customHeight="1">
      <c r="A426" s="29"/>
      <c r="B426" s="152"/>
      <c r="C426" s="153" t="s">
        <v>450</v>
      </c>
      <c r="D426" s="153" t="s">
        <v>181</v>
      </c>
      <c r="E426" s="154" t="s">
        <v>451</v>
      </c>
      <c r="F426" s="155" t="s">
        <v>452</v>
      </c>
      <c r="G426" s="156" t="s">
        <v>184</v>
      </c>
      <c r="H426" s="157">
        <v>21.2</v>
      </c>
      <c r="I426" s="158"/>
      <c r="J426" s="159">
        <v>0</v>
      </c>
      <c r="K426" s="160"/>
      <c r="L426" s="30"/>
      <c r="M426" s="161" t="s">
        <v>1</v>
      </c>
      <c r="N426" s="162" t="s">
        <v>35</v>
      </c>
      <c r="O426" s="58"/>
      <c r="P426" s="163">
        <f>O426*H426</f>
        <v>0</v>
      </c>
      <c r="Q426" s="163">
        <v>0</v>
      </c>
      <c r="R426" s="163">
        <f>Q426*H426</f>
        <v>0</v>
      </c>
      <c r="S426" s="163">
        <v>6.3E-2</v>
      </c>
      <c r="T426" s="164">
        <f>S426*H426</f>
        <v>1.3355999999999999</v>
      </c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R426" s="165" t="s">
        <v>185</v>
      </c>
      <c r="AT426" s="165" t="s">
        <v>181</v>
      </c>
      <c r="AU426" s="165" t="s">
        <v>82</v>
      </c>
      <c r="AY426" s="14" t="s">
        <v>179</v>
      </c>
      <c r="BE426" s="166">
        <f t="shared" si="22"/>
        <v>0</v>
      </c>
      <c r="BF426" s="166">
        <f t="shared" si="23"/>
        <v>0</v>
      </c>
      <c r="BG426" s="166">
        <f t="shared" si="24"/>
        <v>0</v>
      </c>
      <c r="BH426" s="166">
        <f t="shared" si="25"/>
        <v>0</v>
      </c>
      <c r="BI426" s="166">
        <f t="shared" si="26"/>
        <v>0</v>
      </c>
      <c r="BJ426" s="14" t="s">
        <v>82</v>
      </c>
      <c r="BK426" s="166">
        <f>ROUND(I426*H426,2)</f>
        <v>0</v>
      </c>
      <c r="BL426" s="14" t="s">
        <v>185</v>
      </c>
      <c r="BM426" s="165" t="s">
        <v>453</v>
      </c>
    </row>
    <row r="427" spans="1:65" s="209" customFormat="1" ht="12">
      <c r="A427" s="195"/>
      <c r="B427" s="196"/>
      <c r="C427" s="197"/>
      <c r="D427" s="197"/>
      <c r="E427" s="198"/>
      <c r="F427" s="184" t="s">
        <v>3072</v>
      </c>
      <c r="G427" s="185"/>
      <c r="H427" s="192">
        <f>1.1*2*8</f>
        <v>17.600000000000001</v>
      </c>
      <c r="I427" s="194"/>
      <c r="J427" s="194"/>
      <c r="K427" s="202"/>
      <c r="L427" s="203"/>
      <c r="M427" s="204"/>
      <c r="N427" s="205"/>
      <c r="O427" s="206"/>
      <c r="P427" s="207"/>
      <c r="Q427" s="207"/>
      <c r="R427" s="207"/>
      <c r="S427" s="207"/>
      <c r="T427" s="208"/>
      <c r="U427" s="195"/>
      <c r="V427" s="195"/>
      <c r="W427" s="195"/>
      <c r="X427" s="195"/>
      <c r="Y427" s="195"/>
      <c r="Z427" s="195"/>
      <c r="AA427" s="195"/>
      <c r="AB427" s="195"/>
      <c r="AC427" s="195"/>
      <c r="AD427" s="195"/>
      <c r="AE427" s="195"/>
      <c r="AR427" s="210"/>
      <c r="AT427" s="210"/>
      <c r="AU427" s="210"/>
      <c r="AY427" s="211"/>
      <c r="BE427" s="212"/>
      <c r="BF427" s="212"/>
      <c r="BG427" s="212"/>
      <c r="BH427" s="212"/>
      <c r="BI427" s="212"/>
      <c r="BJ427" s="211"/>
      <c r="BK427" s="212"/>
      <c r="BL427" s="211"/>
      <c r="BM427" s="210"/>
    </row>
    <row r="428" spans="1:65" s="209" customFormat="1" ht="12">
      <c r="A428" s="195"/>
      <c r="B428" s="196"/>
      <c r="C428" s="197"/>
      <c r="D428" s="197"/>
      <c r="E428" s="198"/>
      <c r="F428" s="184" t="s">
        <v>3073</v>
      </c>
      <c r="G428" s="185"/>
      <c r="H428" s="192">
        <f>1.8*2*1</f>
        <v>3.6</v>
      </c>
      <c r="I428" s="194"/>
      <c r="J428" s="194"/>
      <c r="K428" s="202"/>
      <c r="L428" s="203"/>
      <c r="M428" s="204"/>
      <c r="N428" s="205"/>
      <c r="O428" s="206"/>
      <c r="P428" s="207"/>
      <c r="Q428" s="207"/>
      <c r="R428" s="207"/>
      <c r="S428" s="207"/>
      <c r="T428" s="208"/>
      <c r="U428" s="195"/>
      <c r="V428" s="195"/>
      <c r="W428" s="195"/>
      <c r="X428" s="195"/>
      <c r="Y428" s="195"/>
      <c r="Z428" s="195"/>
      <c r="AA428" s="195"/>
      <c r="AB428" s="195"/>
      <c r="AC428" s="195"/>
      <c r="AD428" s="195"/>
      <c r="AE428" s="195"/>
      <c r="AR428" s="210"/>
      <c r="AT428" s="210"/>
      <c r="AU428" s="210"/>
      <c r="AY428" s="211"/>
      <c r="BE428" s="212"/>
      <c r="BF428" s="212"/>
      <c r="BG428" s="212"/>
      <c r="BH428" s="212"/>
      <c r="BI428" s="212"/>
      <c r="BJ428" s="211"/>
      <c r="BK428" s="212"/>
      <c r="BL428" s="211"/>
      <c r="BM428" s="210"/>
    </row>
    <row r="429" spans="1:65" s="209" customFormat="1" ht="12">
      <c r="A429" s="195"/>
      <c r="B429" s="196"/>
      <c r="C429" s="197"/>
      <c r="D429" s="197"/>
      <c r="E429" s="198"/>
      <c r="F429" s="187" t="s">
        <v>2983</v>
      </c>
      <c r="G429" s="188"/>
      <c r="H429" s="189">
        <f>SUM(H427:H428)</f>
        <v>21.200000000000003</v>
      </c>
      <c r="I429" s="194"/>
      <c r="J429" s="194"/>
      <c r="K429" s="202"/>
      <c r="L429" s="203"/>
      <c r="M429" s="204"/>
      <c r="N429" s="205"/>
      <c r="O429" s="206"/>
      <c r="P429" s="207"/>
      <c r="Q429" s="207"/>
      <c r="R429" s="207"/>
      <c r="S429" s="207"/>
      <c r="T429" s="208"/>
      <c r="U429" s="195"/>
      <c r="V429" s="195"/>
      <c r="W429" s="195"/>
      <c r="X429" s="195"/>
      <c r="Y429" s="195"/>
      <c r="Z429" s="195"/>
      <c r="AA429" s="195"/>
      <c r="AB429" s="195"/>
      <c r="AC429" s="195"/>
      <c r="AD429" s="195"/>
      <c r="AE429" s="195"/>
      <c r="AR429" s="210"/>
      <c r="AT429" s="210"/>
      <c r="AU429" s="210"/>
      <c r="AY429" s="211"/>
      <c r="BE429" s="212"/>
      <c r="BF429" s="212"/>
      <c r="BG429" s="212"/>
      <c r="BH429" s="212"/>
      <c r="BI429" s="212"/>
      <c r="BJ429" s="211"/>
      <c r="BK429" s="212"/>
      <c r="BL429" s="211"/>
      <c r="BM429" s="210"/>
    </row>
    <row r="430" spans="1:65" s="2" customFormat="1" ht="24.2" customHeight="1">
      <c r="A430" s="29"/>
      <c r="B430" s="152"/>
      <c r="C430" s="153" t="s">
        <v>322</v>
      </c>
      <c r="D430" s="153" t="s">
        <v>181</v>
      </c>
      <c r="E430" s="154" t="s">
        <v>454</v>
      </c>
      <c r="F430" s="155" t="s">
        <v>455</v>
      </c>
      <c r="G430" s="156" t="s">
        <v>217</v>
      </c>
      <c r="H430" s="157">
        <v>4</v>
      </c>
      <c r="I430" s="158"/>
      <c r="J430" s="159">
        <v>0</v>
      </c>
      <c r="K430" s="160"/>
      <c r="L430" s="30"/>
      <c r="M430" s="161" t="s">
        <v>1</v>
      </c>
      <c r="N430" s="162" t="s">
        <v>35</v>
      </c>
      <c r="O430" s="58"/>
      <c r="P430" s="163">
        <f>O430*H430</f>
        <v>0</v>
      </c>
      <c r="Q430" s="163">
        <v>0</v>
      </c>
      <c r="R430" s="163">
        <f>Q430*H430</f>
        <v>0</v>
      </c>
      <c r="S430" s="163">
        <v>8.0000000000000002E-3</v>
      </c>
      <c r="T430" s="164">
        <f>S430*H430</f>
        <v>3.2000000000000001E-2</v>
      </c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R430" s="165" t="s">
        <v>185</v>
      </c>
      <c r="AT430" s="165" t="s">
        <v>181</v>
      </c>
      <c r="AU430" s="165" t="s">
        <v>82</v>
      </c>
      <c r="AY430" s="14" t="s">
        <v>179</v>
      </c>
      <c r="BE430" s="166">
        <f t="shared" si="22"/>
        <v>0</v>
      </c>
      <c r="BF430" s="166">
        <f t="shared" si="23"/>
        <v>0</v>
      </c>
      <c r="BG430" s="166">
        <f t="shared" si="24"/>
        <v>0</v>
      </c>
      <c r="BH430" s="166">
        <f t="shared" si="25"/>
        <v>0</v>
      </c>
      <c r="BI430" s="166">
        <f t="shared" si="26"/>
        <v>0</v>
      </c>
      <c r="BJ430" s="14" t="s">
        <v>82</v>
      </c>
      <c r="BK430" s="166">
        <f>ROUND(I430*H430,2)</f>
        <v>0</v>
      </c>
      <c r="BL430" s="14" t="s">
        <v>185</v>
      </c>
      <c r="BM430" s="165" t="s">
        <v>456</v>
      </c>
    </row>
    <row r="431" spans="1:65" s="209" customFormat="1" ht="12">
      <c r="A431" s="195"/>
      <c r="B431" s="196"/>
      <c r="C431" s="197"/>
      <c r="D431" s="197"/>
      <c r="E431" s="198"/>
      <c r="F431" s="184" t="s">
        <v>3083</v>
      </c>
      <c r="G431" s="185"/>
      <c r="H431" s="192">
        <v>2</v>
      </c>
      <c r="I431" s="194"/>
      <c r="J431" s="194"/>
      <c r="K431" s="202"/>
      <c r="L431" s="203"/>
      <c r="M431" s="204"/>
      <c r="N431" s="205"/>
      <c r="O431" s="206"/>
      <c r="P431" s="207"/>
      <c r="Q431" s="207"/>
      <c r="R431" s="207"/>
      <c r="S431" s="207"/>
      <c r="T431" s="208"/>
      <c r="U431" s="195"/>
      <c r="V431" s="195"/>
      <c r="W431" s="195"/>
      <c r="X431" s="195"/>
      <c r="Y431" s="195"/>
      <c r="Z431" s="195"/>
      <c r="AA431" s="195"/>
      <c r="AB431" s="195"/>
      <c r="AC431" s="195"/>
      <c r="AD431" s="195"/>
      <c r="AE431" s="195"/>
      <c r="AR431" s="210"/>
      <c r="AT431" s="210"/>
      <c r="AU431" s="210"/>
      <c r="AY431" s="211"/>
      <c r="BE431" s="212"/>
      <c r="BF431" s="212"/>
      <c r="BG431" s="212"/>
      <c r="BH431" s="212"/>
      <c r="BI431" s="212"/>
      <c r="BJ431" s="211"/>
      <c r="BK431" s="212"/>
      <c r="BL431" s="211"/>
      <c r="BM431" s="210"/>
    </row>
    <row r="432" spans="1:65" s="209" customFormat="1" ht="12">
      <c r="A432" s="195"/>
      <c r="B432" s="196"/>
      <c r="C432" s="197"/>
      <c r="D432" s="197"/>
      <c r="E432" s="198"/>
      <c r="F432" s="184" t="s">
        <v>3084</v>
      </c>
      <c r="G432" s="185"/>
      <c r="H432" s="192">
        <v>2</v>
      </c>
      <c r="I432" s="194"/>
      <c r="J432" s="194"/>
      <c r="K432" s="202"/>
      <c r="L432" s="203"/>
      <c r="M432" s="204"/>
      <c r="N432" s="205"/>
      <c r="O432" s="206"/>
      <c r="P432" s="207"/>
      <c r="Q432" s="207"/>
      <c r="R432" s="207"/>
      <c r="S432" s="207"/>
      <c r="T432" s="208"/>
      <c r="U432" s="195"/>
      <c r="V432" s="195"/>
      <c r="W432" s="195"/>
      <c r="X432" s="195"/>
      <c r="Y432" s="195"/>
      <c r="Z432" s="195"/>
      <c r="AA432" s="195"/>
      <c r="AB432" s="195"/>
      <c r="AC432" s="195"/>
      <c r="AD432" s="195"/>
      <c r="AE432" s="195"/>
      <c r="AR432" s="210"/>
      <c r="AT432" s="210"/>
      <c r="AU432" s="210"/>
      <c r="AY432" s="211"/>
      <c r="BE432" s="212"/>
      <c r="BF432" s="212"/>
      <c r="BG432" s="212"/>
      <c r="BH432" s="212"/>
      <c r="BI432" s="212"/>
      <c r="BJ432" s="211"/>
      <c r="BK432" s="212"/>
      <c r="BL432" s="211"/>
      <c r="BM432" s="210"/>
    </row>
    <row r="433" spans="1:65" s="209" customFormat="1" ht="12">
      <c r="A433" s="195"/>
      <c r="B433" s="196"/>
      <c r="C433" s="197"/>
      <c r="D433" s="197"/>
      <c r="E433" s="198"/>
      <c r="F433" s="187" t="s">
        <v>2983</v>
      </c>
      <c r="G433" s="188"/>
      <c r="H433" s="189">
        <f>SUM(H431:H432)</f>
        <v>4</v>
      </c>
      <c r="I433" s="194"/>
      <c r="J433" s="194"/>
      <c r="K433" s="202"/>
      <c r="L433" s="203"/>
      <c r="M433" s="204"/>
      <c r="N433" s="205"/>
      <c r="O433" s="206"/>
      <c r="P433" s="207"/>
      <c r="Q433" s="207"/>
      <c r="R433" s="207"/>
      <c r="S433" s="207"/>
      <c r="T433" s="208"/>
      <c r="U433" s="195"/>
      <c r="V433" s="195"/>
      <c r="W433" s="195"/>
      <c r="X433" s="195"/>
      <c r="Y433" s="195"/>
      <c r="Z433" s="195"/>
      <c r="AA433" s="195"/>
      <c r="AB433" s="195"/>
      <c r="AC433" s="195"/>
      <c r="AD433" s="195"/>
      <c r="AE433" s="195"/>
      <c r="AR433" s="210"/>
      <c r="AT433" s="210"/>
      <c r="AU433" s="210"/>
      <c r="AY433" s="211"/>
      <c r="BE433" s="212"/>
      <c r="BF433" s="212"/>
      <c r="BG433" s="212"/>
      <c r="BH433" s="212"/>
      <c r="BI433" s="212"/>
      <c r="BJ433" s="211"/>
      <c r="BK433" s="212"/>
      <c r="BL433" s="211"/>
      <c r="BM433" s="210"/>
    </row>
    <row r="434" spans="1:65" s="2" customFormat="1" ht="24.2" customHeight="1">
      <c r="A434" s="29"/>
      <c r="B434" s="152"/>
      <c r="C434" s="153" t="s">
        <v>457</v>
      </c>
      <c r="D434" s="153" t="s">
        <v>181</v>
      </c>
      <c r="E434" s="154" t="s">
        <v>458</v>
      </c>
      <c r="F434" s="155" t="s">
        <v>459</v>
      </c>
      <c r="G434" s="156" t="s">
        <v>217</v>
      </c>
      <c r="H434" s="157">
        <v>12</v>
      </c>
      <c r="I434" s="158"/>
      <c r="J434" s="159">
        <v>0</v>
      </c>
      <c r="K434" s="160"/>
      <c r="L434" s="30"/>
      <c r="M434" s="161" t="s">
        <v>1</v>
      </c>
      <c r="N434" s="162" t="s">
        <v>35</v>
      </c>
      <c r="O434" s="58"/>
      <c r="P434" s="163">
        <f>O434*H434</f>
        <v>0</v>
      </c>
      <c r="Q434" s="163">
        <v>0</v>
      </c>
      <c r="R434" s="163">
        <f>Q434*H434</f>
        <v>0</v>
      </c>
      <c r="S434" s="163">
        <v>5.7000000000000002E-2</v>
      </c>
      <c r="T434" s="164">
        <f>S434*H434</f>
        <v>0.68400000000000005</v>
      </c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R434" s="165" t="s">
        <v>185</v>
      </c>
      <c r="AT434" s="165" t="s">
        <v>181</v>
      </c>
      <c r="AU434" s="165" t="s">
        <v>82</v>
      </c>
      <c r="AY434" s="14" t="s">
        <v>179</v>
      </c>
      <c r="BE434" s="166">
        <f t="shared" si="22"/>
        <v>0</v>
      </c>
      <c r="BF434" s="166">
        <f t="shared" si="23"/>
        <v>0</v>
      </c>
      <c r="BG434" s="166">
        <f t="shared" si="24"/>
        <v>0</v>
      </c>
      <c r="BH434" s="166">
        <f t="shared" si="25"/>
        <v>0</v>
      </c>
      <c r="BI434" s="166">
        <f t="shared" si="26"/>
        <v>0</v>
      </c>
      <c r="BJ434" s="14" t="s">
        <v>82</v>
      </c>
      <c r="BK434" s="166">
        <f>ROUND(I434*H434,2)</f>
        <v>0</v>
      </c>
      <c r="BL434" s="14" t="s">
        <v>185</v>
      </c>
      <c r="BM434" s="165" t="s">
        <v>460</v>
      </c>
    </row>
    <row r="435" spans="1:65" s="2" customFormat="1" ht="12">
      <c r="A435" s="221"/>
      <c r="B435" s="152"/>
      <c r="C435" s="153"/>
      <c r="D435" s="153"/>
      <c r="E435" s="154"/>
      <c r="F435" s="184" t="s">
        <v>3085</v>
      </c>
      <c r="G435" s="185"/>
      <c r="H435" s="192">
        <v>2</v>
      </c>
      <c r="I435" s="158"/>
      <c r="J435" s="159"/>
      <c r="K435" s="160"/>
      <c r="L435" s="30"/>
      <c r="M435" s="161"/>
      <c r="N435" s="162"/>
      <c r="O435" s="58"/>
      <c r="P435" s="163"/>
      <c r="Q435" s="163"/>
      <c r="R435" s="163"/>
      <c r="S435" s="163"/>
      <c r="T435" s="164"/>
      <c r="U435" s="221"/>
      <c r="V435" s="221"/>
      <c r="W435" s="221"/>
      <c r="X435" s="221"/>
      <c r="Y435" s="221"/>
      <c r="Z435" s="221"/>
      <c r="AA435" s="221"/>
      <c r="AB435" s="221"/>
      <c r="AC435" s="221"/>
      <c r="AD435" s="221"/>
      <c r="AE435" s="221"/>
      <c r="AR435" s="165"/>
      <c r="AT435" s="165"/>
      <c r="AU435" s="165"/>
      <c r="AY435" s="14"/>
      <c r="BE435" s="166"/>
      <c r="BF435" s="166"/>
      <c r="BG435" s="166"/>
      <c r="BH435" s="166"/>
      <c r="BI435" s="166"/>
      <c r="BJ435" s="14"/>
      <c r="BK435" s="166"/>
      <c r="BL435" s="14"/>
      <c r="BM435" s="165"/>
    </row>
    <row r="436" spans="1:65" s="2" customFormat="1" ht="12">
      <c r="A436" s="221"/>
      <c r="B436" s="152"/>
      <c r="C436" s="153"/>
      <c r="D436" s="153"/>
      <c r="E436" s="154"/>
      <c r="F436" s="184" t="s">
        <v>3086</v>
      </c>
      <c r="G436" s="185"/>
      <c r="H436" s="192">
        <v>2</v>
      </c>
      <c r="I436" s="158"/>
      <c r="J436" s="159"/>
      <c r="K436" s="160"/>
      <c r="L436" s="30"/>
      <c r="M436" s="161"/>
      <c r="N436" s="162"/>
      <c r="O436" s="58"/>
      <c r="P436" s="163"/>
      <c r="Q436" s="163"/>
      <c r="R436" s="163"/>
      <c r="S436" s="163"/>
      <c r="T436" s="164"/>
      <c r="U436" s="221"/>
      <c r="V436" s="221"/>
      <c r="W436" s="221"/>
      <c r="X436" s="221"/>
      <c r="Y436" s="221"/>
      <c r="Z436" s="221"/>
      <c r="AA436" s="221"/>
      <c r="AB436" s="221"/>
      <c r="AC436" s="221"/>
      <c r="AD436" s="221"/>
      <c r="AE436" s="221"/>
      <c r="AR436" s="165"/>
      <c r="AT436" s="165"/>
      <c r="AU436" s="165"/>
      <c r="AY436" s="14"/>
      <c r="BE436" s="166"/>
      <c r="BF436" s="166"/>
      <c r="BG436" s="166"/>
      <c r="BH436" s="166"/>
      <c r="BI436" s="166"/>
      <c r="BJ436" s="14"/>
      <c r="BK436" s="166"/>
      <c r="BL436" s="14"/>
      <c r="BM436" s="165"/>
    </row>
    <row r="437" spans="1:65" s="2" customFormat="1" ht="12">
      <c r="A437" s="221"/>
      <c r="B437" s="152"/>
      <c r="C437" s="153"/>
      <c r="D437" s="153"/>
      <c r="E437" s="154"/>
      <c r="F437" s="184" t="s">
        <v>3087</v>
      </c>
      <c r="G437" s="185"/>
      <c r="H437" s="192">
        <v>2</v>
      </c>
      <c r="I437" s="158"/>
      <c r="J437" s="159"/>
      <c r="K437" s="160"/>
      <c r="L437" s="30"/>
      <c r="M437" s="161"/>
      <c r="N437" s="162"/>
      <c r="O437" s="58"/>
      <c r="P437" s="163"/>
      <c r="Q437" s="163"/>
      <c r="R437" s="163"/>
      <c r="S437" s="163"/>
      <c r="T437" s="164"/>
      <c r="U437" s="221"/>
      <c r="V437" s="221"/>
      <c r="W437" s="221"/>
      <c r="X437" s="221"/>
      <c r="Y437" s="221"/>
      <c r="Z437" s="221"/>
      <c r="AA437" s="221"/>
      <c r="AB437" s="221"/>
      <c r="AC437" s="221"/>
      <c r="AD437" s="221"/>
      <c r="AE437" s="221"/>
      <c r="AR437" s="165"/>
      <c r="AT437" s="165"/>
      <c r="AU437" s="165"/>
      <c r="AY437" s="14"/>
      <c r="BE437" s="166"/>
      <c r="BF437" s="166"/>
      <c r="BG437" s="166"/>
      <c r="BH437" s="166"/>
      <c r="BI437" s="166"/>
      <c r="BJ437" s="14"/>
      <c r="BK437" s="166"/>
      <c r="BL437" s="14"/>
      <c r="BM437" s="165"/>
    </row>
    <row r="438" spans="1:65" s="2" customFormat="1" ht="12">
      <c r="A438" s="221"/>
      <c r="B438" s="152"/>
      <c r="C438" s="153"/>
      <c r="D438" s="153"/>
      <c r="E438" s="154"/>
      <c r="F438" s="184" t="s">
        <v>3088</v>
      </c>
      <c r="G438" s="185"/>
      <c r="H438" s="192">
        <v>2</v>
      </c>
      <c r="I438" s="158"/>
      <c r="J438" s="159"/>
      <c r="K438" s="160"/>
      <c r="L438" s="30"/>
      <c r="M438" s="161"/>
      <c r="N438" s="162"/>
      <c r="O438" s="58"/>
      <c r="P438" s="163"/>
      <c r="Q438" s="163"/>
      <c r="R438" s="163"/>
      <c r="S438" s="163"/>
      <c r="T438" s="164"/>
      <c r="U438" s="221"/>
      <c r="V438" s="221"/>
      <c r="W438" s="221"/>
      <c r="X438" s="221"/>
      <c r="Y438" s="221"/>
      <c r="Z438" s="221"/>
      <c r="AA438" s="221"/>
      <c r="AB438" s="221"/>
      <c r="AC438" s="221"/>
      <c r="AD438" s="221"/>
      <c r="AE438" s="221"/>
      <c r="AR438" s="165"/>
      <c r="AT438" s="165"/>
      <c r="AU438" s="165"/>
      <c r="AY438" s="14"/>
      <c r="BE438" s="166"/>
      <c r="BF438" s="166"/>
      <c r="BG438" s="166"/>
      <c r="BH438" s="166"/>
      <c r="BI438" s="166"/>
      <c r="BJ438" s="14"/>
      <c r="BK438" s="166"/>
      <c r="BL438" s="14"/>
      <c r="BM438" s="165"/>
    </row>
    <row r="439" spans="1:65" s="2" customFormat="1" ht="12">
      <c r="A439" s="221"/>
      <c r="B439" s="152"/>
      <c r="C439" s="153"/>
      <c r="D439" s="153"/>
      <c r="E439" s="154"/>
      <c r="F439" s="184" t="s">
        <v>3089</v>
      </c>
      <c r="G439" s="185"/>
      <c r="H439" s="192">
        <v>2</v>
      </c>
      <c r="I439" s="158"/>
      <c r="J439" s="159"/>
      <c r="K439" s="160"/>
      <c r="L439" s="30"/>
      <c r="M439" s="161"/>
      <c r="N439" s="162"/>
      <c r="O439" s="58"/>
      <c r="P439" s="163"/>
      <c r="Q439" s="163"/>
      <c r="R439" s="163"/>
      <c r="S439" s="163"/>
      <c r="T439" s="164"/>
      <c r="U439" s="221"/>
      <c r="V439" s="221"/>
      <c r="W439" s="221"/>
      <c r="X439" s="221"/>
      <c r="Y439" s="221"/>
      <c r="Z439" s="221"/>
      <c r="AA439" s="221"/>
      <c r="AB439" s="221"/>
      <c r="AC439" s="221"/>
      <c r="AD439" s="221"/>
      <c r="AE439" s="221"/>
      <c r="AR439" s="165"/>
      <c r="AT439" s="165"/>
      <c r="AU439" s="165"/>
      <c r="AY439" s="14"/>
      <c r="BE439" s="166"/>
      <c r="BF439" s="166"/>
      <c r="BG439" s="166"/>
      <c r="BH439" s="166"/>
      <c r="BI439" s="166"/>
      <c r="BJ439" s="14"/>
      <c r="BK439" s="166"/>
      <c r="BL439" s="14"/>
      <c r="BM439" s="165"/>
    </row>
    <row r="440" spans="1:65" s="2" customFormat="1" ht="22.5">
      <c r="A440" s="221"/>
      <c r="B440" s="152"/>
      <c r="C440" s="153"/>
      <c r="D440" s="153"/>
      <c r="E440" s="154"/>
      <c r="F440" s="184" t="s">
        <v>3090</v>
      </c>
      <c r="G440" s="185"/>
      <c r="H440" s="192">
        <v>2</v>
      </c>
      <c r="I440" s="158"/>
      <c r="J440" s="159"/>
      <c r="K440" s="160"/>
      <c r="L440" s="30"/>
      <c r="M440" s="161"/>
      <c r="N440" s="162"/>
      <c r="O440" s="58"/>
      <c r="P440" s="163"/>
      <c r="Q440" s="163"/>
      <c r="R440" s="163"/>
      <c r="S440" s="163"/>
      <c r="T440" s="164"/>
      <c r="U440" s="221"/>
      <c r="V440" s="221"/>
      <c r="W440" s="221"/>
      <c r="X440" s="221"/>
      <c r="Y440" s="221"/>
      <c r="Z440" s="221"/>
      <c r="AA440" s="221"/>
      <c r="AB440" s="221"/>
      <c r="AC440" s="221"/>
      <c r="AD440" s="221"/>
      <c r="AE440" s="221"/>
      <c r="AR440" s="165"/>
      <c r="AT440" s="165"/>
      <c r="AU440" s="165"/>
      <c r="AY440" s="14"/>
      <c r="BE440" s="166"/>
      <c r="BF440" s="166"/>
      <c r="BG440" s="166"/>
      <c r="BH440" s="166"/>
      <c r="BI440" s="166"/>
      <c r="BJ440" s="14"/>
      <c r="BK440" s="166"/>
      <c r="BL440" s="14"/>
      <c r="BM440" s="165"/>
    </row>
    <row r="441" spans="1:65" s="2" customFormat="1" ht="12">
      <c r="A441" s="221"/>
      <c r="B441" s="152"/>
      <c r="C441" s="153"/>
      <c r="D441" s="153"/>
      <c r="E441" s="154"/>
      <c r="F441" s="187" t="s">
        <v>2983</v>
      </c>
      <c r="G441" s="188"/>
      <c r="H441" s="189">
        <f>SUM(H435:H440)</f>
        <v>12</v>
      </c>
      <c r="I441" s="158"/>
      <c r="J441" s="159"/>
      <c r="K441" s="160"/>
      <c r="L441" s="30"/>
      <c r="M441" s="161"/>
      <c r="N441" s="162"/>
      <c r="O441" s="58"/>
      <c r="P441" s="163"/>
      <c r="Q441" s="163"/>
      <c r="R441" s="163"/>
      <c r="S441" s="163"/>
      <c r="T441" s="164"/>
      <c r="U441" s="221"/>
      <c r="V441" s="221"/>
      <c r="W441" s="221"/>
      <c r="X441" s="221"/>
      <c r="Y441" s="221"/>
      <c r="Z441" s="221"/>
      <c r="AA441" s="221"/>
      <c r="AB441" s="221"/>
      <c r="AC441" s="221"/>
      <c r="AD441" s="221"/>
      <c r="AE441" s="221"/>
      <c r="AR441" s="165"/>
      <c r="AT441" s="165"/>
      <c r="AU441" s="165"/>
      <c r="AY441" s="14"/>
      <c r="BE441" s="166"/>
      <c r="BF441" s="166"/>
      <c r="BG441" s="166"/>
      <c r="BH441" s="166"/>
      <c r="BI441" s="166"/>
      <c r="BJ441" s="14"/>
      <c r="BK441" s="166"/>
      <c r="BL441" s="14"/>
      <c r="BM441" s="165"/>
    </row>
    <row r="442" spans="1:65" s="2" customFormat="1" ht="24.2" customHeight="1">
      <c r="A442" s="29"/>
      <c r="B442" s="152"/>
      <c r="C442" s="153" t="s">
        <v>326</v>
      </c>
      <c r="D442" s="153" t="s">
        <v>181</v>
      </c>
      <c r="E442" s="154" t="s">
        <v>461</v>
      </c>
      <c r="F442" s="155" t="s">
        <v>462</v>
      </c>
      <c r="G442" s="156" t="s">
        <v>217</v>
      </c>
      <c r="H442" s="157">
        <v>4</v>
      </c>
      <c r="I442" s="158"/>
      <c r="J442" s="159">
        <v>0</v>
      </c>
      <c r="K442" s="160"/>
      <c r="L442" s="30"/>
      <c r="M442" s="161" t="s">
        <v>1</v>
      </c>
      <c r="N442" s="162" t="s">
        <v>35</v>
      </c>
      <c r="O442" s="58"/>
      <c r="P442" s="163">
        <f>O442*H442</f>
        <v>0</v>
      </c>
      <c r="Q442" s="163">
        <v>0</v>
      </c>
      <c r="R442" s="163">
        <f>Q442*H442</f>
        <v>0</v>
      </c>
      <c r="S442" s="163">
        <v>0.14599999999999999</v>
      </c>
      <c r="T442" s="164">
        <f>S442*H442</f>
        <v>0.58399999999999996</v>
      </c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  <c r="AR442" s="165" t="s">
        <v>185</v>
      </c>
      <c r="AT442" s="165" t="s">
        <v>181</v>
      </c>
      <c r="AU442" s="165" t="s">
        <v>82</v>
      </c>
      <c r="AY442" s="14" t="s">
        <v>179</v>
      </c>
      <c r="BE442" s="166">
        <f t="shared" si="22"/>
        <v>0</v>
      </c>
      <c r="BF442" s="166">
        <f t="shared" si="23"/>
        <v>0</v>
      </c>
      <c r="BG442" s="166">
        <f t="shared" si="24"/>
        <v>0</v>
      </c>
      <c r="BH442" s="166">
        <f t="shared" si="25"/>
        <v>0</v>
      </c>
      <c r="BI442" s="166">
        <f t="shared" si="26"/>
        <v>0</v>
      </c>
      <c r="BJ442" s="14" t="s">
        <v>82</v>
      </c>
      <c r="BK442" s="166">
        <f>ROUND(I442*H442,2)</f>
        <v>0</v>
      </c>
      <c r="BL442" s="14" t="s">
        <v>185</v>
      </c>
      <c r="BM442" s="165" t="s">
        <v>463</v>
      </c>
    </row>
    <row r="443" spans="1:65" s="209" customFormat="1" ht="12">
      <c r="A443" s="195"/>
      <c r="B443" s="196"/>
      <c r="C443" s="197"/>
      <c r="D443" s="197"/>
      <c r="E443" s="198"/>
      <c r="F443" s="184" t="s">
        <v>3091</v>
      </c>
      <c r="G443" s="185"/>
      <c r="H443" s="192">
        <v>4</v>
      </c>
      <c r="I443" s="194"/>
      <c r="J443" s="194"/>
      <c r="K443" s="202"/>
      <c r="L443" s="203"/>
      <c r="M443" s="204"/>
      <c r="N443" s="205"/>
      <c r="O443" s="206"/>
      <c r="P443" s="207"/>
      <c r="Q443" s="207"/>
      <c r="R443" s="207"/>
      <c r="S443" s="207"/>
      <c r="T443" s="208"/>
      <c r="U443" s="195"/>
      <c r="V443" s="195"/>
      <c r="W443" s="195"/>
      <c r="X443" s="195"/>
      <c r="Y443" s="195"/>
      <c r="Z443" s="195"/>
      <c r="AA443" s="195"/>
      <c r="AB443" s="195"/>
      <c r="AC443" s="195"/>
      <c r="AD443" s="195"/>
      <c r="AE443" s="195"/>
      <c r="AR443" s="210"/>
      <c r="AT443" s="210"/>
      <c r="AU443" s="210"/>
      <c r="AY443" s="211"/>
      <c r="BE443" s="212"/>
      <c r="BF443" s="212"/>
      <c r="BG443" s="212"/>
      <c r="BH443" s="212"/>
      <c r="BI443" s="212"/>
      <c r="BJ443" s="211"/>
      <c r="BK443" s="212"/>
      <c r="BL443" s="211"/>
      <c r="BM443" s="210"/>
    </row>
    <row r="444" spans="1:65" s="209" customFormat="1" ht="12">
      <c r="A444" s="195"/>
      <c r="B444" s="196"/>
      <c r="C444" s="197"/>
      <c r="D444" s="197"/>
      <c r="E444" s="198"/>
      <c r="F444" s="187" t="s">
        <v>2983</v>
      </c>
      <c r="G444" s="188"/>
      <c r="H444" s="189">
        <f>SUM(H443:H443)</f>
        <v>4</v>
      </c>
      <c r="I444" s="194"/>
      <c r="J444" s="194"/>
      <c r="K444" s="202"/>
      <c r="L444" s="203"/>
      <c r="M444" s="204"/>
      <c r="N444" s="205"/>
      <c r="O444" s="206"/>
      <c r="P444" s="207"/>
      <c r="Q444" s="207"/>
      <c r="R444" s="207"/>
      <c r="S444" s="207"/>
      <c r="T444" s="208"/>
      <c r="U444" s="195"/>
      <c r="V444" s="195"/>
      <c r="W444" s="195"/>
      <c r="X444" s="195"/>
      <c r="Y444" s="195"/>
      <c r="Z444" s="195"/>
      <c r="AA444" s="195"/>
      <c r="AB444" s="195"/>
      <c r="AC444" s="195"/>
      <c r="AD444" s="195"/>
      <c r="AE444" s="195"/>
      <c r="AR444" s="210"/>
      <c r="AT444" s="210"/>
      <c r="AU444" s="210"/>
      <c r="AY444" s="211"/>
      <c r="BE444" s="212"/>
      <c r="BF444" s="212"/>
      <c r="BG444" s="212"/>
      <c r="BH444" s="212"/>
      <c r="BI444" s="212"/>
      <c r="BJ444" s="211"/>
      <c r="BK444" s="212"/>
      <c r="BL444" s="211"/>
      <c r="BM444" s="210"/>
    </row>
    <row r="445" spans="1:65" s="2" customFormat="1" ht="24.2" customHeight="1">
      <c r="A445" s="29"/>
      <c r="B445" s="152"/>
      <c r="C445" s="153" t="s">
        <v>464</v>
      </c>
      <c r="D445" s="153" t="s">
        <v>181</v>
      </c>
      <c r="E445" s="154" t="s">
        <v>465</v>
      </c>
      <c r="F445" s="155" t="s">
        <v>466</v>
      </c>
      <c r="G445" s="156" t="s">
        <v>217</v>
      </c>
      <c r="H445" s="157">
        <v>1</v>
      </c>
      <c r="I445" s="158"/>
      <c r="J445" s="159">
        <v>0</v>
      </c>
      <c r="K445" s="160"/>
      <c r="L445" s="30"/>
      <c r="M445" s="161" t="s">
        <v>1</v>
      </c>
      <c r="N445" s="162" t="s">
        <v>35</v>
      </c>
      <c r="O445" s="58"/>
      <c r="P445" s="163">
        <f>O445*H445</f>
        <v>0</v>
      </c>
      <c r="Q445" s="163">
        <v>0</v>
      </c>
      <c r="R445" s="163">
        <f>Q445*H445</f>
        <v>0</v>
      </c>
      <c r="S445" s="163">
        <v>0.219</v>
      </c>
      <c r="T445" s="164">
        <f>S445*H445</f>
        <v>0.219</v>
      </c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R445" s="165" t="s">
        <v>185</v>
      </c>
      <c r="AT445" s="165" t="s">
        <v>181</v>
      </c>
      <c r="AU445" s="165" t="s">
        <v>82</v>
      </c>
      <c r="AY445" s="14" t="s">
        <v>179</v>
      </c>
      <c r="BE445" s="166">
        <f t="shared" si="22"/>
        <v>0</v>
      </c>
      <c r="BF445" s="166">
        <f t="shared" si="23"/>
        <v>0</v>
      </c>
      <c r="BG445" s="166">
        <f t="shared" si="24"/>
        <v>0</v>
      </c>
      <c r="BH445" s="166">
        <f t="shared" si="25"/>
        <v>0</v>
      </c>
      <c r="BI445" s="166">
        <f t="shared" si="26"/>
        <v>0</v>
      </c>
      <c r="BJ445" s="14" t="s">
        <v>82</v>
      </c>
      <c r="BK445" s="166">
        <f>ROUND(I445*H445,2)</f>
        <v>0</v>
      </c>
      <c r="BL445" s="14" t="s">
        <v>185</v>
      </c>
      <c r="BM445" s="165" t="s">
        <v>467</v>
      </c>
    </row>
    <row r="446" spans="1:65" s="209" customFormat="1" ht="12">
      <c r="A446" s="195"/>
      <c r="B446" s="196"/>
      <c r="C446" s="197"/>
      <c r="D446" s="197"/>
      <c r="E446" s="198"/>
      <c r="F446" s="184" t="s">
        <v>3092</v>
      </c>
      <c r="G446" s="185"/>
      <c r="H446" s="192">
        <v>1</v>
      </c>
      <c r="I446" s="194"/>
      <c r="J446" s="194"/>
      <c r="K446" s="202"/>
      <c r="L446" s="203"/>
      <c r="M446" s="204"/>
      <c r="N446" s="205"/>
      <c r="O446" s="206"/>
      <c r="P446" s="207"/>
      <c r="Q446" s="207"/>
      <c r="R446" s="207"/>
      <c r="S446" s="207"/>
      <c r="T446" s="208"/>
      <c r="U446" s="195"/>
      <c r="V446" s="195"/>
      <c r="W446" s="195"/>
      <c r="X446" s="195"/>
      <c r="Y446" s="195"/>
      <c r="Z446" s="195"/>
      <c r="AA446" s="195"/>
      <c r="AB446" s="195"/>
      <c r="AC446" s="195"/>
      <c r="AD446" s="195"/>
      <c r="AE446" s="195"/>
      <c r="AR446" s="210"/>
      <c r="AT446" s="210"/>
      <c r="AU446" s="210"/>
      <c r="AY446" s="211"/>
      <c r="BE446" s="212"/>
      <c r="BF446" s="212"/>
      <c r="BG446" s="212"/>
      <c r="BH446" s="212"/>
      <c r="BI446" s="212"/>
      <c r="BJ446" s="211"/>
      <c r="BK446" s="212"/>
      <c r="BL446" s="211"/>
      <c r="BM446" s="210"/>
    </row>
    <row r="447" spans="1:65" s="209" customFormat="1" ht="12">
      <c r="A447" s="195"/>
      <c r="B447" s="196"/>
      <c r="C447" s="197"/>
      <c r="D447" s="197"/>
      <c r="E447" s="198"/>
      <c r="F447" s="187" t="s">
        <v>2983</v>
      </c>
      <c r="G447" s="188"/>
      <c r="H447" s="189">
        <f>SUM(H446:H446)</f>
        <v>1</v>
      </c>
      <c r="I447" s="194"/>
      <c r="J447" s="194"/>
      <c r="K447" s="202"/>
      <c r="L447" s="203"/>
      <c r="M447" s="204"/>
      <c r="N447" s="205"/>
      <c r="O447" s="206"/>
      <c r="P447" s="207"/>
      <c r="Q447" s="207"/>
      <c r="R447" s="207"/>
      <c r="S447" s="207"/>
      <c r="T447" s="208"/>
      <c r="U447" s="195"/>
      <c r="V447" s="195"/>
      <c r="W447" s="195"/>
      <c r="X447" s="195"/>
      <c r="Y447" s="195"/>
      <c r="Z447" s="195"/>
      <c r="AA447" s="195"/>
      <c r="AB447" s="195"/>
      <c r="AC447" s="195"/>
      <c r="AD447" s="195"/>
      <c r="AE447" s="195"/>
      <c r="AR447" s="210"/>
      <c r="AT447" s="210"/>
      <c r="AU447" s="210"/>
      <c r="AY447" s="211"/>
      <c r="BE447" s="212"/>
      <c r="BF447" s="212"/>
      <c r="BG447" s="212"/>
      <c r="BH447" s="212"/>
      <c r="BI447" s="212"/>
      <c r="BJ447" s="211"/>
      <c r="BK447" s="212"/>
      <c r="BL447" s="211"/>
      <c r="BM447" s="210"/>
    </row>
    <row r="448" spans="1:65" s="2" customFormat="1" ht="24.2" customHeight="1">
      <c r="A448" s="29"/>
      <c r="B448" s="152"/>
      <c r="C448" s="153" t="s">
        <v>329</v>
      </c>
      <c r="D448" s="153" t="s">
        <v>181</v>
      </c>
      <c r="E448" s="154" t="s">
        <v>468</v>
      </c>
      <c r="F448" s="155" t="s">
        <v>469</v>
      </c>
      <c r="G448" s="156" t="s">
        <v>196</v>
      </c>
      <c r="H448" s="157">
        <v>0.45</v>
      </c>
      <c r="I448" s="158"/>
      <c r="J448" s="159">
        <v>0</v>
      </c>
      <c r="K448" s="160"/>
      <c r="L448" s="30"/>
      <c r="M448" s="161" t="s">
        <v>1</v>
      </c>
      <c r="N448" s="162" t="s">
        <v>35</v>
      </c>
      <c r="O448" s="58"/>
      <c r="P448" s="163">
        <f>O448*H448</f>
        <v>0</v>
      </c>
      <c r="Q448" s="163">
        <v>0</v>
      </c>
      <c r="R448" s="163">
        <f>Q448*H448</f>
        <v>0</v>
      </c>
      <c r="S448" s="163">
        <v>1.875</v>
      </c>
      <c r="T448" s="164">
        <f>S448*H448</f>
        <v>0.84375</v>
      </c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R448" s="165" t="s">
        <v>185</v>
      </c>
      <c r="AT448" s="165" t="s">
        <v>181</v>
      </c>
      <c r="AU448" s="165" t="s">
        <v>82</v>
      </c>
      <c r="AY448" s="14" t="s">
        <v>179</v>
      </c>
      <c r="BE448" s="166">
        <f t="shared" si="22"/>
        <v>0</v>
      </c>
      <c r="BF448" s="166">
        <f t="shared" si="23"/>
        <v>0</v>
      </c>
      <c r="BG448" s="166">
        <f t="shared" si="24"/>
        <v>0</v>
      </c>
      <c r="BH448" s="166">
        <f t="shared" si="25"/>
        <v>0</v>
      </c>
      <c r="BI448" s="166">
        <f t="shared" si="26"/>
        <v>0</v>
      </c>
      <c r="BJ448" s="14" t="s">
        <v>82</v>
      </c>
      <c r="BK448" s="166">
        <f>ROUND(I448*H448,2)</f>
        <v>0</v>
      </c>
      <c r="BL448" s="14" t="s">
        <v>185</v>
      </c>
      <c r="BM448" s="165" t="s">
        <v>470</v>
      </c>
    </row>
    <row r="449" spans="1:65" s="209" customFormat="1" ht="12">
      <c r="A449" s="195"/>
      <c r="B449" s="196"/>
      <c r="C449" s="197"/>
      <c r="D449" s="197"/>
      <c r="E449" s="198"/>
      <c r="F449" s="184" t="s">
        <v>3093</v>
      </c>
      <c r="G449" s="185"/>
      <c r="H449" s="192">
        <f>ROUND(0.8*0.58*0.3*2,2)</f>
        <v>0.28000000000000003</v>
      </c>
      <c r="I449" s="194"/>
      <c r="J449" s="194"/>
      <c r="K449" s="202"/>
      <c r="L449" s="203"/>
      <c r="M449" s="204"/>
      <c r="N449" s="205"/>
      <c r="O449" s="206"/>
      <c r="P449" s="207"/>
      <c r="Q449" s="207"/>
      <c r="R449" s="207"/>
      <c r="S449" s="207"/>
      <c r="T449" s="208"/>
      <c r="U449" s="195"/>
      <c r="V449" s="195"/>
      <c r="W449" s="195"/>
      <c r="X449" s="195"/>
      <c r="Y449" s="195"/>
      <c r="Z449" s="195"/>
      <c r="AA449" s="195"/>
      <c r="AB449" s="195"/>
      <c r="AC449" s="195"/>
      <c r="AD449" s="195"/>
      <c r="AE449" s="195"/>
      <c r="AR449" s="210"/>
      <c r="AT449" s="210"/>
      <c r="AU449" s="210"/>
      <c r="AY449" s="211"/>
      <c r="BE449" s="212"/>
      <c r="BF449" s="212"/>
      <c r="BG449" s="212"/>
      <c r="BH449" s="212"/>
      <c r="BI449" s="212"/>
      <c r="BJ449" s="211"/>
      <c r="BK449" s="212"/>
      <c r="BL449" s="211"/>
      <c r="BM449" s="210"/>
    </row>
    <row r="450" spans="1:65" s="209" customFormat="1" ht="12">
      <c r="A450" s="195"/>
      <c r="B450" s="196"/>
      <c r="C450" s="197"/>
      <c r="D450" s="197"/>
      <c r="E450" s="198"/>
      <c r="F450" s="184" t="s">
        <v>3094</v>
      </c>
      <c r="G450" s="185"/>
      <c r="H450" s="192">
        <f>ROUND(0.68*0.405*0.3*2,2)</f>
        <v>0.17</v>
      </c>
      <c r="I450" s="194"/>
      <c r="J450" s="194"/>
      <c r="K450" s="202"/>
      <c r="L450" s="203"/>
      <c r="M450" s="204"/>
      <c r="N450" s="205"/>
      <c r="O450" s="206"/>
      <c r="P450" s="207"/>
      <c r="Q450" s="207"/>
      <c r="R450" s="207"/>
      <c r="S450" s="207"/>
      <c r="T450" s="208"/>
      <c r="U450" s="195"/>
      <c r="V450" s="195"/>
      <c r="W450" s="195"/>
      <c r="X450" s="195"/>
      <c r="Y450" s="195"/>
      <c r="Z450" s="195"/>
      <c r="AA450" s="195"/>
      <c r="AB450" s="195"/>
      <c r="AC450" s="195"/>
      <c r="AD450" s="195"/>
      <c r="AE450" s="195"/>
      <c r="AR450" s="210"/>
      <c r="AT450" s="210"/>
      <c r="AU450" s="210"/>
      <c r="AY450" s="211"/>
      <c r="BE450" s="212"/>
      <c r="BF450" s="212"/>
      <c r="BG450" s="212"/>
      <c r="BH450" s="212"/>
      <c r="BI450" s="212"/>
      <c r="BJ450" s="211"/>
      <c r="BK450" s="212"/>
      <c r="BL450" s="211"/>
      <c r="BM450" s="210"/>
    </row>
    <row r="451" spans="1:65" s="209" customFormat="1" ht="12">
      <c r="A451" s="195"/>
      <c r="B451" s="196"/>
      <c r="C451" s="197"/>
      <c r="D451" s="197"/>
      <c r="E451" s="198"/>
      <c r="F451" s="187" t="s">
        <v>2983</v>
      </c>
      <c r="G451" s="188"/>
      <c r="H451" s="189">
        <f>SUM(H449:H450)</f>
        <v>0.45000000000000007</v>
      </c>
      <c r="I451" s="194"/>
      <c r="J451" s="194"/>
      <c r="K451" s="202"/>
      <c r="L451" s="203"/>
      <c r="M451" s="204"/>
      <c r="N451" s="205"/>
      <c r="O451" s="206"/>
      <c r="P451" s="207"/>
      <c r="Q451" s="207"/>
      <c r="R451" s="207"/>
      <c r="S451" s="207"/>
      <c r="T451" s="208"/>
      <c r="U451" s="195"/>
      <c r="V451" s="195"/>
      <c r="W451" s="195"/>
      <c r="X451" s="195"/>
      <c r="Y451" s="195"/>
      <c r="Z451" s="195"/>
      <c r="AA451" s="195"/>
      <c r="AB451" s="195"/>
      <c r="AC451" s="195"/>
      <c r="AD451" s="195"/>
      <c r="AE451" s="195"/>
      <c r="AR451" s="210"/>
      <c r="AT451" s="210"/>
      <c r="AU451" s="210"/>
      <c r="AY451" s="211"/>
      <c r="BE451" s="212"/>
      <c r="BF451" s="212"/>
      <c r="BG451" s="212"/>
      <c r="BH451" s="212"/>
      <c r="BI451" s="212"/>
      <c r="BJ451" s="211"/>
      <c r="BK451" s="212"/>
      <c r="BL451" s="211"/>
      <c r="BM451" s="210"/>
    </row>
    <row r="452" spans="1:65" s="2" customFormat="1" ht="24.2" customHeight="1">
      <c r="A452" s="29"/>
      <c r="B452" s="152"/>
      <c r="C452" s="153" t="s">
        <v>471</v>
      </c>
      <c r="D452" s="153" t="s">
        <v>181</v>
      </c>
      <c r="E452" s="154" t="s">
        <v>472</v>
      </c>
      <c r="F452" s="155" t="s">
        <v>473</v>
      </c>
      <c r="G452" s="156" t="s">
        <v>196</v>
      </c>
      <c r="H452" s="157">
        <v>1.98</v>
      </c>
      <c r="I452" s="158"/>
      <c r="J452" s="159">
        <v>0</v>
      </c>
      <c r="K452" s="160"/>
      <c r="L452" s="30"/>
      <c r="M452" s="161" t="s">
        <v>1</v>
      </c>
      <c r="N452" s="162" t="s">
        <v>35</v>
      </c>
      <c r="O452" s="58"/>
      <c r="P452" s="163">
        <f>O452*H452</f>
        <v>0</v>
      </c>
      <c r="Q452" s="163">
        <v>0</v>
      </c>
      <c r="R452" s="163">
        <f>Q452*H452</f>
        <v>0</v>
      </c>
      <c r="S452" s="163">
        <v>1.875</v>
      </c>
      <c r="T452" s="164">
        <f>S452*H452</f>
        <v>3.7124999999999999</v>
      </c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R452" s="165" t="s">
        <v>185</v>
      </c>
      <c r="AT452" s="165" t="s">
        <v>181</v>
      </c>
      <c r="AU452" s="165" t="s">
        <v>82</v>
      </c>
      <c r="AY452" s="14" t="s">
        <v>179</v>
      </c>
      <c r="BE452" s="166">
        <f t="shared" si="22"/>
        <v>0</v>
      </c>
      <c r="BF452" s="166">
        <f t="shared" si="23"/>
        <v>0</v>
      </c>
      <c r="BG452" s="166">
        <f t="shared" si="24"/>
        <v>0</v>
      </c>
      <c r="BH452" s="166">
        <f t="shared" si="25"/>
        <v>0</v>
      </c>
      <c r="BI452" s="166">
        <f t="shared" si="26"/>
        <v>0</v>
      </c>
      <c r="BJ452" s="14" t="s">
        <v>82</v>
      </c>
      <c r="BK452" s="166">
        <f>ROUND(I452*H452,2)</f>
        <v>0</v>
      </c>
      <c r="BL452" s="14" t="s">
        <v>185</v>
      </c>
      <c r="BM452" s="165" t="s">
        <v>474</v>
      </c>
    </row>
    <row r="453" spans="1:65" s="209" customFormat="1" ht="22.5">
      <c r="A453" s="195"/>
      <c r="B453" s="196"/>
      <c r="C453" s="197"/>
      <c r="D453" s="197"/>
      <c r="E453" s="198"/>
      <c r="F453" s="184" t="s">
        <v>3095</v>
      </c>
      <c r="G453" s="185"/>
      <c r="H453" s="186">
        <f>ROUND(0.96*0.09*0.3*2,2)</f>
        <v>0.05</v>
      </c>
      <c r="I453" s="194"/>
      <c r="J453" s="194"/>
      <c r="K453" s="202"/>
      <c r="L453" s="203"/>
      <c r="M453" s="204"/>
      <c r="N453" s="205"/>
      <c r="O453" s="206"/>
      <c r="P453" s="207"/>
      <c r="Q453" s="207"/>
      <c r="R453" s="207"/>
      <c r="S453" s="207"/>
      <c r="T453" s="208"/>
      <c r="U453" s="195"/>
      <c r="V453" s="195"/>
      <c r="W453" s="195"/>
      <c r="X453" s="195"/>
      <c r="Y453" s="195"/>
      <c r="Z453" s="195"/>
      <c r="AA453" s="195"/>
      <c r="AB453" s="195"/>
      <c r="AC453" s="195"/>
      <c r="AD453" s="195"/>
      <c r="AE453" s="195"/>
      <c r="AR453" s="210"/>
      <c r="AT453" s="210"/>
      <c r="AU453" s="210"/>
      <c r="AY453" s="211"/>
      <c r="BE453" s="212"/>
      <c r="BF453" s="212"/>
      <c r="BG453" s="212"/>
      <c r="BH453" s="212"/>
      <c r="BI453" s="212"/>
      <c r="BJ453" s="211"/>
      <c r="BK453" s="212"/>
      <c r="BL453" s="211"/>
      <c r="BM453" s="210"/>
    </row>
    <row r="454" spans="1:65" s="209" customFormat="1" ht="22.5">
      <c r="A454" s="195"/>
      <c r="B454" s="196"/>
      <c r="C454" s="197"/>
      <c r="D454" s="197"/>
      <c r="E454" s="198"/>
      <c r="F454" s="184" t="s">
        <v>3096</v>
      </c>
      <c r="G454" s="185"/>
      <c r="H454" s="186">
        <f>ROUND(2.01*0.3*0.04*2,2)</f>
        <v>0.05</v>
      </c>
      <c r="I454" s="194"/>
      <c r="J454" s="194"/>
      <c r="K454" s="202"/>
      <c r="L454" s="203"/>
      <c r="M454" s="204"/>
      <c r="N454" s="205"/>
      <c r="O454" s="206"/>
      <c r="P454" s="207"/>
      <c r="Q454" s="207"/>
      <c r="R454" s="207"/>
      <c r="S454" s="207"/>
      <c r="T454" s="208"/>
      <c r="U454" s="195"/>
      <c r="V454" s="195"/>
      <c r="W454" s="195"/>
      <c r="X454" s="195"/>
      <c r="Y454" s="195"/>
      <c r="Z454" s="195"/>
      <c r="AA454" s="195"/>
      <c r="AB454" s="195"/>
      <c r="AC454" s="195"/>
      <c r="AD454" s="195"/>
      <c r="AE454" s="195"/>
      <c r="AR454" s="210"/>
      <c r="AT454" s="210"/>
      <c r="AU454" s="210"/>
      <c r="AY454" s="211"/>
      <c r="BE454" s="212"/>
      <c r="BF454" s="212"/>
      <c r="BG454" s="212"/>
      <c r="BH454" s="212"/>
      <c r="BI454" s="212"/>
      <c r="BJ454" s="211"/>
      <c r="BK454" s="212"/>
      <c r="BL454" s="211"/>
      <c r="BM454" s="210"/>
    </row>
    <row r="455" spans="1:65" s="209" customFormat="1" ht="22.5">
      <c r="A455" s="195"/>
      <c r="B455" s="196"/>
      <c r="C455" s="197"/>
      <c r="D455" s="197"/>
      <c r="E455" s="198"/>
      <c r="F455" s="184" t="s">
        <v>3097</v>
      </c>
      <c r="G455" s="185"/>
      <c r="H455" s="186">
        <f>ROUND(2.4*1.2*0.25,2)</f>
        <v>0.72</v>
      </c>
      <c r="I455" s="194"/>
      <c r="J455" s="194"/>
      <c r="K455" s="202"/>
      <c r="L455" s="203"/>
      <c r="M455" s="204"/>
      <c r="N455" s="205"/>
      <c r="O455" s="206"/>
      <c r="P455" s="207"/>
      <c r="Q455" s="207"/>
      <c r="R455" s="207"/>
      <c r="S455" s="207"/>
      <c r="T455" s="208"/>
      <c r="U455" s="195"/>
      <c r="V455" s="195"/>
      <c r="W455" s="195"/>
      <c r="X455" s="195"/>
      <c r="Y455" s="195"/>
      <c r="Z455" s="195"/>
      <c r="AA455" s="195"/>
      <c r="AB455" s="195"/>
      <c r="AC455" s="195"/>
      <c r="AD455" s="195"/>
      <c r="AE455" s="195"/>
      <c r="AR455" s="210"/>
      <c r="AT455" s="210"/>
      <c r="AU455" s="210"/>
      <c r="AY455" s="211"/>
      <c r="BE455" s="212"/>
      <c r="BF455" s="212"/>
      <c r="BG455" s="212"/>
      <c r="BH455" s="212"/>
      <c r="BI455" s="212"/>
      <c r="BJ455" s="211"/>
      <c r="BK455" s="212"/>
      <c r="BL455" s="211"/>
      <c r="BM455" s="210"/>
    </row>
    <row r="456" spans="1:65" s="209" customFormat="1" ht="45">
      <c r="A456" s="195"/>
      <c r="B456" s="196"/>
      <c r="C456" s="197"/>
      <c r="D456" s="197"/>
      <c r="E456" s="198"/>
      <c r="F456" s="184" t="s">
        <v>3098</v>
      </c>
      <c r="G456" s="185"/>
      <c r="H456" s="186">
        <f>ROUND(((1.85*2.4-1*2.02)+2.25*0.25)*0.3,2)</f>
        <v>0.89</v>
      </c>
      <c r="I456" s="194"/>
      <c r="J456" s="194"/>
      <c r="K456" s="202"/>
      <c r="L456" s="203"/>
      <c r="M456" s="204"/>
      <c r="N456" s="205"/>
      <c r="O456" s="206"/>
      <c r="P456" s="207"/>
      <c r="Q456" s="207"/>
      <c r="R456" s="207"/>
      <c r="S456" s="207"/>
      <c r="T456" s="208"/>
      <c r="U456" s="195"/>
      <c r="V456" s="195"/>
      <c r="W456" s="195"/>
      <c r="X456" s="195"/>
      <c r="Y456" s="195"/>
      <c r="Z456" s="195"/>
      <c r="AA456" s="195"/>
      <c r="AB456" s="195"/>
      <c r="AC456" s="195"/>
      <c r="AD456" s="195"/>
      <c r="AE456" s="195"/>
      <c r="AR456" s="210"/>
      <c r="AT456" s="210"/>
      <c r="AU456" s="210"/>
      <c r="AY456" s="211"/>
      <c r="BE456" s="212"/>
      <c r="BF456" s="212"/>
      <c r="BG456" s="212"/>
      <c r="BH456" s="212"/>
      <c r="BI456" s="212"/>
      <c r="BJ456" s="211"/>
      <c r="BK456" s="212"/>
      <c r="BL456" s="211"/>
      <c r="BM456" s="210"/>
    </row>
    <row r="457" spans="1:65" s="209" customFormat="1" ht="33.75">
      <c r="A457" s="195"/>
      <c r="B457" s="196"/>
      <c r="C457" s="197"/>
      <c r="D457" s="197"/>
      <c r="E457" s="198"/>
      <c r="F457" s="184" t="s">
        <v>3099</v>
      </c>
      <c r="G457" s="185"/>
      <c r="H457" s="186">
        <f>ROUND((0.96*0.4+1.25*0.25)*0.25,2)</f>
        <v>0.17</v>
      </c>
      <c r="I457" s="194"/>
      <c r="J457" s="194"/>
      <c r="K457" s="202"/>
      <c r="L457" s="203"/>
      <c r="M457" s="204"/>
      <c r="N457" s="205"/>
      <c r="O457" s="206"/>
      <c r="P457" s="207"/>
      <c r="Q457" s="207"/>
      <c r="R457" s="207"/>
      <c r="S457" s="207"/>
      <c r="T457" s="208"/>
      <c r="U457" s="195"/>
      <c r="V457" s="195"/>
      <c r="W457" s="195"/>
      <c r="X457" s="195"/>
      <c r="Y457" s="195"/>
      <c r="Z457" s="195"/>
      <c r="AA457" s="195"/>
      <c r="AB457" s="195"/>
      <c r="AC457" s="195"/>
      <c r="AD457" s="195"/>
      <c r="AE457" s="195"/>
      <c r="AR457" s="210"/>
      <c r="AT457" s="210"/>
      <c r="AU457" s="210"/>
      <c r="AY457" s="211"/>
      <c r="BE457" s="212"/>
      <c r="BF457" s="212"/>
      <c r="BG457" s="212"/>
      <c r="BH457" s="212"/>
      <c r="BI457" s="212"/>
      <c r="BJ457" s="211"/>
      <c r="BK457" s="212"/>
      <c r="BL457" s="211"/>
      <c r="BM457" s="210"/>
    </row>
    <row r="458" spans="1:65" s="209" customFormat="1" ht="33.75">
      <c r="A458" s="195"/>
      <c r="B458" s="196"/>
      <c r="C458" s="197"/>
      <c r="D458" s="197"/>
      <c r="E458" s="198"/>
      <c r="F458" s="184" t="s">
        <v>3100</v>
      </c>
      <c r="G458" s="185"/>
      <c r="H458" s="186">
        <f>ROUND((1.15*0.2+1.5*0.07)*0.3,2)</f>
        <v>0.1</v>
      </c>
      <c r="I458" s="194"/>
      <c r="J458" s="194"/>
      <c r="K458" s="202"/>
      <c r="L458" s="203"/>
      <c r="M458" s="204"/>
      <c r="N458" s="205"/>
      <c r="O458" s="206"/>
      <c r="P458" s="207"/>
      <c r="Q458" s="207"/>
      <c r="R458" s="207"/>
      <c r="S458" s="207"/>
      <c r="T458" s="208"/>
      <c r="U458" s="195"/>
      <c r="V458" s="195"/>
      <c r="W458" s="195"/>
      <c r="X458" s="195"/>
      <c r="Y458" s="195"/>
      <c r="Z458" s="195"/>
      <c r="AA458" s="195"/>
      <c r="AB458" s="195"/>
      <c r="AC458" s="195"/>
      <c r="AD458" s="195"/>
      <c r="AE458" s="195"/>
      <c r="AR458" s="210"/>
      <c r="AT458" s="210"/>
      <c r="AU458" s="210"/>
      <c r="AY458" s="211"/>
      <c r="BE458" s="212"/>
      <c r="BF458" s="212"/>
      <c r="BG458" s="212"/>
      <c r="BH458" s="212"/>
      <c r="BI458" s="212"/>
      <c r="BJ458" s="211"/>
      <c r="BK458" s="212"/>
      <c r="BL458" s="211"/>
      <c r="BM458" s="210"/>
    </row>
    <row r="459" spans="1:65" s="209" customFormat="1" ht="12">
      <c r="A459" s="195"/>
      <c r="B459" s="196"/>
      <c r="C459" s="197"/>
      <c r="D459" s="197"/>
      <c r="E459" s="198"/>
      <c r="F459" s="187" t="s">
        <v>2983</v>
      </c>
      <c r="G459" s="188"/>
      <c r="H459" s="189">
        <f>SUM(H453:H458)</f>
        <v>1.98</v>
      </c>
      <c r="I459" s="194"/>
      <c r="J459" s="194"/>
      <c r="K459" s="202"/>
      <c r="L459" s="203"/>
      <c r="M459" s="204"/>
      <c r="N459" s="205"/>
      <c r="O459" s="206"/>
      <c r="P459" s="207"/>
      <c r="Q459" s="207"/>
      <c r="R459" s="207"/>
      <c r="S459" s="207"/>
      <c r="T459" s="208"/>
      <c r="U459" s="195"/>
      <c r="V459" s="195"/>
      <c r="W459" s="195"/>
      <c r="X459" s="195"/>
      <c r="Y459" s="195"/>
      <c r="Z459" s="195"/>
      <c r="AA459" s="195"/>
      <c r="AB459" s="195"/>
      <c r="AC459" s="195"/>
      <c r="AD459" s="195"/>
      <c r="AE459" s="195"/>
      <c r="AR459" s="210"/>
      <c r="AT459" s="210"/>
      <c r="AU459" s="210"/>
      <c r="AY459" s="211"/>
      <c r="BE459" s="212"/>
      <c r="BF459" s="212"/>
      <c r="BG459" s="212"/>
      <c r="BH459" s="212"/>
      <c r="BI459" s="212"/>
      <c r="BJ459" s="211"/>
      <c r="BK459" s="212"/>
      <c r="BL459" s="211"/>
      <c r="BM459" s="210"/>
    </row>
    <row r="460" spans="1:65" s="2" customFormat="1" ht="24.2" customHeight="1">
      <c r="A460" s="29"/>
      <c r="B460" s="152"/>
      <c r="C460" s="153" t="s">
        <v>333</v>
      </c>
      <c r="D460" s="153" t="s">
        <v>181</v>
      </c>
      <c r="E460" s="154" t="s">
        <v>475</v>
      </c>
      <c r="F460" s="155" t="s">
        <v>476</v>
      </c>
      <c r="G460" s="156" t="s">
        <v>477</v>
      </c>
      <c r="H460" s="157">
        <v>180</v>
      </c>
      <c r="I460" s="158"/>
      <c r="J460" s="159">
        <v>0</v>
      </c>
      <c r="K460" s="160"/>
      <c r="L460" s="30"/>
      <c r="M460" s="161" t="s">
        <v>1</v>
      </c>
      <c r="N460" s="162" t="s">
        <v>35</v>
      </c>
      <c r="O460" s="58"/>
      <c r="P460" s="163">
        <f>O460*H460</f>
        <v>0</v>
      </c>
      <c r="Q460" s="163">
        <v>1.12064E-5</v>
      </c>
      <c r="R460" s="163">
        <f>Q460*H460</f>
        <v>2.0171519999999999E-3</v>
      </c>
      <c r="S460" s="163">
        <v>2.5000000000000001E-4</v>
      </c>
      <c r="T460" s="164">
        <f>S460*H460</f>
        <v>4.4999999999999998E-2</v>
      </c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  <c r="AR460" s="165" t="s">
        <v>185</v>
      </c>
      <c r="AT460" s="165" t="s">
        <v>181</v>
      </c>
      <c r="AU460" s="165" t="s">
        <v>82</v>
      </c>
      <c r="AY460" s="14" t="s">
        <v>179</v>
      </c>
      <c r="BE460" s="166">
        <f t="shared" si="22"/>
        <v>0</v>
      </c>
      <c r="BF460" s="166">
        <f t="shared" si="23"/>
        <v>0</v>
      </c>
      <c r="BG460" s="166">
        <f t="shared" si="24"/>
        <v>0</v>
      </c>
      <c r="BH460" s="166">
        <f t="shared" si="25"/>
        <v>0</v>
      </c>
      <c r="BI460" s="166">
        <f t="shared" si="26"/>
        <v>0</v>
      </c>
      <c r="BJ460" s="14" t="s">
        <v>82</v>
      </c>
      <c r="BK460" s="166">
        <f>ROUND(I460*H460,2)</f>
        <v>0</v>
      </c>
      <c r="BL460" s="14" t="s">
        <v>185</v>
      </c>
      <c r="BM460" s="165" t="s">
        <v>478</v>
      </c>
    </row>
    <row r="461" spans="1:65" s="209" customFormat="1" ht="12">
      <c r="A461" s="195"/>
      <c r="B461" s="196"/>
      <c r="C461" s="197"/>
      <c r="D461" s="197"/>
      <c r="E461" s="198"/>
      <c r="F461" s="184" t="s">
        <v>3101</v>
      </c>
      <c r="G461" s="185"/>
      <c r="H461" s="192">
        <f>6*30</f>
        <v>180</v>
      </c>
      <c r="I461" s="194"/>
      <c r="J461" s="194"/>
      <c r="K461" s="202"/>
      <c r="L461" s="203"/>
      <c r="M461" s="204"/>
      <c r="N461" s="205"/>
      <c r="O461" s="206"/>
      <c r="P461" s="207"/>
      <c r="Q461" s="207"/>
      <c r="R461" s="207"/>
      <c r="S461" s="207"/>
      <c r="T461" s="208"/>
      <c r="U461" s="195"/>
      <c r="V461" s="195"/>
      <c r="W461" s="195"/>
      <c r="X461" s="195"/>
      <c r="Y461" s="195"/>
      <c r="Z461" s="195"/>
      <c r="AA461" s="195"/>
      <c r="AB461" s="195"/>
      <c r="AC461" s="195"/>
      <c r="AD461" s="195"/>
      <c r="AE461" s="195"/>
      <c r="AR461" s="210"/>
      <c r="AT461" s="210"/>
      <c r="AU461" s="210"/>
      <c r="AY461" s="211"/>
      <c r="BE461" s="212"/>
      <c r="BF461" s="212"/>
      <c r="BG461" s="212"/>
      <c r="BH461" s="212"/>
      <c r="BI461" s="212"/>
      <c r="BJ461" s="211"/>
      <c r="BK461" s="212"/>
      <c r="BL461" s="211"/>
      <c r="BM461" s="210"/>
    </row>
    <row r="462" spans="1:65" s="209" customFormat="1" ht="12">
      <c r="A462" s="195"/>
      <c r="B462" s="196"/>
      <c r="C462" s="197"/>
      <c r="D462" s="197"/>
      <c r="E462" s="198"/>
      <c r="F462" s="187" t="s">
        <v>2983</v>
      </c>
      <c r="G462" s="188"/>
      <c r="H462" s="189">
        <f>SUM(H461:H461)</f>
        <v>180</v>
      </c>
      <c r="I462" s="194"/>
      <c r="J462" s="194"/>
      <c r="K462" s="202"/>
      <c r="L462" s="203"/>
      <c r="M462" s="204"/>
      <c r="N462" s="205"/>
      <c r="O462" s="206"/>
      <c r="P462" s="207"/>
      <c r="Q462" s="207"/>
      <c r="R462" s="207"/>
      <c r="S462" s="207"/>
      <c r="T462" s="208"/>
      <c r="U462" s="195"/>
      <c r="V462" s="195"/>
      <c r="W462" s="195"/>
      <c r="X462" s="195"/>
      <c r="Y462" s="195"/>
      <c r="Z462" s="195"/>
      <c r="AA462" s="195"/>
      <c r="AB462" s="195"/>
      <c r="AC462" s="195"/>
      <c r="AD462" s="195"/>
      <c r="AE462" s="195"/>
      <c r="AR462" s="210"/>
      <c r="AT462" s="210"/>
      <c r="AU462" s="210"/>
      <c r="AY462" s="211"/>
      <c r="BE462" s="212"/>
      <c r="BF462" s="212"/>
      <c r="BG462" s="212"/>
      <c r="BH462" s="212"/>
      <c r="BI462" s="212"/>
      <c r="BJ462" s="211"/>
      <c r="BK462" s="212"/>
      <c r="BL462" s="211"/>
      <c r="BM462" s="210"/>
    </row>
    <row r="463" spans="1:65" s="2" customFormat="1" ht="24.2" customHeight="1">
      <c r="A463" s="29"/>
      <c r="B463" s="152"/>
      <c r="C463" s="153" t="s">
        <v>479</v>
      </c>
      <c r="D463" s="153" t="s">
        <v>181</v>
      </c>
      <c r="E463" s="154" t="s">
        <v>480</v>
      </c>
      <c r="F463" s="155" t="s">
        <v>481</v>
      </c>
      <c r="G463" s="156" t="s">
        <v>477</v>
      </c>
      <c r="H463" s="157">
        <v>30</v>
      </c>
      <c r="I463" s="158"/>
      <c r="J463" s="159">
        <v>0</v>
      </c>
      <c r="K463" s="160"/>
      <c r="L463" s="30"/>
      <c r="M463" s="161" t="s">
        <v>1</v>
      </c>
      <c r="N463" s="162" t="s">
        <v>35</v>
      </c>
      <c r="O463" s="58"/>
      <c r="P463" s="163">
        <f>O463*H463</f>
        <v>0</v>
      </c>
      <c r="Q463" s="163">
        <v>3.1689300000000002E-5</v>
      </c>
      <c r="R463" s="163">
        <f>Q463*H463</f>
        <v>9.5067900000000006E-4</v>
      </c>
      <c r="S463" s="163">
        <v>2.7999999999999998E-4</v>
      </c>
      <c r="T463" s="164">
        <f>S463*H463</f>
        <v>8.3999999999999995E-3</v>
      </c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  <c r="AR463" s="165" t="s">
        <v>185</v>
      </c>
      <c r="AT463" s="165" t="s">
        <v>181</v>
      </c>
      <c r="AU463" s="165" t="s">
        <v>82</v>
      </c>
      <c r="AY463" s="14" t="s">
        <v>179</v>
      </c>
      <c r="BE463" s="166">
        <f t="shared" si="22"/>
        <v>0</v>
      </c>
      <c r="BF463" s="166">
        <f t="shared" si="23"/>
        <v>0</v>
      </c>
      <c r="BG463" s="166">
        <f t="shared" si="24"/>
        <v>0</v>
      </c>
      <c r="BH463" s="166">
        <f t="shared" si="25"/>
        <v>0</v>
      </c>
      <c r="BI463" s="166">
        <f t="shared" si="26"/>
        <v>0</v>
      </c>
      <c r="BJ463" s="14" t="s">
        <v>82</v>
      </c>
      <c r="BK463" s="166">
        <f>ROUND(I463*H463,2)</f>
        <v>0</v>
      </c>
      <c r="BL463" s="14" t="s">
        <v>185</v>
      </c>
      <c r="BM463" s="165" t="s">
        <v>482</v>
      </c>
    </row>
    <row r="464" spans="1:65" s="209" customFormat="1" ht="12">
      <c r="A464" s="195"/>
      <c r="B464" s="196"/>
      <c r="C464" s="197"/>
      <c r="D464" s="197"/>
      <c r="E464" s="198"/>
      <c r="F464" s="184" t="s">
        <v>3102</v>
      </c>
      <c r="G464" s="185"/>
      <c r="H464" s="192">
        <f>1*30</f>
        <v>30</v>
      </c>
      <c r="I464" s="194"/>
      <c r="J464" s="194"/>
      <c r="K464" s="202"/>
      <c r="L464" s="203"/>
      <c r="M464" s="204"/>
      <c r="N464" s="205"/>
      <c r="O464" s="206"/>
      <c r="P464" s="207"/>
      <c r="Q464" s="207"/>
      <c r="R464" s="207"/>
      <c r="S464" s="207"/>
      <c r="T464" s="208"/>
      <c r="U464" s="195"/>
      <c r="V464" s="195"/>
      <c r="W464" s="195"/>
      <c r="X464" s="195"/>
      <c r="Y464" s="195"/>
      <c r="Z464" s="195"/>
      <c r="AA464" s="195"/>
      <c r="AB464" s="195"/>
      <c r="AC464" s="195"/>
      <c r="AD464" s="195"/>
      <c r="AE464" s="195"/>
      <c r="AR464" s="210"/>
      <c r="AT464" s="210"/>
      <c r="AU464" s="210"/>
      <c r="AY464" s="211"/>
      <c r="BE464" s="212"/>
      <c r="BF464" s="212"/>
      <c r="BG464" s="212"/>
      <c r="BH464" s="212"/>
      <c r="BI464" s="212"/>
      <c r="BJ464" s="211"/>
      <c r="BK464" s="212"/>
      <c r="BL464" s="211"/>
      <c r="BM464" s="210"/>
    </row>
    <row r="465" spans="1:65" s="209" customFormat="1" ht="12">
      <c r="A465" s="195"/>
      <c r="B465" s="196"/>
      <c r="C465" s="197"/>
      <c r="D465" s="197"/>
      <c r="E465" s="198"/>
      <c r="F465" s="187" t="s">
        <v>2983</v>
      </c>
      <c r="G465" s="188"/>
      <c r="H465" s="189">
        <f>SUM(H464:H464)</f>
        <v>30</v>
      </c>
      <c r="I465" s="194"/>
      <c r="J465" s="194"/>
      <c r="K465" s="202"/>
      <c r="L465" s="203"/>
      <c r="M465" s="204"/>
      <c r="N465" s="205"/>
      <c r="O465" s="206"/>
      <c r="P465" s="207"/>
      <c r="Q465" s="207"/>
      <c r="R465" s="207"/>
      <c r="S465" s="207"/>
      <c r="T465" s="208"/>
      <c r="U465" s="195"/>
      <c r="V465" s="195"/>
      <c r="W465" s="195"/>
      <c r="X465" s="195"/>
      <c r="Y465" s="195"/>
      <c r="Z465" s="195"/>
      <c r="AA465" s="195"/>
      <c r="AB465" s="195"/>
      <c r="AC465" s="195"/>
      <c r="AD465" s="195"/>
      <c r="AE465" s="195"/>
      <c r="AR465" s="210"/>
      <c r="AT465" s="210"/>
      <c r="AU465" s="210"/>
      <c r="AY465" s="211"/>
      <c r="BE465" s="212"/>
      <c r="BF465" s="212"/>
      <c r="BG465" s="212"/>
      <c r="BH465" s="212"/>
      <c r="BI465" s="212"/>
      <c r="BJ465" s="211"/>
      <c r="BK465" s="212"/>
      <c r="BL465" s="211"/>
      <c r="BM465" s="210"/>
    </row>
    <row r="466" spans="1:65" s="2" customFormat="1" ht="24.2" customHeight="1">
      <c r="A466" s="29"/>
      <c r="B466" s="152"/>
      <c r="C466" s="153" t="s">
        <v>336</v>
      </c>
      <c r="D466" s="153" t="s">
        <v>181</v>
      </c>
      <c r="E466" s="154" t="s">
        <v>483</v>
      </c>
      <c r="F466" s="155" t="s">
        <v>484</v>
      </c>
      <c r="G466" s="156" t="s">
        <v>477</v>
      </c>
      <c r="H466" s="157">
        <v>36</v>
      </c>
      <c r="I466" s="158"/>
      <c r="J466" s="159">
        <v>0</v>
      </c>
      <c r="K466" s="160"/>
      <c r="L466" s="30"/>
      <c r="M466" s="161" t="s">
        <v>1</v>
      </c>
      <c r="N466" s="162" t="s">
        <v>35</v>
      </c>
      <c r="O466" s="58"/>
      <c r="P466" s="163">
        <f>O466*H466</f>
        <v>0</v>
      </c>
      <c r="Q466" s="163">
        <v>9.6819999999999998E-6</v>
      </c>
      <c r="R466" s="163">
        <f>Q466*H466</f>
        <v>3.4855200000000002E-4</v>
      </c>
      <c r="S466" s="163">
        <v>3.4000000000000002E-4</v>
      </c>
      <c r="T466" s="164">
        <f>S466*H466</f>
        <v>1.2240000000000001E-2</v>
      </c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  <c r="AR466" s="165" t="s">
        <v>185</v>
      </c>
      <c r="AT466" s="165" t="s">
        <v>181</v>
      </c>
      <c r="AU466" s="165" t="s">
        <v>82</v>
      </c>
      <c r="AY466" s="14" t="s">
        <v>179</v>
      </c>
      <c r="BE466" s="166">
        <f t="shared" si="22"/>
        <v>0</v>
      </c>
      <c r="BF466" s="166">
        <f t="shared" si="23"/>
        <v>0</v>
      </c>
      <c r="BG466" s="166">
        <f t="shared" si="24"/>
        <v>0</v>
      </c>
      <c r="BH466" s="166">
        <f t="shared" si="25"/>
        <v>0</v>
      </c>
      <c r="BI466" s="166">
        <f t="shared" si="26"/>
        <v>0</v>
      </c>
      <c r="BJ466" s="14" t="s">
        <v>82</v>
      </c>
      <c r="BK466" s="166">
        <f>ROUND(I466*H466,2)</f>
        <v>0</v>
      </c>
      <c r="BL466" s="14" t="s">
        <v>185</v>
      </c>
      <c r="BM466" s="165" t="s">
        <v>485</v>
      </c>
    </row>
    <row r="467" spans="1:65" s="209" customFormat="1" ht="12">
      <c r="A467" s="195"/>
      <c r="B467" s="196"/>
      <c r="C467" s="197"/>
      <c r="D467" s="197"/>
      <c r="E467" s="198"/>
      <c r="F467" s="184" t="s">
        <v>3103</v>
      </c>
      <c r="G467" s="185"/>
      <c r="H467" s="192">
        <f>6*6</f>
        <v>36</v>
      </c>
      <c r="I467" s="194"/>
      <c r="J467" s="194"/>
      <c r="K467" s="202"/>
      <c r="L467" s="203"/>
      <c r="M467" s="204"/>
      <c r="N467" s="205"/>
      <c r="O467" s="206"/>
      <c r="P467" s="207"/>
      <c r="Q467" s="207"/>
      <c r="R467" s="207"/>
      <c r="S467" s="207"/>
      <c r="T467" s="208"/>
      <c r="U467" s="195"/>
      <c r="V467" s="195"/>
      <c r="W467" s="195"/>
      <c r="X467" s="195"/>
      <c r="Y467" s="195"/>
      <c r="Z467" s="195"/>
      <c r="AA467" s="195"/>
      <c r="AB467" s="195"/>
      <c r="AC467" s="195"/>
      <c r="AD467" s="195"/>
      <c r="AE467" s="195"/>
      <c r="AR467" s="210"/>
      <c r="AT467" s="210"/>
      <c r="AU467" s="210"/>
      <c r="AY467" s="211"/>
      <c r="BE467" s="212"/>
      <c r="BF467" s="212"/>
      <c r="BG467" s="212"/>
      <c r="BH467" s="212"/>
      <c r="BI467" s="212"/>
      <c r="BJ467" s="211"/>
      <c r="BK467" s="212"/>
      <c r="BL467" s="211"/>
      <c r="BM467" s="210"/>
    </row>
    <row r="468" spans="1:65" s="209" customFormat="1" ht="12">
      <c r="A468" s="195"/>
      <c r="B468" s="196"/>
      <c r="C468" s="197"/>
      <c r="D468" s="197"/>
      <c r="E468" s="198"/>
      <c r="F468" s="187" t="s">
        <v>2983</v>
      </c>
      <c r="G468" s="188"/>
      <c r="H468" s="189">
        <f>SUM(H467:H467)</f>
        <v>36</v>
      </c>
      <c r="I468" s="194"/>
      <c r="J468" s="194"/>
      <c r="K468" s="202"/>
      <c r="L468" s="203"/>
      <c r="M468" s="204"/>
      <c r="N468" s="205"/>
      <c r="O468" s="206"/>
      <c r="P468" s="207"/>
      <c r="Q468" s="207"/>
      <c r="R468" s="207"/>
      <c r="S468" s="207"/>
      <c r="T468" s="208"/>
      <c r="U468" s="195"/>
      <c r="V468" s="195"/>
      <c r="W468" s="195"/>
      <c r="X468" s="195"/>
      <c r="Y468" s="195"/>
      <c r="Z468" s="195"/>
      <c r="AA468" s="195"/>
      <c r="AB468" s="195"/>
      <c r="AC468" s="195"/>
      <c r="AD468" s="195"/>
      <c r="AE468" s="195"/>
      <c r="AR468" s="210"/>
      <c r="AT468" s="210"/>
      <c r="AU468" s="210"/>
      <c r="AY468" s="211"/>
      <c r="BE468" s="212"/>
      <c r="BF468" s="212"/>
      <c r="BG468" s="212"/>
      <c r="BH468" s="212"/>
      <c r="BI468" s="212"/>
      <c r="BJ468" s="211"/>
      <c r="BK468" s="212"/>
      <c r="BL468" s="211"/>
      <c r="BM468" s="210"/>
    </row>
    <row r="469" spans="1:65" s="2" customFormat="1" ht="24.2" customHeight="1">
      <c r="A469" s="29"/>
      <c r="B469" s="152"/>
      <c r="C469" s="153" t="s">
        <v>486</v>
      </c>
      <c r="D469" s="153" t="s">
        <v>181</v>
      </c>
      <c r="E469" s="154" t="s">
        <v>487</v>
      </c>
      <c r="F469" s="155" t="s">
        <v>488</v>
      </c>
      <c r="G469" s="156" t="s">
        <v>217</v>
      </c>
      <c r="H469" s="157">
        <v>4</v>
      </c>
      <c r="I469" s="158"/>
      <c r="J469" s="159">
        <v>0</v>
      </c>
      <c r="K469" s="160"/>
      <c r="L469" s="30"/>
      <c r="M469" s="161" t="s">
        <v>1</v>
      </c>
      <c r="N469" s="162" t="s">
        <v>35</v>
      </c>
      <c r="O469" s="58"/>
      <c r="P469" s="163">
        <f>O469*H469</f>
        <v>0</v>
      </c>
      <c r="Q469" s="163">
        <v>0</v>
      </c>
      <c r="R469" s="163">
        <f>Q469*H469</f>
        <v>0</v>
      </c>
      <c r="S469" s="163">
        <v>0</v>
      </c>
      <c r="T469" s="164">
        <f>S469*H469</f>
        <v>0</v>
      </c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R469" s="165" t="s">
        <v>185</v>
      </c>
      <c r="AT469" s="165" t="s">
        <v>181</v>
      </c>
      <c r="AU469" s="165" t="s">
        <v>82</v>
      </c>
      <c r="AY469" s="14" t="s">
        <v>179</v>
      </c>
      <c r="BE469" s="166">
        <f t="shared" si="22"/>
        <v>0</v>
      </c>
      <c r="BF469" s="166">
        <f t="shared" si="23"/>
        <v>0</v>
      </c>
      <c r="BG469" s="166">
        <f t="shared" si="24"/>
        <v>0</v>
      </c>
      <c r="BH469" s="166">
        <f t="shared" si="25"/>
        <v>0</v>
      </c>
      <c r="BI469" s="166">
        <f t="shared" si="26"/>
        <v>0</v>
      </c>
      <c r="BJ469" s="14" t="s">
        <v>82</v>
      </c>
      <c r="BK469" s="166">
        <f>ROUND(I469*H469,2)</f>
        <v>0</v>
      </c>
      <c r="BL469" s="14" t="s">
        <v>185</v>
      </c>
      <c r="BM469" s="165" t="s">
        <v>489</v>
      </c>
    </row>
    <row r="470" spans="1:65" s="209" customFormat="1" ht="12">
      <c r="A470" s="195"/>
      <c r="B470" s="196"/>
      <c r="C470" s="197"/>
      <c r="D470" s="197"/>
      <c r="E470" s="198"/>
      <c r="F470" s="184" t="s">
        <v>3104</v>
      </c>
      <c r="G470" s="185"/>
      <c r="H470" s="192">
        <v>2</v>
      </c>
      <c r="I470" s="194"/>
      <c r="J470" s="194"/>
      <c r="K470" s="202"/>
      <c r="L470" s="203"/>
      <c r="M470" s="204"/>
      <c r="N470" s="205"/>
      <c r="O470" s="206"/>
      <c r="P470" s="207"/>
      <c r="Q470" s="207"/>
      <c r="R470" s="207"/>
      <c r="S470" s="207"/>
      <c r="T470" s="208"/>
      <c r="U470" s="195"/>
      <c r="V470" s="195"/>
      <c r="W470" s="195"/>
      <c r="X470" s="195"/>
      <c r="Y470" s="195"/>
      <c r="Z470" s="195"/>
      <c r="AA470" s="195"/>
      <c r="AB470" s="195"/>
      <c r="AC470" s="195"/>
      <c r="AD470" s="195"/>
      <c r="AE470" s="195"/>
      <c r="AR470" s="210"/>
      <c r="AT470" s="210"/>
      <c r="AU470" s="210"/>
      <c r="AY470" s="211"/>
      <c r="BE470" s="212"/>
      <c r="BF470" s="212"/>
      <c r="BG470" s="212"/>
      <c r="BH470" s="212"/>
      <c r="BI470" s="212"/>
      <c r="BJ470" s="211"/>
      <c r="BK470" s="212"/>
      <c r="BL470" s="211"/>
      <c r="BM470" s="210"/>
    </row>
    <row r="471" spans="1:65" s="209" customFormat="1" ht="12">
      <c r="A471" s="195"/>
      <c r="B471" s="196"/>
      <c r="C471" s="197"/>
      <c r="D471" s="197"/>
      <c r="E471" s="198"/>
      <c r="F471" s="184" t="s">
        <v>3105</v>
      </c>
      <c r="G471" s="185"/>
      <c r="H471" s="192">
        <v>2</v>
      </c>
      <c r="I471" s="194"/>
      <c r="J471" s="194"/>
      <c r="K471" s="202"/>
      <c r="L471" s="203"/>
      <c r="M471" s="204"/>
      <c r="N471" s="205"/>
      <c r="O471" s="206"/>
      <c r="P471" s="207"/>
      <c r="Q471" s="207"/>
      <c r="R471" s="207"/>
      <c r="S471" s="207"/>
      <c r="T471" s="208"/>
      <c r="U471" s="195"/>
      <c r="V471" s="195"/>
      <c r="W471" s="195"/>
      <c r="X471" s="195"/>
      <c r="Y471" s="195"/>
      <c r="Z471" s="195"/>
      <c r="AA471" s="195"/>
      <c r="AB471" s="195"/>
      <c r="AC471" s="195"/>
      <c r="AD471" s="195"/>
      <c r="AE471" s="195"/>
      <c r="AR471" s="210"/>
      <c r="AT471" s="210"/>
      <c r="AU471" s="210"/>
      <c r="AY471" s="211"/>
      <c r="BE471" s="212"/>
      <c r="BF471" s="212"/>
      <c r="BG471" s="212"/>
      <c r="BH471" s="212"/>
      <c r="BI471" s="212"/>
      <c r="BJ471" s="211"/>
      <c r="BK471" s="212"/>
      <c r="BL471" s="211"/>
      <c r="BM471" s="210"/>
    </row>
    <row r="472" spans="1:65" s="209" customFormat="1" ht="12">
      <c r="A472" s="195"/>
      <c r="B472" s="196"/>
      <c r="C472" s="197"/>
      <c r="D472" s="197"/>
      <c r="E472" s="198"/>
      <c r="F472" s="187" t="s">
        <v>2983</v>
      </c>
      <c r="G472" s="188"/>
      <c r="H472" s="189">
        <f>SUM(H470:H471)</f>
        <v>4</v>
      </c>
      <c r="I472" s="194"/>
      <c r="J472" s="194"/>
      <c r="K472" s="202"/>
      <c r="L472" s="203"/>
      <c r="M472" s="204"/>
      <c r="N472" s="205"/>
      <c r="O472" s="206"/>
      <c r="P472" s="207"/>
      <c r="Q472" s="207"/>
      <c r="R472" s="207"/>
      <c r="S472" s="207"/>
      <c r="T472" s="208"/>
      <c r="U472" s="195"/>
      <c r="V472" s="195"/>
      <c r="W472" s="195"/>
      <c r="X472" s="195"/>
      <c r="Y472" s="195"/>
      <c r="Z472" s="195"/>
      <c r="AA472" s="195"/>
      <c r="AB472" s="195"/>
      <c r="AC472" s="195"/>
      <c r="AD472" s="195"/>
      <c r="AE472" s="195"/>
      <c r="AR472" s="210"/>
      <c r="AT472" s="210"/>
      <c r="AU472" s="210"/>
      <c r="AY472" s="211"/>
      <c r="BE472" s="212"/>
      <c r="BF472" s="212"/>
      <c r="BG472" s="212"/>
      <c r="BH472" s="212"/>
      <c r="BI472" s="212"/>
      <c r="BJ472" s="211"/>
      <c r="BK472" s="212"/>
      <c r="BL472" s="211"/>
      <c r="BM472" s="210"/>
    </row>
    <row r="473" spans="1:65" s="2" customFormat="1" ht="24.2" customHeight="1">
      <c r="A473" s="29"/>
      <c r="B473" s="152"/>
      <c r="C473" s="153" t="s">
        <v>340</v>
      </c>
      <c r="D473" s="153" t="s">
        <v>181</v>
      </c>
      <c r="E473" s="154" t="s">
        <v>490</v>
      </c>
      <c r="F473" s="155" t="s">
        <v>491</v>
      </c>
      <c r="G473" s="156" t="s">
        <v>217</v>
      </c>
      <c r="H473" s="157">
        <v>2</v>
      </c>
      <c r="I473" s="158"/>
      <c r="J473" s="159">
        <v>0</v>
      </c>
      <c r="K473" s="160"/>
      <c r="L473" s="30"/>
      <c r="M473" s="161" t="s">
        <v>1</v>
      </c>
      <c r="N473" s="162" t="s">
        <v>35</v>
      </c>
      <c r="O473" s="58"/>
      <c r="P473" s="163">
        <f>O473*H473</f>
        <v>0</v>
      </c>
      <c r="Q473" s="163">
        <v>0</v>
      </c>
      <c r="R473" s="163">
        <f>Q473*H473</f>
        <v>0</v>
      </c>
      <c r="S473" s="163">
        <v>0</v>
      </c>
      <c r="T473" s="164">
        <f>S473*H473</f>
        <v>0</v>
      </c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R473" s="165" t="s">
        <v>185</v>
      </c>
      <c r="AT473" s="165" t="s">
        <v>181</v>
      </c>
      <c r="AU473" s="165" t="s">
        <v>82</v>
      </c>
      <c r="AY473" s="14" t="s">
        <v>179</v>
      </c>
      <c r="BE473" s="166">
        <f t="shared" si="22"/>
        <v>0</v>
      </c>
      <c r="BF473" s="166">
        <f t="shared" si="23"/>
        <v>0</v>
      </c>
      <c r="BG473" s="166">
        <f t="shared" si="24"/>
        <v>0</v>
      </c>
      <c r="BH473" s="166">
        <f t="shared" si="25"/>
        <v>0</v>
      </c>
      <c r="BI473" s="166">
        <f t="shared" si="26"/>
        <v>0</v>
      </c>
      <c r="BJ473" s="14" t="s">
        <v>82</v>
      </c>
      <c r="BK473" s="166">
        <f>ROUND(I473*H473,2)</f>
        <v>0</v>
      </c>
      <c r="BL473" s="14" t="s">
        <v>185</v>
      </c>
      <c r="BM473" s="165" t="s">
        <v>492</v>
      </c>
    </row>
    <row r="474" spans="1:65" s="209" customFormat="1" ht="12">
      <c r="A474" s="195"/>
      <c r="B474" s="196"/>
      <c r="C474" s="197"/>
      <c r="D474" s="197"/>
      <c r="E474" s="198"/>
      <c r="F474" s="184" t="s">
        <v>3106</v>
      </c>
      <c r="G474" s="185"/>
      <c r="H474" s="192">
        <v>2</v>
      </c>
      <c r="I474" s="194"/>
      <c r="J474" s="194"/>
      <c r="K474" s="202"/>
      <c r="L474" s="203"/>
      <c r="M474" s="204"/>
      <c r="N474" s="205"/>
      <c r="O474" s="206"/>
      <c r="P474" s="207"/>
      <c r="Q474" s="207"/>
      <c r="R474" s="207"/>
      <c r="S474" s="207"/>
      <c r="T474" s="208"/>
      <c r="U474" s="195"/>
      <c r="V474" s="195"/>
      <c r="W474" s="195"/>
      <c r="X474" s="195"/>
      <c r="Y474" s="195"/>
      <c r="Z474" s="195"/>
      <c r="AA474" s="195"/>
      <c r="AB474" s="195"/>
      <c r="AC474" s="195"/>
      <c r="AD474" s="195"/>
      <c r="AE474" s="195"/>
      <c r="AR474" s="210"/>
      <c r="AT474" s="210"/>
      <c r="AU474" s="210"/>
      <c r="AY474" s="211"/>
      <c r="BE474" s="212"/>
      <c r="BF474" s="212"/>
      <c r="BG474" s="212"/>
      <c r="BH474" s="212"/>
      <c r="BI474" s="212"/>
      <c r="BJ474" s="211"/>
      <c r="BK474" s="212"/>
      <c r="BL474" s="211"/>
      <c r="BM474" s="210"/>
    </row>
    <row r="475" spans="1:65" s="209" customFormat="1" ht="12">
      <c r="A475" s="195"/>
      <c r="B475" s="196"/>
      <c r="C475" s="197"/>
      <c r="D475" s="197"/>
      <c r="E475" s="198"/>
      <c r="F475" s="187" t="s">
        <v>2983</v>
      </c>
      <c r="G475" s="188"/>
      <c r="H475" s="189">
        <f>SUM(H474:H474)</f>
        <v>2</v>
      </c>
      <c r="I475" s="194"/>
      <c r="J475" s="194"/>
      <c r="K475" s="202"/>
      <c r="L475" s="203"/>
      <c r="M475" s="204"/>
      <c r="N475" s="205"/>
      <c r="O475" s="206"/>
      <c r="P475" s="207"/>
      <c r="Q475" s="207"/>
      <c r="R475" s="207"/>
      <c r="S475" s="207"/>
      <c r="T475" s="208"/>
      <c r="U475" s="195"/>
      <c r="V475" s="195"/>
      <c r="W475" s="195"/>
      <c r="X475" s="195"/>
      <c r="Y475" s="195"/>
      <c r="Z475" s="195"/>
      <c r="AA475" s="195"/>
      <c r="AB475" s="195"/>
      <c r="AC475" s="195"/>
      <c r="AD475" s="195"/>
      <c r="AE475" s="195"/>
      <c r="AR475" s="210"/>
      <c r="AT475" s="210"/>
      <c r="AU475" s="210"/>
      <c r="AY475" s="211"/>
      <c r="BE475" s="212"/>
      <c r="BF475" s="212"/>
      <c r="BG475" s="212"/>
      <c r="BH475" s="212"/>
      <c r="BI475" s="212"/>
      <c r="BJ475" s="211"/>
      <c r="BK475" s="212"/>
      <c r="BL475" s="211"/>
      <c r="BM475" s="210"/>
    </row>
    <row r="476" spans="1:65" s="2" customFormat="1" ht="37.9" customHeight="1">
      <c r="A476" s="29"/>
      <c r="B476" s="152"/>
      <c r="C476" s="153" t="s">
        <v>493</v>
      </c>
      <c r="D476" s="153" t="s">
        <v>181</v>
      </c>
      <c r="E476" s="154" t="s">
        <v>494</v>
      </c>
      <c r="F476" s="155" t="s">
        <v>495</v>
      </c>
      <c r="G476" s="156" t="s">
        <v>217</v>
      </c>
      <c r="H476" s="157">
        <v>6</v>
      </c>
      <c r="I476" s="158"/>
      <c r="J476" s="159">
        <v>0</v>
      </c>
      <c r="K476" s="160"/>
      <c r="L476" s="30"/>
      <c r="M476" s="161" t="s">
        <v>1</v>
      </c>
      <c r="N476" s="162" t="s">
        <v>35</v>
      </c>
      <c r="O476" s="58"/>
      <c r="P476" s="163">
        <f>O476*H476</f>
        <v>0</v>
      </c>
      <c r="Q476" s="163">
        <v>0</v>
      </c>
      <c r="R476" s="163">
        <f>Q476*H476</f>
        <v>0</v>
      </c>
      <c r="S476" s="163">
        <v>0</v>
      </c>
      <c r="T476" s="164">
        <f>S476*H476</f>
        <v>0</v>
      </c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  <c r="AR476" s="165" t="s">
        <v>185</v>
      </c>
      <c r="AT476" s="165" t="s">
        <v>181</v>
      </c>
      <c r="AU476" s="165" t="s">
        <v>82</v>
      </c>
      <c r="AY476" s="14" t="s">
        <v>179</v>
      </c>
      <c r="BE476" s="166">
        <f t="shared" si="22"/>
        <v>0</v>
      </c>
      <c r="BF476" s="166">
        <f t="shared" si="23"/>
        <v>0</v>
      </c>
      <c r="BG476" s="166">
        <f t="shared" si="24"/>
        <v>0</v>
      </c>
      <c r="BH476" s="166">
        <f t="shared" si="25"/>
        <v>0</v>
      </c>
      <c r="BI476" s="166">
        <f t="shared" si="26"/>
        <v>0</v>
      </c>
      <c r="BJ476" s="14" t="s">
        <v>82</v>
      </c>
      <c r="BK476" s="166">
        <f>ROUND(I476*H476,2)</f>
        <v>0</v>
      </c>
      <c r="BL476" s="14" t="s">
        <v>185</v>
      </c>
      <c r="BM476" s="165" t="s">
        <v>496</v>
      </c>
    </row>
    <row r="477" spans="1:65" s="209" customFormat="1" ht="12">
      <c r="A477" s="195"/>
      <c r="B477" s="196"/>
      <c r="C477" s="197"/>
      <c r="D477" s="197"/>
      <c r="E477" s="198"/>
      <c r="F477" s="225" t="s">
        <v>3107</v>
      </c>
      <c r="G477" s="226"/>
      <c r="H477" s="186">
        <v>6</v>
      </c>
      <c r="I477" s="194"/>
      <c r="J477" s="194"/>
      <c r="K477" s="202"/>
      <c r="L477" s="203"/>
      <c r="M477" s="204"/>
      <c r="N477" s="205"/>
      <c r="O477" s="206"/>
      <c r="P477" s="207"/>
      <c r="Q477" s="207"/>
      <c r="R477" s="207"/>
      <c r="S477" s="207"/>
      <c r="T477" s="208"/>
      <c r="U477" s="195"/>
      <c r="V477" s="195"/>
      <c r="W477" s="195"/>
      <c r="X477" s="195"/>
      <c r="Y477" s="195"/>
      <c r="Z477" s="195"/>
      <c r="AA477" s="195"/>
      <c r="AB477" s="195"/>
      <c r="AC477" s="195"/>
      <c r="AD477" s="195"/>
      <c r="AE477" s="195"/>
      <c r="AR477" s="210"/>
      <c r="AT477" s="210"/>
      <c r="AU477" s="210"/>
      <c r="AY477" s="211"/>
      <c r="BE477" s="212"/>
      <c r="BF477" s="212"/>
      <c r="BG477" s="212"/>
      <c r="BH477" s="212"/>
      <c r="BI477" s="212"/>
      <c r="BJ477" s="211"/>
      <c r="BK477" s="212"/>
      <c r="BL477" s="211"/>
      <c r="BM477" s="210"/>
    </row>
    <row r="478" spans="1:65" s="209" customFormat="1" ht="12">
      <c r="A478" s="195"/>
      <c r="B478" s="196"/>
      <c r="C478" s="197"/>
      <c r="D478" s="197"/>
      <c r="E478" s="198"/>
      <c r="F478" s="187" t="s">
        <v>2983</v>
      </c>
      <c r="G478" s="188"/>
      <c r="H478" s="189">
        <f>SUM(H477:H477)</f>
        <v>6</v>
      </c>
      <c r="I478" s="194"/>
      <c r="J478" s="194"/>
      <c r="K478" s="202"/>
      <c r="L478" s="203"/>
      <c r="M478" s="204"/>
      <c r="N478" s="205"/>
      <c r="O478" s="206"/>
      <c r="P478" s="207"/>
      <c r="Q478" s="207"/>
      <c r="R478" s="207"/>
      <c r="S478" s="207"/>
      <c r="T478" s="208"/>
      <c r="U478" s="195"/>
      <c r="V478" s="195"/>
      <c r="W478" s="195"/>
      <c r="X478" s="195"/>
      <c r="Y478" s="195"/>
      <c r="Z478" s="195"/>
      <c r="AA478" s="195"/>
      <c r="AB478" s="195"/>
      <c r="AC478" s="195"/>
      <c r="AD478" s="195"/>
      <c r="AE478" s="195"/>
      <c r="AR478" s="210"/>
      <c r="AT478" s="210"/>
      <c r="AU478" s="210"/>
      <c r="AY478" s="211"/>
      <c r="BE478" s="212"/>
      <c r="BF478" s="212"/>
      <c r="BG478" s="212"/>
      <c r="BH478" s="212"/>
      <c r="BI478" s="212"/>
      <c r="BJ478" s="211"/>
      <c r="BK478" s="212"/>
      <c r="BL478" s="211"/>
      <c r="BM478" s="210"/>
    </row>
    <row r="479" spans="1:65" s="2" customFormat="1" ht="37.9" customHeight="1">
      <c r="A479" s="29"/>
      <c r="B479" s="152"/>
      <c r="C479" s="153" t="s">
        <v>343</v>
      </c>
      <c r="D479" s="153" t="s">
        <v>181</v>
      </c>
      <c r="E479" s="154" t="s">
        <v>497</v>
      </c>
      <c r="F479" s="155" t="s">
        <v>498</v>
      </c>
      <c r="G479" s="156" t="s">
        <v>217</v>
      </c>
      <c r="H479" s="157">
        <v>2</v>
      </c>
      <c r="I479" s="158"/>
      <c r="J479" s="159">
        <v>0</v>
      </c>
      <c r="K479" s="160"/>
      <c r="L479" s="30"/>
      <c r="M479" s="161" t="s">
        <v>1</v>
      </c>
      <c r="N479" s="162" t="s">
        <v>35</v>
      </c>
      <c r="O479" s="58"/>
      <c r="P479" s="163">
        <f>O479*H479</f>
        <v>0</v>
      </c>
      <c r="Q479" s="163">
        <v>0</v>
      </c>
      <c r="R479" s="163">
        <f>Q479*H479</f>
        <v>0</v>
      </c>
      <c r="S479" s="163">
        <v>0</v>
      </c>
      <c r="T479" s="164">
        <f>S479*H479</f>
        <v>0</v>
      </c>
      <c r="U479" s="29"/>
      <c r="V479" s="29"/>
      <c r="W479" s="29"/>
      <c r="X479" s="29"/>
      <c r="Y479" s="29"/>
      <c r="Z479" s="29"/>
      <c r="AA479" s="29"/>
      <c r="AB479" s="29"/>
      <c r="AC479" s="29"/>
      <c r="AD479" s="29"/>
      <c r="AE479" s="29"/>
      <c r="AR479" s="165" t="s">
        <v>185</v>
      </c>
      <c r="AT479" s="165" t="s">
        <v>181</v>
      </c>
      <c r="AU479" s="165" t="s">
        <v>82</v>
      </c>
      <c r="AY479" s="14" t="s">
        <v>179</v>
      </c>
      <c r="BE479" s="166">
        <f t="shared" si="22"/>
        <v>0</v>
      </c>
      <c r="BF479" s="166">
        <f t="shared" si="23"/>
        <v>0</v>
      </c>
      <c r="BG479" s="166">
        <f t="shared" si="24"/>
        <v>0</v>
      </c>
      <c r="BH479" s="166">
        <f t="shared" si="25"/>
        <v>0</v>
      </c>
      <c r="BI479" s="166">
        <f t="shared" si="26"/>
        <v>0</v>
      </c>
      <c r="BJ479" s="14" t="s">
        <v>82</v>
      </c>
      <c r="BK479" s="166">
        <f>ROUND(I479*H479,2)</f>
        <v>0</v>
      </c>
      <c r="BL479" s="14" t="s">
        <v>185</v>
      </c>
      <c r="BM479" s="165" t="s">
        <v>499</v>
      </c>
    </row>
    <row r="480" spans="1:65" s="209" customFormat="1" ht="12">
      <c r="A480" s="195"/>
      <c r="B480" s="196"/>
      <c r="C480" s="197"/>
      <c r="D480" s="197"/>
      <c r="E480" s="198"/>
      <c r="F480" s="225" t="s">
        <v>3108</v>
      </c>
      <c r="G480" s="226"/>
      <c r="H480" s="186">
        <v>2</v>
      </c>
      <c r="I480" s="194"/>
      <c r="J480" s="194"/>
      <c r="K480" s="202"/>
      <c r="L480" s="203"/>
      <c r="M480" s="204"/>
      <c r="N480" s="205"/>
      <c r="O480" s="206"/>
      <c r="P480" s="207"/>
      <c r="Q480" s="207"/>
      <c r="R480" s="207"/>
      <c r="S480" s="207"/>
      <c r="T480" s="208"/>
      <c r="U480" s="195"/>
      <c r="V480" s="195"/>
      <c r="W480" s="195"/>
      <c r="X480" s="195"/>
      <c r="Y480" s="195"/>
      <c r="Z480" s="195"/>
      <c r="AA480" s="195"/>
      <c r="AB480" s="195"/>
      <c r="AC480" s="195"/>
      <c r="AD480" s="195"/>
      <c r="AE480" s="195"/>
      <c r="AR480" s="210"/>
      <c r="AT480" s="210"/>
      <c r="AU480" s="210"/>
      <c r="AY480" s="211"/>
      <c r="BE480" s="212"/>
      <c r="BF480" s="212"/>
      <c r="BG480" s="212"/>
      <c r="BH480" s="212"/>
      <c r="BI480" s="212"/>
      <c r="BJ480" s="211"/>
      <c r="BK480" s="212"/>
      <c r="BL480" s="211"/>
      <c r="BM480" s="210"/>
    </row>
    <row r="481" spans="1:65" s="209" customFormat="1" ht="12">
      <c r="A481" s="195"/>
      <c r="B481" s="196"/>
      <c r="C481" s="197"/>
      <c r="D481" s="197"/>
      <c r="E481" s="198"/>
      <c r="F481" s="187" t="s">
        <v>2983</v>
      </c>
      <c r="G481" s="188"/>
      <c r="H481" s="189">
        <f>SUM(H480:H480)</f>
        <v>2</v>
      </c>
      <c r="I481" s="194"/>
      <c r="J481" s="194"/>
      <c r="K481" s="202"/>
      <c r="L481" s="203"/>
      <c r="M481" s="204"/>
      <c r="N481" s="205"/>
      <c r="O481" s="206"/>
      <c r="P481" s="207"/>
      <c r="Q481" s="207"/>
      <c r="R481" s="207"/>
      <c r="S481" s="207"/>
      <c r="T481" s="208"/>
      <c r="U481" s="195"/>
      <c r="V481" s="195"/>
      <c r="W481" s="195"/>
      <c r="X481" s="195"/>
      <c r="Y481" s="195"/>
      <c r="Z481" s="195"/>
      <c r="AA481" s="195"/>
      <c r="AB481" s="195"/>
      <c r="AC481" s="195"/>
      <c r="AD481" s="195"/>
      <c r="AE481" s="195"/>
      <c r="AR481" s="210"/>
      <c r="AT481" s="210"/>
      <c r="AU481" s="210"/>
      <c r="AY481" s="211"/>
      <c r="BE481" s="212"/>
      <c r="BF481" s="212"/>
      <c r="BG481" s="212"/>
      <c r="BH481" s="212"/>
      <c r="BI481" s="212"/>
      <c r="BJ481" s="211"/>
      <c r="BK481" s="212"/>
      <c r="BL481" s="211"/>
      <c r="BM481" s="210"/>
    </row>
    <row r="482" spans="1:65" s="2" customFormat="1" ht="24.2" customHeight="1">
      <c r="A482" s="29"/>
      <c r="B482" s="152"/>
      <c r="C482" s="153" t="s">
        <v>500</v>
      </c>
      <c r="D482" s="153" t="s">
        <v>181</v>
      </c>
      <c r="E482" s="154" t="s">
        <v>501</v>
      </c>
      <c r="F482" s="155" t="s">
        <v>502</v>
      </c>
      <c r="G482" s="156" t="s">
        <v>217</v>
      </c>
      <c r="H482" s="157">
        <v>2</v>
      </c>
      <c r="I482" s="158"/>
      <c r="J482" s="159">
        <v>0</v>
      </c>
      <c r="K482" s="160"/>
      <c r="L482" s="30"/>
      <c r="M482" s="161" t="s">
        <v>1</v>
      </c>
      <c r="N482" s="162" t="s">
        <v>35</v>
      </c>
      <c r="O482" s="58"/>
      <c r="P482" s="163">
        <f>O482*H482</f>
        <v>0</v>
      </c>
      <c r="Q482" s="163">
        <v>0</v>
      </c>
      <c r="R482" s="163">
        <f>Q482*H482</f>
        <v>0</v>
      </c>
      <c r="S482" s="163">
        <v>0</v>
      </c>
      <c r="T482" s="164">
        <f>S482*H482</f>
        <v>0</v>
      </c>
      <c r="U482" s="29"/>
      <c r="V482" s="29"/>
      <c r="W482" s="29"/>
      <c r="X482" s="29"/>
      <c r="Y482" s="29"/>
      <c r="Z482" s="29"/>
      <c r="AA482" s="29"/>
      <c r="AB482" s="29"/>
      <c r="AC482" s="29"/>
      <c r="AD482" s="29"/>
      <c r="AE482" s="29"/>
      <c r="AR482" s="165" t="s">
        <v>185</v>
      </c>
      <c r="AT482" s="165" t="s">
        <v>181</v>
      </c>
      <c r="AU482" s="165" t="s">
        <v>82</v>
      </c>
      <c r="AY482" s="14" t="s">
        <v>179</v>
      </c>
      <c r="BE482" s="166">
        <f t="shared" si="22"/>
        <v>0</v>
      </c>
      <c r="BF482" s="166">
        <f t="shared" si="23"/>
        <v>0</v>
      </c>
      <c r="BG482" s="166">
        <f t="shared" si="24"/>
        <v>0</v>
      </c>
      <c r="BH482" s="166">
        <f t="shared" si="25"/>
        <v>0</v>
      </c>
      <c r="BI482" s="166">
        <f t="shared" si="26"/>
        <v>0</v>
      </c>
      <c r="BJ482" s="14" t="s">
        <v>82</v>
      </c>
      <c r="BK482" s="166">
        <f>ROUND(I482*H482,2)</f>
        <v>0</v>
      </c>
      <c r="BL482" s="14" t="s">
        <v>185</v>
      </c>
      <c r="BM482" s="165" t="s">
        <v>503</v>
      </c>
    </row>
    <row r="483" spans="1:65" s="209" customFormat="1" ht="12">
      <c r="A483" s="195"/>
      <c r="B483" s="196"/>
      <c r="C483" s="197"/>
      <c r="D483" s="197"/>
      <c r="E483" s="198"/>
      <c r="F483" s="225" t="s">
        <v>3109</v>
      </c>
      <c r="G483" s="226"/>
      <c r="H483" s="186">
        <v>2</v>
      </c>
      <c r="I483" s="194"/>
      <c r="J483" s="194"/>
      <c r="K483" s="202"/>
      <c r="L483" s="203"/>
      <c r="M483" s="204"/>
      <c r="N483" s="205"/>
      <c r="O483" s="206"/>
      <c r="P483" s="207"/>
      <c r="Q483" s="207"/>
      <c r="R483" s="207"/>
      <c r="S483" s="207"/>
      <c r="T483" s="208"/>
      <c r="U483" s="195"/>
      <c r="V483" s="195"/>
      <c r="W483" s="195"/>
      <c r="X483" s="195"/>
      <c r="Y483" s="195"/>
      <c r="Z483" s="195"/>
      <c r="AA483" s="195"/>
      <c r="AB483" s="195"/>
      <c r="AC483" s="195"/>
      <c r="AD483" s="195"/>
      <c r="AE483" s="195"/>
      <c r="AR483" s="210"/>
      <c r="AT483" s="210"/>
      <c r="AU483" s="210"/>
      <c r="AY483" s="211"/>
      <c r="BE483" s="212"/>
      <c r="BF483" s="212"/>
      <c r="BG483" s="212"/>
      <c r="BH483" s="212"/>
      <c r="BI483" s="212"/>
      <c r="BJ483" s="211"/>
      <c r="BK483" s="212"/>
      <c r="BL483" s="211"/>
      <c r="BM483" s="210"/>
    </row>
    <row r="484" spans="1:65" s="209" customFormat="1" ht="12">
      <c r="A484" s="195"/>
      <c r="B484" s="196"/>
      <c r="C484" s="197"/>
      <c r="D484" s="197"/>
      <c r="E484" s="198"/>
      <c r="F484" s="187" t="s">
        <v>2983</v>
      </c>
      <c r="G484" s="188"/>
      <c r="H484" s="189">
        <f>SUM(H483:H483)</f>
        <v>2</v>
      </c>
      <c r="I484" s="194"/>
      <c r="J484" s="194"/>
      <c r="K484" s="202"/>
      <c r="L484" s="203"/>
      <c r="M484" s="204"/>
      <c r="N484" s="205"/>
      <c r="O484" s="206"/>
      <c r="P484" s="207"/>
      <c r="Q484" s="207"/>
      <c r="R484" s="207"/>
      <c r="S484" s="207"/>
      <c r="T484" s="208"/>
      <c r="U484" s="195"/>
      <c r="V484" s="195"/>
      <c r="W484" s="195"/>
      <c r="X484" s="195"/>
      <c r="Y484" s="195"/>
      <c r="Z484" s="195"/>
      <c r="AA484" s="195"/>
      <c r="AB484" s="195"/>
      <c r="AC484" s="195"/>
      <c r="AD484" s="195"/>
      <c r="AE484" s="195"/>
      <c r="AR484" s="210"/>
      <c r="AT484" s="210"/>
      <c r="AU484" s="210"/>
      <c r="AY484" s="211"/>
      <c r="BE484" s="212"/>
      <c r="BF484" s="212"/>
      <c r="BG484" s="212"/>
      <c r="BH484" s="212"/>
      <c r="BI484" s="212"/>
      <c r="BJ484" s="211"/>
      <c r="BK484" s="212"/>
      <c r="BL484" s="211"/>
      <c r="BM484" s="210"/>
    </row>
    <row r="485" spans="1:65" s="2" customFormat="1" ht="24.2" customHeight="1">
      <c r="A485" s="29"/>
      <c r="B485" s="152"/>
      <c r="C485" s="153" t="s">
        <v>354</v>
      </c>
      <c r="D485" s="153" t="s">
        <v>181</v>
      </c>
      <c r="E485" s="154" t="s">
        <v>504</v>
      </c>
      <c r="F485" s="155" t="s">
        <v>505</v>
      </c>
      <c r="G485" s="156" t="s">
        <v>217</v>
      </c>
      <c r="H485" s="157">
        <v>2</v>
      </c>
      <c r="I485" s="158"/>
      <c r="J485" s="159">
        <v>0</v>
      </c>
      <c r="K485" s="160"/>
      <c r="L485" s="30"/>
      <c r="M485" s="161" t="s">
        <v>1</v>
      </c>
      <c r="N485" s="162" t="s">
        <v>35</v>
      </c>
      <c r="O485" s="58"/>
      <c r="P485" s="163">
        <f>O485*H485</f>
        <v>0</v>
      </c>
      <c r="Q485" s="163">
        <v>0</v>
      </c>
      <c r="R485" s="163">
        <f>Q485*H485</f>
        <v>0</v>
      </c>
      <c r="S485" s="163">
        <v>0</v>
      </c>
      <c r="T485" s="164">
        <f>S485*H485</f>
        <v>0</v>
      </c>
      <c r="U485" s="29"/>
      <c r="V485" s="29"/>
      <c r="W485" s="29"/>
      <c r="X485" s="29"/>
      <c r="Y485" s="29"/>
      <c r="Z485" s="29"/>
      <c r="AA485" s="29"/>
      <c r="AB485" s="29"/>
      <c r="AC485" s="29"/>
      <c r="AD485" s="29"/>
      <c r="AE485" s="29"/>
      <c r="AR485" s="165" t="s">
        <v>185</v>
      </c>
      <c r="AT485" s="165" t="s">
        <v>181</v>
      </c>
      <c r="AU485" s="165" t="s">
        <v>82</v>
      </c>
      <c r="AY485" s="14" t="s">
        <v>179</v>
      </c>
      <c r="BE485" s="166">
        <f t="shared" si="22"/>
        <v>0</v>
      </c>
      <c r="BF485" s="166">
        <f t="shared" si="23"/>
        <v>0</v>
      </c>
      <c r="BG485" s="166">
        <f t="shared" si="24"/>
        <v>0</v>
      </c>
      <c r="BH485" s="166">
        <f t="shared" si="25"/>
        <v>0</v>
      </c>
      <c r="BI485" s="166">
        <f t="shared" si="26"/>
        <v>0</v>
      </c>
      <c r="BJ485" s="14" t="s">
        <v>82</v>
      </c>
      <c r="BK485" s="166">
        <f>ROUND(I485*H485,2)</f>
        <v>0</v>
      </c>
      <c r="BL485" s="14" t="s">
        <v>185</v>
      </c>
      <c r="BM485" s="165" t="s">
        <v>506</v>
      </c>
    </row>
    <row r="486" spans="1:65" s="209" customFormat="1" ht="12">
      <c r="A486" s="195"/>
      <c r="B486" s="196"/>
      <c r="C486" s="197"/>
      <c r="D486" s="197"/>
      <c r="E486" s="198"/>
      <c r="F486" s="225" t="s">
        <v>3110</v>
      </c>
      <c r="G486" s="226"/>
      <c r="H486" s="186">
        <v>2</v>
      </c>
      <c r="I486" s="194"/>
      <c r="J486" s="194"/>
      <c r="K486" s="202"/>
      <c r="L486" s="203"/>
      <c r="M486" s="204"/>
      <c r="N486" s="205"/>
      <c r="O486" s="206"/>
      <c r="P486" s="207"/>
      <c r="Q486" s="207"/>
      <c r="R486" s="207"/>
      <c r="S486" s="207"/>
      <c r="T486" s="208"/>
      <c r="U486" s="195"/>
      <c r="V486" s="195"/>
      <c r="W486" s="195"/>
      <c r="X486" s="195"/>
      <c r="Y486" s="195"/>
      <c r="Z486" s="195"/>
      <c r="AA486" s="195"/>
      <c r="AB486" s="195"/>
      <c r="AC486" s="195"/>
      <c r="AD486" s="195"/>
      <c r="AE486" s="195"/>
      <c r="AR486" s="210"/>
      <c r="AT486" s="210"/>
      <c r="AU486" s="210"/>
      <c r="AY486" s="211"/>
      <c r="BE486" s="212"/>
      <c r="BF486" s="212"/>
      <c r="BG486" s="212"/>
      <c r="BH486" s="212"/>
      <c r="BI486" s="212"/>
      <c r="BJ486" s="211"/>
      <c r="BK486" s="212"/>
      <c r="BL486" s="211"/>
      <c r="BM486" s="210"/>
    </row>
    <row r="487" spans="1:65" s="209" customFormat="1" ht="12">
      <c r="A487" s="195"/>
      <c r="B487" s="196"/>
      <c r="C487" s="197"/>
      <c r="D487" s="197"/>
      <c r="E487" s="198"/>
      <c r="F487" s="187" t="s">
        <v>2983</v>
      </c>
      <c r="G487" s="188"/>
      <c r="H487" s="189">
        <f>SUM(H486:H486)</f>
        <v>2</v>
      </c>
      <c r="I487" s="194"/>
      <c r="J487" s="194"/>
      <c r="K487" s="202"/>
      <c r="L487" s="203"/>
      <c r="M487" s="204"/>
      <c r="N487" s="205"/>
      <c r="O487" s="206"/>
      <c r="P487" s="207"/>
      <c r="Q487" s="207"/>
      <c r="R487" s="207"/>
      <c r="S487" s="207"/>
      <c r="T487" s="208"/>
      <c r="U487" s="195"/>
      <c r="V487" s="195"/>
      <c r="W487" s="195"/>
      <c r="X487" s="195"/>
      <c r="Y487" s="195"/>
      <c r="Z487" s="195"/>
      <c r="AA487" s="195"/>
      <c r="AB487" s="195"/>
      <c r="AC487" s="195"/>
      <c r="AD487" s="195"/>
      <c r="AE487" s="195"/>
      <c r="AR487" s="210"/>
      <c r="AT487" s="210"/>
      <c r="AU487" s="210"/>
      <c r="AY487" s="211"/>
      <c r="BE487" s="212"/>
      <c r="BF487" s="212"/>
      <c r="BG487" s="212"/>
      <c r="BH487" s="212"/>
      <c r="BI487" s="212"/>
      <c r="BJ487" s="211"/>
      <c r="BK487" s="212"/>
      <c r="BL487" s="211"/>
      <c r="BM487" s="210"/>
    </row>
    <row r="488" spans="1:65" s="2" customFormat="1" ht="24.2" customHeight="1">
      <c r="A488" s="29"/>
      <c r="B488" s="152"/>
      <c r="C488" s="153" t="s">
        <v>507</v>
      </c>
      <c r="D488" s="153" t="s">
        <v>181</v>
      </c>
      <c r="E488" s="154" t="s">
        <v>508</v>
      </c>
      <c r="F488" s="155" t="s">
        <v>509</v>
      </c>
      <c r="G488" s="156" t="s">
        <v>217</v>
      </c>
      <c r="H488" s="157">
        <v>6</v>
      </c>
      <c r="I488" s="158"/>
      <c r="J488" s="159">
        <v>0</v>
      </c>
      <c r="K488" s="160"/>
      <c r="L488" s="30"/>
      <c r="M488" s="161" t="s">
        <v>1</v>
      </c>
      <c r="N488" s="162" t="s">
        <v>35</v>
      </c>
      <c r="O488" s="58"/>
      <c r="P488" s="163">
        <f>O488*H488</f>
        <v>0</v>
      </c>
      <c r="Q488" s="163">
        <v>0</v>
      </c>
      <c r="R488" s="163">
        <f>Q488*H488</f>
        <v>0</v>
      </c>
      <c r="S488" s="163">
        <v>0</v>
      </c>
      <c r="T488" s="164">
        <f>S488*H488</f>
        <v>0</v>
      </c>
      <c r="U488" s="29"/>
      <c r="V488" s="29"/>
      <c r="W488" s="29"/>
      <c r="X488" s="29"/>
      <c r="Y488" s="29"/>
      <c r="Z488" s="29"/>
      <c r="AA488" s="29"/>
      <c r="AB488" s="29"/>
      <c r="AC488" s="29"/>
      <c r="AD488" s="29"/>
      <c r="AE488" s="29"/>
      <c r="AR488" s="165" t="s">
        <v>185</v>
      </c>
      <c r="AT488" s="165" t="s">
        <v>181</v>
      </c>
      <c r="AU488" s="165" t="s">
        <v>82</v>
      </c>
      <c r="AY488" s="14" t="s">
        <v>179</v>
      </c>
      <c r="BE488" s="166">
        <f t="shared" si="22"/>
        <v>0</v>
      </c>
      <c r="BF488" s="166">
        <f t="shared" si="23"/>
        <v>0</v>
      </c>
      <c r="BG488" s="166">
        <f t="shared" si="24"/>
        <v>0</v>
      </c>
      <c r="BH488" s="166">
        <f t="shared" si="25"/>
        <v>0</v>
      </c>
      <c r="BI488" s="166">
        <f t="shared" si="26"/>
        <v>0</v>
      </c>
      <c r="BJ488" s="14" t="s">
        <v>82</v>
      </c>
      <c r="BK488" s="166">
        <f>ROUND(I488*H488,2)</f>
        <v>0</v>
      </c>
      <c r="BL488" s="14" t="s">
        <v>185</v>
      </c>
      <c r="BM488" s="165" t="s">
        <v>510</v>
      </c>
    </row>
    <row r="489" spans="1:65" s="209" customFormat="1" ht="12">
      <c r="A489" s="195"/>
      <c r="B489" s="196"/>
      <c r="C489" s="197"/>
      <c r="D489" s="197"/>
      <c r="E489" s="198"/>
      <c r="F489" s="225" t="s">
        <v>3111</v>
      </c>
      <c r="G489" s="226"/>
      <c r="H489" s="186">
        <v>6</v>
      </c>
      <c r="I489" s="194"/>
      <c r="J489" s="194"/>
      <c r="K489" s="202"/>
      <c r="L489" s="203"/>
      <c r="M489" s="204"/>
      <c r="N489" s="205"/>
      <c r="O489" s="206"/>
      <c r="P489" s="207"/>
      <c r="Q489" s="207"/>
      <c r="R489" s="207"/>
      <c r="S489" s="207"/>
      <c r="T489" s="208"/>
      <c r="U489" s="195"/>
      <c r="V489" s="195"/>
      <c r="W489" s="195"/>
      <c r="X489" s="195"/>
      <c r="Y489" s="195"/>
      <c r="Z489" s="195"/>
      <c r="AA489" s="195"/>
      <c r="AB489" s="195"/>
      <c r="AC489" s="195"/>
      <c r="AD489" s="195"/>
      <c r="AE489" s="195"/>
      <c r="AR489" s="210"/>
      <c r="AT489" s="210"/>
      <c r="AU489" s="210"/>
      <c r="AY489" s="211"/>
      <c r="BE489" s="212"/>
      <c r="BF489" s="212"/>
      <c r="BG489" s="212"/>
      <c r="BH489" s="212"/>
      <c r="BI489" s="212"/>
      <c r="BJ489" s="211"/>
      <c r="BK489" s="212"/>
      <c r="BL489" s="211"/>
      <c r="BM489" s="210"/>
    </row>
    <row r="490" spans="1:65" s="209" customFormat="1" ht="12">
      <c r="A490" s="195"/>
      <c r="B490" s="196"/>
      <c r="C490" s="197"/>
      <c r="D490" s="197"/>
      <c r="E490" s="198"/>
      <c r="F490" s="187" t="s">
        <v>2983</v>
      </c>
      <c r="G490" s="188"/>
      <c r="H490" s="189">
        <f>SUM(H489:H489)</f>
        <v>6</v>
      </c>
      <c r="I490" s="194"/>
      <c r="J490" s="194"/>
      <c r="K490" s="202"/>
      <c r="L490" s="203"/>
      <c r="M490" s="204"/>
      <c r="N490" s="205"/>
      <c r="O490" s="206"/>
      <c r="P490" s="207"/>
      <c r="Q490" s="207"/>
      <c r="R490" s="207"/>
      <c r="S490" s="207"/>
      <c r="T490" s="208"/>
      <c r="U490" s="195"/>
      <c r="V490" s="195"/>
      <c r="W490" s="195"/>
      <c r="X490" s="195"/>
      <c r="Y490" s="195"/>
      <c r="Z490" s="195"/>
      <c r="AA490" s="195"/>
      <c r="AB490" s="195"/>
      <c r="AC490" s="195"/>
      <c r="AD490" s="195"/>
      <c r="AE490" s="195"/>
      <c r="AR490" s="210"/>
      <c r="AT490" s="210"/>
      <c r="AU490" s="210"/>
      <c r="AY490" s="211"/>
      <c r="BE490" s="212"/>
      <c r="BF490" s="212"/>
      <c r="BG490" s="212"/>
      <c r="BH490" s="212"/>
      <c r="BI490" s="212"/>
      <c r="BJ490" s="211"/>
      <c r="BK490" s="212"/>
      <c r="BL490" s="211"/>
      <c r="BM490" s="210"/>
    </row>
    <row r="491" spans="1:65" s="2" customFormat="1" ht="66.75" customHeight="1">
      <c r="A491" s="29"/>
      <c r="B491" s="152"/>
      <c r="C491" s="153" t="s">
        <v>357</v>
      </c>
      <c r="D491" s="153" t="s">
        <v>181</v>
      </c>
      <c r="E491" s="154" t="s">
        <v>511</v>
      </c>
      <c r="F491" s="155" t="s">
        <v>512</v>
      </c>
      <c r="G491" s="156" t="s">
        <v>217</v>
      </c>
      <c r="H491" s="157">
        <v>10</v>
      </c>
      <c r="I491" s="158"/>
      <c r="J491" s="159">
        <v>0</v>
      </c>
      <c r="K491" s="160"/>
      <c r="L491" s="30"/>
      <c r="M491" s="161" t="s">
        <v>1</v>
      </c>
      <c r="N491" s="162" t="s">
        <v>35</v>
      </c>
      <c r="O491" s="58"/>
      <c r="P491" s="163">
        <f>O491*H491</f>
        <v>0</v>
      </c>
      <c r="Q491" s="163">
        <v>0</v>
      </c>
      <c r="R491" s="163">
        <f>Q491*H491</f>
        <v>0</v>
      </c>
      <c r="S491" s="163">
        <v>0</v>
      </c>
      <c r="T491" s="164">
        <f>S491*H491</f>
        <v>0</v>
      </c>
      <c r="U491" s="29"/>
      <c r="V491" s="29"/>
      <c r="W491" s="29"/>
      <c r="X491" s="29"/>
      <c r="Y491" s="29"/>
      <c r="Z491" s="29"/>
      <c r="AA491" s="29"/>
      <c r="AB491" s="29"/>
      <c r="AC491" s="29"/>
      <c r="AD491" s="29"/>
      <c r="AE491" s="29"/>
      <c r="AR491" s="165" t="s">
        <v>185</v>
      </c>
      <c r="AT491" s="165" t="s">
        <v>181</v>
      </c>
      <c r="AU491" s="165" t="s">
        <v>82</v>
      </c>
      <c r="AY491" s="14" t="s">
        <v>179</v>
      </c>
      <c r="BE491" s="166">
        <f t="shared" si="22"/>
        <v>0</v>
      </c>
      <c r="BF491" s="166">
        <f t="shared" si="23"/>
        <v>0</v>
      </c>
      <c r="BG491" s="166">
        <f t="shared" si="24"/>
        <v>0</v>
      </c>
      <c r="BH491" s="166">
        <f t="shared" si="25"/>
        <v>0</v>
      </c>
      <c r="BI491" s="166">
        <f t="shared" si="26"/>
        <v>0</v>
      </c>
      <c r="BJ491" s="14" t="s">
        <v>82</v>
      </c>
      <c r="BK491" s="166">
        <f>ROUND(I491*H491,2)</f>
        <v>0</v>
      </c>
      <c r="BL491" s="14" t="s">
        <v>185</v>
      </c>
      <c r="BM491" s="165" t="s">
        <v>513</v>
      </c>
    </row>
    <row r="492" spans="1:65" s="209" customFormat="1" ht="22.5">
      <c r="A492" s="195"/>
      <c r="B492" s="196"/>
      <c r="C492" s="197"/>
      <c r="D492" s="197"/>
      <c r="E492" s="198"/>
      <c r="F492" s="213" t="s">
        <v>3112</v>
      </c>
      <c r="G492" s="222"/>
      <c r="H492" s="214">
        <v>10</v>
      </c>
      <c r="I492" s="194"/>
      <c r="J492" s="194"/>
      <c r="K492" s="202"/>
      <c r="L492" s="203"/>
      <c r="M492" s="204"/>
      <c r="N492" s="205"/>
      <c r="O492" s="206"/>
      <c r="P492" s="207"/>
      <c r="Q492" s="207"/>
      <c r="R492" s="207"/>
      <c r="S492" s="207"/>
      <c r="T492" s="208"/>
      <c r="U492" s="195"/>
      <c r="V492" s="195"/>
      <c r="W492" s="195"/>
      <c r="X492" s="195"/>
      <c r="Y492" s="195"/>
      <c r="Z492" s="195"/>
      <c r="AA492" s="195"/>
      <c r="AB492" s="195"/>
      <c r="AC492" s="195"/>
      <c r="AD492" s="195"/>
      <c r="AE492" s="195"/>
      <c r="AR492" s="210"/>
      <c r="AT492" s="210"/>
      <c r="AU492" s="210"/>
      <c r="AY492" s="211"/>
      <c r="BE492" s="212"/>
      <c r="BF492" s="212"/>
      <c r="BG492" s="212"/>
      <c r="BH492" s="212"/>
      <c r="BI492" s="212"/>
      <c r="BJ492" s="211"/>
      <c r="BK492" s="212"/>
      <c r="BL492" s="211"/>
      <c r="BM492" s="210"/>
    </row>
    <row r="493" spans="1:65" s="209" customFormat="1" ht="12">
      <c r="A493" s="195"/>
      <c r="B493" s="196"/>
      <c r="C493" s="197"/>
      <c r="D493" s="197"/>
      <c r="E493" s="198"/>
      <c r="F493" s="215" t="s">
        <v>2983</v>
      </c>
      <c r="G493" s="216"/>
      <c r="H493" s="217">
        <f>SUM(H492:H492)</f>
        <v>10</v>
      </c>
      <c r="I493" s="194"/>
      <c r="J493" s="194"/>
      <c r="K493" s="202"/>
      <c r="L493" s="203"/>
      <c r="M493" s="204"/>
      <c r="N493" s="205"/>
      <c r="O493" s="206"/>
      <c r="P493" s="207"/>
      <c r="Q493" s="207"/>
      <c r="R493" s="207"/>
      <c r="S493" s="207"/>
      <c r="T493" s="208"/>
      <c r="U493" s="195"/>
      <c r="V493" s="195"/>
      <c r="W493" s="195"/>
      <c r="X493" s="195"/>
      <c r="Y493" s="195"/>
      <c r="Z493" s="195"/>
      <c r="AA493" s="195"/>
      <c r="AB493" s="195"/>
      <c r="AC493" s="195"/>
      <c r="AD493" s="195"/>
      <c r="AE493" s="195"/>
      <c r="AR493" s="210"/>
      <c r="AT493" s="210"/>
      <c r="AU493" s="210"/>
      <c r="AY493" s="211"/>
      <c r="BE493" s="212"/>
      <c r="BF493" s="212"/>
      <c r="BG493" s="212"/>
      <c r="BH493" s="212"/>
      <c r="BI493" s="212"/>
      <c r="BJ493" s="211"/>
      <c r="BK493" s="212"/>
      <c r="BL493" s="211"/>
      <c r="BM493" s="210"/>
    </row>
    <row r="494" spans="1:65" s="2" customFormat="1" ht="24.2" customHeight="1">
      <c r="A494" s="29"/>
      <c r="B494" s="152"/>
      <c r="C494" s="153" t="s">
        <v>514</v>
      </c>
      <c r="D494" s="153" t="s">
        <v>181</v>
      </c>
      <c r="E494" s="154" t="s">
        <v>515</v>
      </c>
      <c r="F494" s="155" t="s">
        <v>516</v>
      </c>
      <c r="G494" s="156" t="s">
        <v>184</v>
      </c>
      <c r="H494" s="157">
        <v>22.28</v>
      </c>
      <c r="I494" s="158"/>
      <c r="J494" s="159">
        <v>0</v>
      </c>
      <c r="K494" s="160"/>
      <c r="L494" s="30"/>
      <c r="M494" s="161" t="s">
        <v>1</v>
      </c>
      <c r="N494" s="162" t="s">
        <v>35</v>
      </c>
      <c r="O494" s="58"/>
      <c r="P494" s="163">
        <f>O494*H494</f>
        <v>0</v>
      </c>
      <c r="Q494" s="163">
        <v>0</v>
      </c>
      <c r="R494" s="163">
        <f>Q494*H494</f>
        <v>0</v>
      </c>
      <c r="S494" s="163">
        <v>7.2999999999999995E-2</v>
      </c>
      <c r="T494" s="164">
        <f>S494*H494</f>
        <v>1.6264399999999999</v>
      </c>
      <c r="U494" s="29"/>
      <c r="V494" s="29"/>
      <c r="W494" s="29"/>
      <c r="X494" s="29"/>
      <c r="Y494" s="29"/>
      <c r="Z494" s="29"/>
      <c r="AA494" s="29"/>
      <c r="AB494" s="29"/>
      <c r="AC494" s="29"/>
      <c r="AD494" s="29"/>
      <c r="AE494" s="29"/>
      <c r="AR494" s="165" t="s">
        <v>185</v>
      </c>
      <c r="AT494" s="165" t="s">
        <v>181</v>
      </c>
      <c r="AU494" s="165" t="s">
        <v>82</v>
      </c>
      <c r="AY494" s="14" t="s">
        <v>179</v>
      </c>
      <c r="BE494" s="166">
        <f t="shared" si="22"/>
        <v>0</v>
      </c>
      <c r="BF494" s="166">
        <f t="shared" si="23"/>
        <v>0</v>
      </c>
      <c r="BG494" s="166">
        <f t="shared" si="24"/>
        <v>0</v>
      </c>
      <c r="BH494" s="166">
        <f t="shared" si="25"/>
        <v>0</v>
      </c>
      <c r="BI494" s="166">
        <f t="shared" si="26"/>
        <v>0</v>
      </c>
      <c r="BJ494" s="14" t="s">
        <v>82</v>
      </c>
      <c r="BK494" s="166">
        <f>ROUND(I494*H494,2)</f>
        <v>0</v>
      </c>
      <c r="BL494" s="14" t="s">
        <v>185</v>
      </c>
      <c r="BM494" s="165" t="s">
        <v>517</v>
      </c>
    </row>
    <row r="495" spans="1:65" s="209" customFormat="1" ht="22.5">
      <c r="A495" s="195"/>
      <c r="B495" s="196"/>
      <c r="C495" s="197"/>
      <c r="D495" s="197"/>
      <c r="E495" s="198"/>
      <c r="F495" s="184" t="s">
        <v>3113</v>
      </c>
      <c r="G495" s="185"/>
      <c r="H495" s="186">
        <f>ROUND(3.8*0.6+10.245*0.725+1.3*1.1,2)</f>
        <v>11.14</v>
      </c>
      <c r="I495" s="194"/>
      <c r="J495" s="194"/>
      <c r="K495" s="202"/>
      <c r="L495" s="203"/>
      <c r="M495" s="204"/>
      <c r="N495" s="205"/>
      <c r="O495" s="206"/>
      <c r="P495" s="207"/>
      <c r="Q495" s="207"/>
      <c r="R495" s="207"/>
      <c r="S495" s="207"/>
      <c r="T495" s="208"/>
      <c r="U495" s="195"/>
      <c r="V495" s="195"/>
      <c r="W495" s="195"/>
      <c r="X495" s="195"/>
      <c r="Y495" s="195"/>
      <c r="Z495" s="195"/>
      <c r="AA495" s="195"/>
      <c r="AB495" s="195"/>
      <c r="AC495" s="195"/>
      <c r="AD495" s="195"/>
      <c r="AE495" s="195"/>
      <c r="AR495" s="210"/>
      <c r="AT495" s="210"/>
      <c r="AU495" s="210"/>
      <c r="AY495" s="211"/>
      <c r="BE495" s="212"/>
      <c r="BF495" s="212"/>
      <c r="BG495" s="212"/>
      <c r="BH495" s="212"/>
      <c r="BI495" s="212"/>
      <c r="BJ495" s="211"/>
      <c r="BK495" s="212"/>
      <c r="BL495" s="211"/>
      <c r="BM495" s="210"/>
    </row>
    <row r="496" spans="1:65" s="209" customFormat="1" ht="22.5">
      <c r="A496" s="195"/>
      <c r="B496" s="196"/>
      <c r="C496" s="197"/>
      <c r="D496" s="197"/>
      <c r="E496" s="198"/>
      <c r="F496" s="184" t="s">
        <v>3113</v>
      </c>
      <c r="G496" s="185"/>
      <c r="H496" s="186">
        <f>ROUND(3.8*0.6+10.245*0.725+1.3*1.1,2)</f>
        <v>11.14</v>
      </c>
      <c r="I496" s="194"/>
      <c r="J496" s="194"/>
      <c r="K496" s="202"/>
      <c r="L496" s="203"/>
      <c r="M496" s="204"/>
      <c r="N496" s="205"/>
      <c r="O496" s="206"/>
      <c r="P496" s="207"/>
      <c r="Q496" s="207"/>
      <c r="R496" s="207"/>
      <c r="S496" s="207"/>
      <c r="T496" s="208"/>
      <c r="U496" s="195"/>
      <c r="V496" s="195"/>
      <c r="W496" s="195"/>
      <c r="X496" s="195"/>
      <c r="Y496" s="195"/>
      <c r="Z496" s="195"/>
      <c r="AA496" s="195"/>
      <c r="AB496" s="195"/>
      <c r="AC496" s="195"/>
      <c r="AD496" s="195"/>
      <c r="AE496" s="195"/>
      <c r="AR496" s="210"/>
      <c r="AT496" s="210"/>
      <c r="AU496" s="210"/>
      <c r="AY496" s="211"/>
      <c r="BE496" s="212"/>
      <c r="BF496" s="212"/>
      <c r="BG496" s="212"/>
      <c r="BH496" s="212"/>
      <c r="BI496" s="212"/>
      <c r="BJ496" s="211"/>
      <c r="BK496" s="212"/>
      <c r="BL496" s="211"/>
      <c r="BM496" s="210"/>
    </row>
    <row r="497" spans="1:65" s="209" customFormat="1" ht="12">
      <c r="A497" s="195"/>
      <c r="B497" s="196"/>
      <c r="C497" s="197"/>
      <c r="D497" s="197"/>
      <c r="E497" s="198"/>
      <c r="F497" s="187" t="s">
        <v>2983</v>
      </c>
      <c r="G497" s="188"/>
      <c r="H497" s="189">
        <f>SUM(H495:H496)</f>
        <v>22.28</v>
      </c>
      <c r="I497" s="194"/>
      <c r="J497" s="194"/>
      <c r="K497" s="202"/>
      <c r="L497" s="203"/>
      <c r="M497" s="204"/>
      <c r="N497" s="205"/>
      <c r="O497" s="206"/>
      <c r="P497" s="207"/>
      <c r="Q497" s="207"/>
      <c r="R497" s="207"/>
      <c r="S497" s="207"/>
      <c r="T497" s="208"/>
      <c r="U497" s="195"/>
      <c r="V497" s="195"/>
      <c r="W497" s="195"/>
      <c r="X497" s="195"/>
      <c r="Y497" s="195"/>
      <c r="Z497" s="195"/>
      <c r="AA497" s="195"/>
      <c r="AB497" s="195"/>
      <c r="AC497" s="195"/>
      <c r="AD497" s="195"/>
      <c r="AE497" s="195"/>
      <c r="AR497" s="210"/>
      <c r="AT497" s="210"/>
      <c r="AU497" s="210"/>
      <c r="AY497" s="211"/>
      <c r="BE497" s="212"/>
      <c r="BF497" s="212"/>
      <c r="BG497" s="212"/>
      <c r="BH497" s="212"/>
      <c r="BI497" s="212"/>
      <c r="BJ497" s="211"/>
      <c r="BK497" s="212"/>
      <c r="BL497" s="211"/>
      <c r="BM497" s="210"/>
    </row>
    <row r="498" spans="1:65" s="2" customFormat="1" ht="24.2" customHeight="1">
      <c r="A498" s="29"/>
      <c r="B498" s="152"/>
      <c r="C498" s="153" t="s">
        <v>361</v>
      </c>
      <c r="D498" s="153" t="s">
        <v>181</v>
      </c>
      <c r="E498" s="154" t="s">
        <v>518</v>
      </c>
      <c r="F498" s="155" t="s">
        <v>519</v>
      </c>
      <c r="G498" s="156" t="s">
        <v>184</v>
      </c>
      <c r="H498" s="157">
        <v>11.14</v>
      </c>
      <c r="I498" s="158"/>
      <c r="J498" s="159">
        <v>0</v>
      </c>
      <c r="K498" s="160"/>
      <c r="L498" s="30"/>
      <c r="M498" s="161" t="s">
        <v>1</v>
      </c>
      <c r="N498" s="162" t="s">
        <v>35</v>
      </c>
      <c r="O498" s="58"/>
      <c r="P498" s="163">
        <f>O498*H498</f>
        <v>0</v>
      </c>
      <c r="Q498" s="163">
        <v>0</v>
      </c>
      <c r="R498" s="163">
        <f>Q498*H498</f>
        <v>0</v>
      </c>
      <c r="S498" s="163">
        <v>9.2999999999999999E-2</v>
      </c>
      <c r="T498" s="164">
        <f>S498*H498</f>
        <v>1.0360199999999999</v>
      </c>
      <c r="U498" s="29"/>
      <c r="V498" s="29"/>
      <c r="W498" s="29"/>
      <c r="X498" s="29"/>
      <c r="Y498" s="29"/>
      <c r="Z498" s="29"/>
      <c r="AA498" s="29"/>
      <c r="AB498" s="29"/>
      <c r="AC498" s="29"/>
      <c r="AD498" s="29"/>
      <c r="AE498" s="29"/>
      <c r="AR498" s="165" t="s">
        <v>185</v>
      </c>
      <c r="AT498" s="165" t="s">
        <v>181</v>
      </c>
      <c r="AU498" s="165" t="s">
        <v>82</v>
      </c>
      <c r="AY498" s="14" t="s">
        <v>179</v>
      </c>
      <c r="BE498" s="166">
        <f t="shared" si="22"/>
        <v>0</v>
      </c>
      <c r="BF498" s="166">
        <f t="shared" si="23"/>
        <v>0</v>
      </c>
      <c r="BG498" s="166">
        <f t="shared" si="24"/>
        <v>0</v>
      </c>
      <c r="BH498" s="166">
        <f t="shared" si="25"/>
        <v>0</v>
      </c>
      <c r="BI498" s="166">
        <f t="shared" si="26"/>
        <v>0</v>
      </c>
      <c r="BJ498" s="14" t="s">
        <v>82</v>
      </c>
      <c r="BK498" s="166">
        <f>ROUND(I498*H498,2)</f>
        <v>0</v>
      </c>
      <c r="BL498" s="14" t="s">
        <v>185</v>
      </c>
      <c r="BM498" s="165" t="s">
        <v>520</v>
      </c>
    </row>
    <row r="499" spans="1:65" s="209" customFormat="1" ht="22.5">
      <c r="A499" s="195"/>
      <c r="B499" s="196"/>
      <c r="C499" s="197"/>
      <c r="D499" s="197"/>
      <c r="E499" s="198"/>
      <c r="F499" s="184" t="s">
        <v>3114</v>
      </c>
      <c r="G499" s="185"/>
      <c r="H499" s="186">
        <f>ROUND(3.8*0.6+10.245*0.725+1.3*1.1,2)</f>
        <v>11.14</v>
      </c>
      <c r="I499" s="194"/>
      <c r="J499" s="194"/>
      <c r="K499" s="202"/>
      <c r="L499" s="203"/>
      <c r="M499" s="204"/>
      <c r="N499" s="205"/>
      <c r="O499" s="206"/>
      <c r="P499" s="207"/>
      <c r="Q499" s="207"/>
      <c r="R499" s="207"/>
      <c r="S499" s="207"/>
      <c r="T499" s="208"/>
      <c r="U499" s="195"/>
      <c r="V499" s="195"/>
      <c r="W499" s="195"/>
      <c r="X499" s="195"/>
      <c r="Y499" s="195"/>
      <c r="Z499" s="195"/>
      <c r="AA499" s="195"/>
      <c r="AB499" s="195"/>
      <c r="AC499" s="195"/>
      <c r="AD499" s="195"/>
      <c r="AE499" s="195"/>
      <c r="AR499" s="210"/>
      <c r="AT499" s="210"/>
      <c r="AU499" s="210"/>
      <c r="AY499" s="211"/>
      <c r="BE499" s="212"/>
      <c r="BF499" s="212"/>
      <c r="BG499" s="212"/>
      <c r="BH499" s="212"/>
      <c r="BI499" s="212"/>
      <c r="BJ499" s="211"/>
      <c r="BK499" s="212"/>
      <c r="BL499" s="211"/>
      <c r="BM499" s="210"/>
    </row>
    <row r="500" spans="1:65" s="209" customFormat="1" ht="12">
      <c r="A500" s="195"/>
      <c r="B500" s="196"/>
      <c r="C500" s="197"/>
      <c r="D500" s="197"/>
      <c r="E500" s="198"/>
      <c r="F500" s="187" t="s">
        <v>2983</v>
      </c>
      <c r="G500" s="188"/>
      <c r="H500" s="189">
        <f>SUM(H499:H499)</f>
        <v>11.14</v>
      </c>
      <c r="I500" s="194"/>
      <c r="J500" s="194"/>
      <c r="K500" s="202"/>
      <c r="L500" s="203"/>
      <c r="M500" s="204"/>
      <c r="N500" s="205"/>
      <c r="O500" s="206"/>
      <c r="P500" s="207"/>
      <c r="Q500" s="207"/>
      <c r="R500" s="207"/>
      <c r="S500" s="207"/>
      <c r="T500" s="208"/>
      <c r="U500" s="195"/>
      <c r="V500" s="195"/>
      <c r="W500" s="195"/>
      <c r="X500" s="195"/>
      <c r="Y500" s="195"/>
      <c r="Z500" s="195"/>
      <c r="AA500" s="195"/>
      <c r="AB500" s="195"/>
      <c r="AC500" s="195"/>
      <c r="AD500" s="195"/>
      <c r="AE500" s="195"/>
      <c r="AR500" s="210"/>
      <c r="AT500" s="210"/>
      <c r="AU500" s="210"/>
      <c r="AY500" s="211"/>
      <c r="BE500" s="212"/>
      <c r="BF500" s="212"/>
      <c r="BG500" s="212"/>
      <c r="BH500" s="212"/>
      <c r="BI500" s="212"/>
      <c r="BJ500" s="211"/>
      <c r="BK500" s="212"/>
      <c r="BL500" s="211"/>
      <c r="BM500" s="210"/>
    </row>
    <row r="501" spans="1:65" s="2" customFormat="1" ht="24.2" customHeight="1">
      <c r="A501" s="29"/>
      <c r="B501" s="152"/>
      <c r="C501" s="153" t="s">
        <v>521</v>
      </c>
      <c r="D501" s="153" t="s">
        <v>181</v>
      </c>
      <c r="E501" s="154" t="s">
        <v>522</v>
      </c>
      <c r="F501" s="155" t="s">
        <v>523</v>
      </c>
      <c r="G501" s="156" t="s">
        <v>191</v>
      </c>
      <c r="H501" s="157">
        <v>98.188999999999993</v>
      </c>
      <c r="I501" s="158"/>
      <c r="J501" s="159">
        <v>0</v>
      </c>
      <c r="K501" s="160"/>
      <c r="L501" s="30"/>
      <c r="M501" s="161" t="s">
        <v>1</v>
      </c>
      <c r="N501" s="162" t="s">
        <v>35</v>
      </c>
      <c r="O501" s="58"/>
      <c r="P501" s="163">
        <f t="shared" ref="P501:P508" si="28">O501*H501</f>
        <v>0</v>
      </c>
      <c r="Q501" s="163">
        <v>0</v>
      </c>
      <c r="R501" s="163">
        <f t="shared" ref="R501:R508" si="29">Q501*H501</f>
        <v>0</v>
      </c>
      <c r="S501" s="163">
        <v>0</v>
      </c>
      <c r="T501" s="164">
        <f t="shared" ref="T501:T508" si="30">S501*H501</f>
        <v>0</v>
      </c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  <c r="AR501" s="165" t="s">
        <v>185</v>
      </c>
      <c r="AT501" s="165" t="s">
        <v>181</v>
      </c>
      <c r="AU501" s="165" t="s">
        <v>82</v>
      </c>
      <c r="AY501" s="14" t="s">
        <v>179</v>
      </c>
      <c r="BE501" s="166">
        <f t="shared" si="22"/>
        <v>0</v>
      </c>
      <c r="BF501" s="166">
        <f t="shared" si="23"/>
        <v>0</v>
      </c>
      <c r="BG501" s="166">
        <f t="shared" si="24"/>
        <v>0</v>
      </c>
      <c r="BH501" s="166">
        <f t="shared" si="25"/>
        <v>0</v>
      </c>
      <c r="BI501" s="166">
        <f t="shared" si="26"/>
        <v>0</v>
      </c>
      <c r="BJ501" s="14" t="s">
        <v>82</v>
      </c>
      <c r="BK501" s="166">
        <f t="shared" ref="BK501:BK508" si="31">ROUND(I501*H501,2)</f>
        <v>0</v>
      </c>
      <c r="BL501" s="14" t="s">
        <v>185</v>
      </c>
      <c r="BM501" s="165" t="s">
        <v>524</v>
      </c>
    </row>
    <row r="502" spans="1:65" s="2" customFormat="1" ht="24.2" customHeight="1">
      <c r="A502" s="29"/>
      <c r="B502" s="152"/>
      <c r="C502" s="153" t="s">
        <v>364</v>
      </c>
      <c r="D502" s="153" t="s">
        <v>181</v>
      </c>
      <c r="E502" s="154" t="s">
        <v>525</v>
      </c>
      <c r="F502" s="155" t="s">
        <v>526</v>
      </c>
      <c r="G502" s="156" t="s">
        <v>191</v>
      </c>
      <c r="H502" s="157">
        <v>98.188999999999993</v>
      </c>
      <c r="I502" s="158"/>
      <c r="J502" s="159">
        <v>0</v>
      </c>
      <c r="K502" s="160"/>
      <c r="L502" s="30"/>
      <c r="M502" s="161" t="s">
        <v>1</v>
      </c>
      <c r="N502" s="162" t="s">
        <v>35</v>
      </c>
      <c r="O502" s="58"/>
      <c r="P502" s="163">
        <f t="shared" si="28"/>
        <v>0</v>
      </c>
      <c r="Q502" s="163">
        <v>0</v>
      </c>
      <c r="R502" s="163">
        <f t="shared" si="29"/>
        <v>0</v>
      </c>
      <c r="S502" s="163">
        <v>0</v>
      </c>
      <c r="T502" s="164">
        <f t="shared" si="30"/>
        <v>0</v>
      </c>
      <c r="U502" s="29"/>
      <c r="V502" s="29"/>
      <c r="W502" s="29"/>
      <c r="X502" s="29"/>
      <c r="Y502" s="29"/>
      <c r="Z502" s="29"/>
      <c r="AA502" s="29"/>
      <c r="AB502" s="29"/>
      <c r="AC502" s="29"/>
      <c r="AD502" s="29"/>
      <c r="AE502" s="29"/>
      <c r="AR502" s="165" t="s">
        <v>185</v>
      </c>
      <c r="AT502" s="165" t="s">
        <v>181</v>
      </c>
      <c r="AU502" s="165" t="s">
        <v>82</v>
      </c>
      <c r="AY502" s="14" t="s">
        <v>179</v>
      </c>
      <c r="BE502" s="166">
        <f t="shared" si="22"/>
        <v>0</v>
      </c>
      <c r="BF502" s="166">
        <f t="shared" si="23"/>
        <v>0</v>
      </c>
      <c r="BG502" s="166">
        <f t="shared" si="24"/>
        <v>0</v>
      </c>
      <c r="BH502" s="166">
        <f t="shared" si="25"/>
        <v>0</v>
      </c>
      <c r="BI502" s="166">
        <f t="shared" si="26"/>
        <v>0</v>
      </c>
      <c r="BJ502" s="14" t="s">
        <v>82</v>
      </c>
      <c r="BK502" s="166">
        <f t="shared" si="31"/>
        <v>0</v>
      </c>
      <c r="BL502" s="14" t="s">
        <v>185</v>
      </c>
      <c r="BM502" s="165" t="s">
        <v>527</v>
      </c>
    </row>
    <row r="503" spans="1:65" s="2" customFormat="1" ht="24.2" customHeight="1">
      <c r="A503" s="29"/>
      <c r="B503" s="152"/>
      <c r="C503" s="153" t="s">
        <v>528</v>
      </c>
      <c r="D503" s="153" t="s">
        <v>181</v>
      </c>
      <c r="E503" s="154" t="s">
        <v>529</v>
      </c>
      <c r="F503" s="155" t="s">
        <v>530</v>
      </c>
      <c r="G503" s="156" t="s">
        <v>191</v>
      </c>
      <c r="H503" s="157">
        <v>294.56400000000002</v>
      </c>
      <c r="I503" s="158"/>
      <c r="J503" s="159">
        <v>0</v>
      </c>
      <c r="K503" s="160"/>
      <c r="L503" s="30"/>
      <c r="M503" s="161" t="s">
        <v>1</v>
      </c>
      <c r="N503" s="162" t="s">
        <v>35</v>
      </c>
      <c r="O503" s="58"/>
      <c r="P503" s="163">
        <f t="shared" si="28"/>
        <v>0</v>
      </c>
      <c r="Q503" s="163">
        <v>0</v>
      </c>
      <c r="R503" s="163">
        <f t="shared" si="29"/>
        <v>0</v>
      </c>
      <c r="S503" s="163">
        <v>0</v>
      </c>
      <c r="T503" s="164">
        <f t="shared" si="30"/>
        <v>0</v>
      </c>
      <c r="U503" s="29"/>
      <c r="V503" s="29"/>
      <c r="W503" s="29"/>
      <c r="X503" s="29"/>
      <c r="Y503" s="29"/>
      <c r="Z503" s="29"/>
      <c r="AA503" s="29"/>
      <c r="AB503" s="29"/>
      <c r="AC503" s="29"/>
      <c r="AD503" s="29"/>
      <c r="AE503" s="29"/>
      <c r="AR503" s="165" t="s">
        <v>185</v>
      </c>
      <c r="AT503" s="165" t="s">
        <v>181</v>
      </c>
      <c r="AU503" s="165" t="s">
        <v>82</v>
      </c>
      <c r="AY503" s="14" t="s">
        <v>179</v>
      </c>
      <c r="BE503" s="166">
        <f t="shared" si="22"/>
        <v>0</v>
      </c>
      <c r="BF503" s="166">
        <f t="shared" si="23"/>
        <v>0</v>
      </c>
      <c r="BG503" s="166">
        <f t="shared" si="24"/>
        <v>0</v>
      </c>
      <c r="BH503" s="166">
        <f t="shared" si="25"/>
        <v>0</v>
      </c>
      <c r="BI503" s="166">
        <f t="shared" si="26"/>
        <v>0</v>
      </c>
      <c r="BJ503" s="14" t="s">
        <v>82</v>
      </c>
      <c r="BK503" s="166">
        <f t="shared" si="31"/>
        <v>0</v>
      </c>
      <c r="BL503" s="14" t="s">
        <v>185</v>
      </c>
      <c r="BM503" s="165" t="s">
        <v>531</v>
      </c>
    </row>
    <row r="504" spans="1:65" s="2" customFormat="1" ht="24.2" customHeight="1">
      <c r="A504" s="29"/>
      <c r="B504" s="152"/>
      <c r="C504" s="153" t="s">
        <v>368</v>
      </c>
      <c r="D504" s="153" t="s">
        <v>181</v>
      </c>
      <c r="E504" s="154" t="s">
        <v>532</v>
      </c>
      <c r="F504" s="155" t="s">
        <v>533</v>
      </c>
      <c r="G504" s="156" t="s">
        <v>191</v>
      </c>
      <c r="H504" s="157">
        <v>76.302000000000007</v>
      </c>
      <c r="I504" s="158"/>
      <c r="J504" s="159">
        <v>0</v>
      </c>
      <c r="K504" s="160"/>
      <c r="L504" s="30"/>
      <c r="M504" s="161" t="s">
        <v>1</v>
      </c>
      <c r="N504" s="162" t="s">
        <v>35</v>
      </c>
      <c r="O504" s="58"/>
      <c r="P504" s="163">
        <f t="shared" si="28"/>
        <v>0</v>
      </c>
      <c r="Q504" s="163">
        <v>0</v>
      </c>
      <c r="R504" s="163">
        <f t="shared" si="29"/>
        <v>0</v>
      </c>
      <c r="S504" s="163">
        <v>0</v>
      </c>
      <c r="T504" s="164">
        <f t="shared" si="30"/>
        <v>0</v>
      </c>
      <c r="U504" s="29"/>
      <c r="V504" s="29"/>
      <c r="W504" s="29"/>
      <c r="X504" s="29"/>
      <c r="Y504" s="29"/>
      <c r="Z504" s="29"/>
      <c r="AA504" s="29"/>
      <c r="AB504" s="29"/>
      <c r="AC504" s="29"/>
      <c r="AD504" s="29"/>
      <c r="AE504" s="29"/>
      <c r="AR504" s="165" t="s">
        <v>185</v>
      </c>
      <c r="AT504" s="165" t="s">
        <v>181</v>
      </c>
      <c r="AU504" s="165" t="s">
        <v>82</v>
      </c>
      <c r="AY504" s="14" t="s">
        <v>179</v>
      </c>
      <c r="BE504" s="166">
        <f t="shared" si="22"/>
        <v>0</v>
      </c>
      <c r="BF504" s="166">
        <f t="shared" si="23"/>
        <v>0</v>
      </c>
      <c r="BG504" s="166">
        <f t="shared" si="24"/>
        <v>0</v>
      </c>
      <c r="BH504" s="166">
        <f t="shared" si="25"/>
        <v>0</v>
      </c>
      <c r="BI504" s="166">
        <f t="shared" si="26"/>
        <v>0</v>
      </c>
      <c r="BJ504" s="14" t="s">
        <v>82</v>
      </c>
      <c r="BK504" s="166">
        <f t="shared" si="31"/>
        <v>0</v>
      </c>
      <c r="BL504" s="14" t="s">
        <v>185</v>
      </c>
      <c r="BM504" s="165" t="s">
        <v>534</v>
      </c>
    </row>
    <row r="505" spans="1:65" s="2" customFormat="1" ht="24.2" customHeight="1">
      <c r="A505" s="29"/>
      <c r="B505" s="152"/>
      <c r="C505" s="153" t="s">
        <v>535</v>
      </c>
      <c r="D505" s="153" t="s">
        <v>181</v>
      </c>
      <c r="E505" s="154" t="s">
        <v>536</v>
      </c>
      <c r="F505" s="155" t="s">
        <v>537</v>
      </c>
      <c r="G505" s="156" t="s">
        <v>191</v>
      </c>
      <c r="H505" s="157">
        <v>1.3280000000000001</v>
      </c>
      <c r="I505" s="158"/>
      <c r="J505" s="159">
        <v>0</v>
      </c>
      <c r="K505" s="160"/>
      <c r="L505" s="30"/>
      <c r="M505" s="161" t="s">
        <v>1</v>
      </c>
      <c r="N505" s="162" t="s">
        <v>35</v>
      </c>
      <c r="O505" s="58"/>
      <c r="P505" s="163">
        <f t="shared" si="28"/>
        <v>0</v>
      </c>
      <c r="Q505" s="163">
        <v>0</v>
      </c>
      <c r="R505" s="163">
        <f t="shared" si="29"/>
        <v>0</v>
      </c>
      <c r="S505" s="163">
        <v>0</v>
      </c>
      <c r="T505" s="164">
        <f t="shared" si="30"/>
        <v>0</v>
      </c>
      <c r="U505" s="29"/>
      <c r="V505" s="29"/>
      <c r="W505" s="29"/>
      <c r="X505" s="29"/>
      <c r="Y505" s="29"/>
      <c r="Z505" s="29"/>
      <c r="AA505" s="29"/>
      <c r="AB505" s="29"/>
      <c r="AC505" s="29"/>
      <c r="AD505" s="29"/>
      <c r="AE505" s="29"/>
      <c r="AR505" s="165" t="s">
        <v>185</v>
      </c>
      <c r="AT505" s="165" t="s">
        <v>181</v>
      </c>
      <c r="AU505" s="165" t="s">
        <v>82</v>
      </c>
      <c r="AY505" s="14" t="s">
        <v>179</v>
      </c>
      <c r="BE505" s="166">
        <f t="shared" si="22"/>
        <v>0</v>
      </c>
      <c r="BF505" s="166">
        <f t="shared" si="23"/>
        <v>0</v>
      </c>
      <c r="BG505" s="166">
        <f t="shared" si="24"/>
        <v>0</v>
      </c>
      <c r="BH505" s="166">
        <f t="shared" si="25"/>
        <v>0</v>
      </c>
      <c r="BI505" s="166">
        <f t="shared" si="26"/>
        <v>0</v>
      </c>
      <c r="BJ505" s="14" t="s">
        <v>82</v>
      </c>
      <c r="BK505" s="166">
        <f t="shared" si="31"/>
        <v>0</v>
      </c>
      <c r="BL505" s="14" t="s">
        <v>185</v>
      </c>
      <c r="BM505" s="165" t="s">
        <v>538</v>
      </c>
    </row>
    <row r="506" spans="1:65" s="2" customFormat="1" ht="24.2" customHeight="1">
      <c r="A506" s="29"/>
      <c r="B506" s="152"/>
      <c r="C506" s="153" t="s">
        <v>371</v>
      </c>
      <c r="D506" s="153" t="s">
        <v>181</v>
      </c>
      <c r="E506" s="154" t="s">
        <v>539</v>
      </c>
      <c r="F506" s="155" t="s">
        <v>540</v>
      </c>
      <c r="G506" s="156" t="s">
        <v>191</v>
      </c>
      <c r="H506" s="157">
        <v>11.782</v>
      </c>
      <c r="I506" s="158"/>
      <c r="J506" s="159">
        <v>0</v>
      </c>
      <c r="K506" s="160"/>
      <c r="L506" s="30"/>
      <c r="M506" s="161" t="s">
        <v>1</v>
      </c>
      <c r="N506" s="162" t="s">
        <v>35</v>
      </c>
      <c r="O506" s="58"/>
      <c r="P506" s="163">
        <f t="shared" si="28"/>
        <v>0</v>
      </c>
      <c r="Q506" s="163">
        <v>0</v>
      </c>
      <c r="R506" s="163">
        <f t="shared" si="29"/>
        <v>0</v>
      </c>
      <c r="S506" s="163">
        <v>0</v>
      </c>
      <c r="T506" s="164">
        <f t="shared" si="30"/>
        <v>0</v>
      </c>
      <c r="U506" s="29"/>
      <c r="V506" s="29"/>
      <c r="W506" s="29"/>
      <c r="X506" s="29"/>
      <c r="Y506" s="29"/>
      <c r="Z506" s="29"/>
      <c r="AA506" s="29"/>
      <c r="AB506" s="29"/>
      <c r="AC506" s="29"/>
      <c r="AD506" s="29"/>
      <c r="AE506" s="29"/>
      <c r="AR506" s="165" t="s">
        <v>185</v>
      </c>
      <c r="AT506" s="165" t="s">
        <v>181</v>
      </c>
      <c r="AU506" s="165" t="s">
        <v>82</v>
      </c>
      <c r="AY506" s="14" t="s">
        <v>179</v>
      </c>
      <c r="BE506" s="166">
        <f t="shared" si="22"/>
        <v>0</v>
      </c>
      <c r="BF506" s="166">
        <f t="shared" si="23"/>
        <v>0</v>
      </c>
      <c r="BG506" s="166">
        <f t="shared" si="24"/>
        <v>0</v>
      </c>
      <c r="BH506" s="166">
        <f t="shared" si="25"/>
        <v>0</v>
      </c>
      <c r="BI506" s="166">
        <f t="shared" si="26"/>
        <v>0</v>
      </c>
      <c r="BJ506" s="14" t="s">
        <v>82</v>
      </c>
      <c r="BK506" s="166">
        <f t="shared" si="31"/>
        <v>0</v>
      </c>
      <c r="BL506" s="14" t="s">
        <v>185</v>
      </c>
      <c r="BM506" s="165" t="s">
        <v>541</v>
      </c>
    </row>
    <row r="507" spans="1:65" s="2" customFormat="1" ht="24.2" customHeight="1">
      <c r="A507" s="29"/>
      <c r="B507" s="152"/>
      <c r="C507" s="153" t="s">
        <v>542</v>
      </c>
      <c r="D507" s="153" t="s">
        <v>181</v>
      </c>
      <c r="E507" s="154" t="s">
        <v>543</v>
      </c>
      <c r="F507" s="155" t="s">
        <v>544</v>
      </c>
      <c r="G507" s="156" t="s">
        <v>191</v>
      </c>
      <c r="H507" s="157">
        <v>2.7970000000000002</v>
      </c>
      <c r="I507" s="158"/>
      <c r="J507" s="159">
        <v>0</v>
      </c>
      <c r="K507" s="160"/>
      <c r="L507" s="30"/>
      <c r="M507" s="161" t="s">
        <v>1</v>
      </c>
      <c r="N507" s="162" t="s">
        <v>35</v>
      </c>
      <c r="O507" s="58"/>
      <c r="P507" s="163">
        <f t="shared" si="28"/>
        <v>0</v>
      </c>
      <c r="Q507" s="163">
        <v>0</v>
      </c>
      <c r="R507" s="163">
        <f t="shared" si="29"/>
        <v>0</v>
      </c>
      <c r="S507" s="163">
        <v>0</v>
      </c>
      <c r="T507" s="164">
        <f t="shared" si="30"/>
        <v>0</v>
      </c>
      <c r="U507" s="29"/>
      <c r="V507" s="29"/>
      <c r="W507" s="29"/>
      <c r="X507" s="29"/>
      <c r="Y507" s="29"/>
      <c r="Z507" s="29"/>
      <c r="AA507" s="29"/>
      <c r="AB507" s="29"/>
      <c r="AC507" s="29"/>
      <c r="AD507" s="29"/>
      <c r="AE507" s="29"/>
      <c r="AR507" s="165" t="s">
        <v>185</v>
      </c>
      <c r="AT507" s="165" t="s">
        <v>181</v>
      </c>
      <c r="AU507" s="165" t="s">
        <v>82</v>
      </c>
      <c r="AY507" s="14" t="s">
        <v>179</v>
      </c>
      <c r="BE507" s="166">
        <f t="shared" si="22"/>
        <v>0</v>
      </c>
      <c r="BF507" s="166">
        <f t="shared" si="23"/>
        <v>0</v>
      </c>
      <c r="BG507" s="166">
        <f t="shared" si="24"/>
        <v>0</v>
      </c>
      <c r="BH507" s="166">
        <f t="shared" si="25"/>
        <v>0</v>
      </c>
      <c r="BI507" s="166">
        <f t="shared" si="26"/>
        <v>0</v>
      </c>
      <c r="BJ507" s="14" t="s">
        <v>82</v>
      </c>
      <c r="BK507" s="166">
        <f t="shared" si="31"/>
        <v>0</v>
      </c>
      <c r="BL507" s="14" t="s">
        <v>185</v>
      </c>
      <c r="BM507" s="165" t="s">
        <v>545</v>
      </c>
    </row>
    <row r="508" spans="1:65" s="2" customFormat="1" ht="16.5" customHeight="1">
      <c r="A508" s="29"/>
      <c r="B508" s="152"/>
      <c r="C508" s="153" t="s">
        <v>375</v>
      </c>
      <c r="D508" s="153" t="s">
        <v>181</v>
      </c>
      <c r="E508" s="154" t="s">
        <v>546</v>
      </c>
      <c r="F508" s="155" t="s">
        <v>547</v>
      </c>
      <c r="G508" s="156" t="s">
        <v>217</v>
      </c>
      <c r="H508" s="157">
        <v>5</v>
      </c>
      <c r="I508" s="158"/>
      <c r="J508" s="159">
        <v>0</v>
      </c>
      <c r="K508" s="160"/>
      <c r="L508" s="30"/>
      <c r="M508" s="161" t="s">
        <v>1</v>
      </c>
      <c r="N508" s="162" t="s">
        <v>35</v>
      </c>
      <c r="O508" s="58"/>
      <c r="P508" s="163">
        <f t="shared" si="28"/>
        <v>0</v>
      </c>
      <c r="Q508" s="163">
        <v>0</v>
      </c>
      <c r="R508" s="163">
        <f t="shared" si="29"/>
        <v>0</v>
      </c>
      <c r="S508" s="163">
        <v>0</v>
      </c>
      <c r="T508" s="164">
        <f t="shared" si="30"/>
        <v>0</v>
      </c>
      <c r="U508" s="29"/>
      <c r="V508" s="29"/>
      <c r="W508" s="29"/>
      <c r="X508" s="29"/>
      <c r="Y508" s="29"/>
      <c r="Z508" s="29"/>
      <c r="AA508" s="29"/>
      <c r="AB508" s="29"/>
      <c r="AC508" s="29"/>
      <c r="AD508" s="29"/>
      <c r="AE508" s="29"/>
      <c r="AR508" s="165" t="s">
        <v>185</v>
      </c>
      <c r="AT508" s="165" t="s">
        <v>181</v>
      </c>
      <c r="AU508" s="165" t="s">
        <v>82</v>
      </c>
      <c r="AY508" s="14" t="s">
        <v>179</v>
      </c>
      <c r="BE508" s="166">
        <f t="shared" si="22"/>
        <v>0</v>
      </c>
      <c r="BF508" s="166">
        <f t="shared" si="23"/>
        <v>0</v>
      </c>
      <c r="BG508" s="166">
        <f t="shared" si="24"/>
        <v>0</v>
      </c>
      <c r="BH508" s="166">
        <f t="shared" si="25"/>
        <v>0</v>
      </c>
      <c r="BI508" s="166">
        <f t="shared" si="26"/>
        <v>0</v>
      </c>
      <c r="BJ508" s="14" t="s">
        <v>82</v>
      </c>
      <c r="BK508" s="166">
        <f t="shared" si="31"/>
        <v>0</v>
      </c>
      <c r="BL508" s="14" t="s">
        <v>185</v>
      </c>
      <c r="BM508" s="165" t="s">
        <v>548</v>
      </c>
    </row>
    <row r="509" spans="1:65" s="12" customFormat="1" ht="22.9" customHeight="1">
      <c r="B509" s="139"/>
      <c r="D509" s="140" t="s">
        <v>68</v>
      </c>
      <c r="E509" s="150" t="s">
        <v>535</v>
      </c>
      <c r="F509" s="150" t="s">
        <v>549</v>
      </c>
      <c r="I509" s="142"/>
      <c r="J509" s="151">
        <v>0</v>
      </c>
      <c r="L509" s="139"/>
      <c r="M509" s="144"/>
      <c r="N509" s="145"/>
      <c r="O509" s="145"/>
      <c r="P509" s="146">
        <f>P510</f>
        <v>0</v>
      </c>
      <c r="Q509" s="145"/>
      <c r="R509" s="146">
        <f>R510</f>
        <v>0</v>
      </c>
      <c r="S509" s="145"/>
      <c r="T509" s="147">
        <f>T510</f>
        <v>0</v>
      </c>
      <c r="AR509" s="140" t="s">
        <v>76</v>
      </c>
      <c r="AT509" s="148" t="s">
        <v>68</v>
      </c>
      <c r="AU509" s="148" t="s">
        <v>76</v>
      </c>
      <c r="AY509" s="140" t="s">
        <v>179</v>
      </c>
      <c r="BK509" s="149">
        <f>BK510</f>
        <v>0</v>
      </c>
    </row>
    <row r="510" spans="1:65" s="2" customFormat="1" ht="24.2" customHeight="1">
      <c r="A510" s="29"/>
      <c r="B510" s="152"/>
      <c r="C510" s="153" t="s">
        <v>550</v>
      </c>
      <c r="D510" s="153" t="s">
        <v>181</v>
      </c>
      <c r="E510" s="154" t="s">
        <v>551</v>
      </c>
      <c r="F510" s="155" t="s">
        <v>552</v>
      </c>
      <c r="G510" s="156" t="s">
        <v>191</v>
      </c>
      <c r="H510" s="157">
        <v>294.48599999999999</v>
      </c>
      <c r="I510" s="158"/>
      <c r="J510" s="159">
        <v>0</v>
      </c>
      <c r="K510" s="160"/>
      <c r="L510" s="30"/>
      <c r="M510" s="161" t="s">
        <v>1</v>
      </c>
      <c r="N510" s="162" t="s">
        <v>35</v>
      </c>
      <c r="O510" s="58"/>
      <c r="P510" s="163">
        <f>O510*H510</f>
        <v>0</v>
      </c>
      <c r="Q510" s="163">
        <v>0</v>
      </c>
      <c r="R510" s="163">
        <f>Q510*H510</f>
        <v>0</v>
      </c>
      <c r="S510" s="163">
        <v>0</v>
      </c>
      <c r="T510" s="164">
        <f>S510*H510</f>
        <v>0</v>
      </c>
      <c r="U510" s="29"/>
      <c r="V510" s="29"/>
      <c r="W510" s="29"/>
      <c r="X510" s="29"/>
      <c r="Y510" s="29"/>
      <c r="Z510" s="29"/>
      <c r="AA510" s="29"/>
      <c r="AB510" s="29"/>
      <c r="AC510" s="29"/>
      <c r="AD510" s="29"/>
      <c r="AE510" s="29"/>
      <c r="AR510" s="165" t="s">
        <v>185</v>
      </c>
      <c r="AT510" s="165" t="s">
        <v>181</v>
      </c>
      <c r="AU510" s="165" t="s">
        <v>82</v>
      </c>
      <c r="AY510" s="14" t="s">
        <v>179</v>
      </c>
      <c r="BE510" s="166">
        <f>IF(N510="základná",J510,0)</f>
        <v>0</v>
      </c>
      <c r="BF510" s="166">
        <f>IF(N510="znížená",J510,0)</f>
        <v>0</v>
      </c>
      <c r="BG510" s="166">
        <f>IF(N510="zákl. prenesená",J510,0)</f>
        <v>0</v>
      </c>
      <c r="BH510" s="166">
        <f>IF(N510="zníž. prenesená",J510,0)</f>
        <v>0</v>
      </c>
      <c r="BI510" s="166">
        <f>IF(N510="nulová",J510,0)</f>
        <v>0</v>
      </c>
      <c r="BJ510" s="14" t="s">
        <v>82</v>
      </c>
      <c r="BK510" s="166">
        <f>ROUND(I510*H510,2)</f>
        <v>0</v>
      </c>
      <c r="BL510" s="14" t="s">
        <v>185</v>
      </c>
      <c r="BM510" s="165" t="s">
        <v>553</v>
      </c>
    </row>
    <row r="511" spans="1:65" s="12" customFormat="1" ht="25.9" customHeight="1">
      <c r="B511" s="139"/>
      <c r="D511" s="140" t="s">
        <v>68</v>
      </c>
      <c r="E511" s="141" t="s">
        <v>554</v>
      </c>
      <c r="F511" s="141" t="s">
        <v>555</v>
      </c>
      <c r="I511" s="142"/>
      <c r="J511" s="143">
        <v>0</v>
      </c>
      <c r="L511" s="139"/>
      <c r="M511" s="144"/>
      <c r="N511" s="145"/>
      <c r="O511" s="145"/>
      <c r="P511" s="146">
        <f>P512+P539+P547+P555+P581+P597+P647+P665+P800+P807+P818+P826+P875+P893</f>
        <v>1.5326139999999999</v>
      </c>
      <c r="Q511" s="145"/>
      <c r="R511" s="146">
        <f>R512+R539+R547+R555+R581+R597+R647+R665+R800+R807+R818+R826+R875+R893</f>
        <v>8.361608519979999</v>
      </c>
      <c r="S511" s="145"/>
      <c r="T511" s="147">
        <f>T512+T539+T547+T555+T581+T597+T647+T665+T800+T807+T818+T826+T875+T893</f>
        <v>6.2206020000000004</v>
      </c>
      <c r="AR511" s="140" t="s">
        <v>82</v>
      </c>
      <c r="AT511" s="148" t="s">
        <v>68</v>
      </c>
      <c r="AU511" s="148" t="s">
        <v>69</v>
      </c>
      <c r="AY511" s="140" t="s">
        <v>179</v>
      </c>
      <c r="BK511" s="149">
        <f>BK512+BK539+BK547+BK555+BK581+BK597+BK647+BK665+BK800+BK807+BK818+BK826+BK875+BK893</f>
        <v>0</v>
      </c>
    </row>
    <row r="512" spans="1:65" s="12" customFormat="1" ht="22.9" customHeight="1">
      <c r="B512" s="139"/>
      <c r="D512" s="140" t="s">
        <v>68</v>
      </c>
      <c r="E512" s="150" t="s">
        <v>556</v>
      </c>
      <c r="F512" s="150" t="s">
        <v>557</v>
      </c>
      <c r="I512" s="142"/>
      <c r="J512" s="151">
        <v>0</v>
      </c>
      <c r="L512" s="139"/>
      <c r="M512" s="144"/>
      <c r="N512" s="145"/>
      <c r="O512" s="145"/>
      <c r="P512" s="146">
        <f>SUM(P513:P538)</f>
        <v>1.5326139999999999</v>
      </c>
      <c r="Q512" s="145"/>
      <c r="R512" s="146">
        <f>SUM(R513:R538)</f>
        <v>0.66690000000000005</v>
      </c>
      <c r="S512" s="145"/>
      <c r="T512" s="147">
        <f>SUM(T513:T538)</f>
        <v>0</v>
      </c>
      <c r="AR512" s="140" t="s">
        <v>82</v>
      </c>
      <c r="AT512" s="148" t="s">
        <v>68</v>
      </c>
      <c r="AU512" s="148" t="s">
        <v>76</v>
      </c>
      <c r="AY512" s="140" t="s">
        <v>179</v>
      </c>
      <c r="BK512" s="149">
        <f>SUM(BK513:BK538)</f>
        <v>0</v>
      </c>
    </row>
    <row r="513" spans="1:65" s="2" customFormat="1" ht="24.2" customHeight="1">
      <c r="A513" s="29"/>
      <c r="B513" s="152"/>
      <c r="C513" s="153" t="s">
        <v>378</v>
      </c>
      <c r="D513" s="153" t="s">
        <v>181</v>
      </c>
      <c r="E513" s="154" t="s">
        <v>558</v>
      </c>
      <c r="F513" s="155" t="s">
        <v>559</v>
      </c>
      <c r="G513" s="156" t="s">
        <v>184</v>
      </c>
      <c r="H513" s="157">
        <v>23.3</v>
      </c>
      <c r="I513" s="158"/>
      <c r="J513" s="159">
        <v>0</v>
      </c>
      <c r="K513" s="160"/>
      <c r="L513" s="30"/>
      <c r="M513" s="161" t="s">
        <v>1</v>
      </c>
      <c r="N513" s="162" t="s">
        <v>35</v>
      </c>
      <c r="O513" s="58"/>
      <c r="P513" s="163">
        <f>O513*H513</f>
        <v>0</v>
      </c>
      <c r="Q513" s="163">
        <v>0</v>
      </c>
      <c r="R513" s="163">
        <f>Q513*H513</f>
        <v>0</v>
      </c>
      <c r="S513" s="163">
        <v>0</v>
      </c>
      <c r="T513" s="164">
        <f>S513*H513</f>
        <v>0</v>
      </c>
      <c r="U513" s="29"/>
      <c r="V513" s="29"/>
      <c r="W513" s="29"/>
      <c r="X513" s="29"/>
      <c r="Y513" s="29"/>
      <c r="Z513" s="29"/>
      <c r="AA513" s="29"/>
      <c r="AB513" s="29"/>
      <c r="AC513" s="29"/>
      <c r="AD513" s="29"/>
      <c r="AE513" s="29"/>
      <c r="AR513" s="165" t="s">
        <v>213</v>
      </c>
      <c r="AT513" s="165" t="s">
        <v>181</v>
      </c>
      <c r="AU513" s="165" t="s">
        <v>82</v>
      </c>
      <c r="AY513" s="14" t="s">
        <v>179</v>
      </c>
      <c r="BE513" s="166">
        <f t="shared" ref="BE513:BE538" si="32">IF(N513="základná",J513,0)</f>
        <v>0</v>
      </c>
      <c r="BF513" s="166">
        <f t="shared" ref="BF513:BF538" si="33">IF(N513="znížená",J513,0)</f>
        <v>0</v>
      </c>
      <c r="BG513" s="166">
        <f t="shared" ref="BG513:BG538" si="34">IF(N513="zákl. prenesená",J513,0)</f>
        <v>0</v>
      </c>
      <c r="BH513" s="166">
        <f t="shared" ref="BH513:BH538" si="35">IF(N513="zníž. prenesená",J513,0)</f>
        <v>0</v>
      </c>
      <c r="BI513" s="166">
        <f t="shared" ref="BI513:BI538" si="36">IF(N513="nulová",J513,0)</f>
        <v>0</v>
      </c>
      <c r="BJ513" s="14" t="s">
        <v>82</v>
      </c>
      <c r="BK513" s="166">
        <f>ROUND(I513*H513,2)</f>
        <v>0</v>
      </c>
      <c r="BL513" s="14" t="s">
        <v>213</v>
      </c>
      <c r="BM513" s="165" t="s">
        <v>560</v>
      </c>
    </row>
    <row r="514" spans="1:65" s="209" customFormat="1" ht="12">
      <c r="A514" s="195"/>
      <c r="B514" s="196"/>
      <c r="C514" s="197"/>
      <c r="D514" s="197"/>
      <c r="E514" s="198"/>
      <c r="F514" s="218" t="s">
        <v>3116</v>
      </c>
      <c r="G514" s="219"/>
      <c r="H514" s="186">
        <f>2*10.9</f>
        <v>21.8</v>
      </c>
      <c r="I514" s="194"/>
      <c r="J514" s="194"/>
      <c r="K514" s="202"/>
      <c r="L514" s="203"/>
      <c r="M514" s="204"/>
      <c r="N514" s="205"/>
      <c r="O514" s="206"/>
      <c r="P514" s="207"/>
      <c r="Q514" s="207"/>
      <c r="R514" s="207"/>
      <c r="S514" s="207"/>
      <c r="T514" s="208"/>
      <c r="U514" s="195"/>
      <c r="V514" s="195"/>
      <c r="W514" s="195"/>
      <c r="X514" s="195"/>
      <c r="Y514" s="195"/>
      <c r="Z514" s="195"/>
      <c r="AA514" s="195"/>
      <c r="AB514" s="195"/>
      <c r="AC514" s="195"/>
      <c r="AD514" s="195"/>
      <c r="AE514" s="195"/>
      <c r="AR514" s="210"/>
      <c r="AT514" s="210"/>
      <c r="AU514" s="210"/>
      <c r="AY514" s="211"/>
      <c r="BE514" s="212"/>
      <c r="BF514" s="212"/>
      <c r="BG514" s="212"/>
      <c r="BH514" s="212"/>
      <c r="BI514" s="212"/>
      <c r="BJ514" s="211"/>
      <c r="BK514" s="212"/>
      <c r="BL514" s="211"/>
      <c r="BM514" s="210"/>
    </row>
    <row r="515" spans="1:65" s="209" customFormat="1" ht="12">
      <c r="A515" s="195"/>
      <c r="B515" s="196"/>
      <c r="C515" s="197"/>
      <c r="D515" s="197"/>
      <c r="E515" s="198"/>
      <c r="F515" s="218" t="s">
        <v>3117</v>
      </c>
      <c r="G515" s="219"/>
      <c r="H515" s="186">
        <f>ROUNDUP(0.6*0.6*4,1)</f>
        <v>1.5</v>
      </c>
      <c r="I515" s="194"/>
      <c r="J515" s="194"/>
      <c r="K515" s="202"/>
      <c r="L515" s="203"/>
      <c r="M515" s="204"/>
      <c r="N515" s="205"/>
      <c r="O515" s="206"/>
      <c r="P515" s="207"/>
      <c r="Q515" s="207"/>
      <c r="R515" s="207"/>
      <c r="S515" s="207"/>
      <c r="T515" s="208"/>
      <c r="U515" s="195"/>
      <c r="V515" s="195"/>
      <c r="W515" s="195"/>
      <c r="X515" s="195"/>
      <c r="Y515" s="195"/>
      <c r="Z515" s="195"/>
      <c r="AA515" s="195"/>
      <c r="AB515" s="195"/>
      <c r="AC515" s="195"/>
      <c r="AD515" s="195"/>
      <c r="AE515" s="195"/>
      <c r="AR515" s="210"/>
      <c r="AT515" s="210"/>
      <c r="AU515" s="210"/>
      <c r="AY515" s="211"/>
      <c r="BE515" s="212"/>
      <c r="BF515" s="212"/>
      <c r="BG515" s="212"/>
      <c r="BH515" s="212"/>
      <c r="BI515" s="212"/>
      <c r="BJ515" s="211"/>
      <c r="BK515" s="212"/>
      <c r="BL515" s="211"/>
      <c r="BM515" s="210"/>
    </row>
    <row r="516" spans="1:65" s="209" customFormat="1" ht="12">
      <c r="A516" s="195"/>
      <c r="B516" s="196"/>
      <c r="C516" s="197"/>
      <c r="D516" s="197"/>
      <c r="E516" s="198"/>
      <c r="F516" s="187" t="s">
        <v>2983</v>
      </c>
      <c r="G516" s="188"/>
      <c r="H516" s="189">
        <f>SUM(H514:H515)</f>
        <v>23.3</v>
      </c>
      <c r="I516" s="194"/>
      <c r="J516" s="194"/>
      <c r="K516" s="202"/>
      <c r="L516" s="203"/>
      <c r="M516" s="204"/>
      <c r="N516" s="205"/>
      <c r="O516" s="206"/>
      <c r="P516" s="207"/>
      <c r="Q516" s="207"/>
      <c r="R516" s="207"/>
      <c r="S516" s="207"/>
      <c r="T516" s="208"/>
      <c r="U516" s="195"/>
      <c r="V516" s="195"/>
      <c r="W516" s="195"/>
      <c r="X516" s="195"/>
      <c r="Y516" s="195"/>
      <c r="Z516" s="195"/>
      <c r="AA516" s="195"/>
      <c r="AB516" s="195"/>
      <c r="AC516" s="195"/>
      <c r="AD516" s="195"/>
      <c r="AE516" s="195"/>
      <c r="AR516" s="210"/>
      <c r="AT516" s="210"/>
      <c r="AU516" s="210"/>
      <c r="AY516" s="211"/>
      <c r="BE516" s="212"/>
      <c r="BF516" s="212"/>
      <c r="BG516" s="212"/>
      <c r="BH516" s="212"/>
      <c r="BI516" s="212"/>
      <c r="BJ516" s="211"/>
      <c r="BK516" s="212"/>
      <c r="BL516" s="211"/>
      <c r="BM516" s="210"/>
    </row>
    <row r="517" spans="1:65" s="2" customFormat="1" ht="24.2" customHeight="1">
      <c r="A517" s="29"/>
      <c r="B517" s="152"/>
      <c r="C517" s="153" t="s">
        <v>561</v>
      </c>
      <c r="D517" s="153" t="s">
        <v>181</v>
      </c>
      <c r="E517" s="154" t="s">
        <v>562</v>
      </c>
      <c r="F517" s="155" t="s">
        <v>563</v>
      </c>
      <c r="G517" s="156" t="s">
        <v>184</v>
      </c>
      <c r="H517" s="157">
        <v>33.700000000000003</v>
      </c>
      <c r="I517" s="158"/>
      <c r="J517" s="159">
        <v>0</v>
      </c>
      <c r="K517" s="160"/>
      <c r="L517" s="30"/>
      <c r="M517" s="161" t="s">
        <v>1</v>
      </c>
      <c r="N517" s="162" t="s">
        <v>35</v>
      </c>
      <c r="O517" s="58"/>
      <c r="P517" s="163">
        <f>O517*H517</f>
        <v>0</v>
      </c>
      <c r="Q517" s="163">
        <v>0</v>
      </c>
      <c r="R517" s="163">
        <f>Q517*H517</f>
        <v>0</v>
      </c>
      <c r="S517" s="163">
        <v>0</v>
      </c>
      <c r="T517" s="164">
        <f>S517*H517</f>
        <v>0</v>
      </c>
      <c r="U517" s="29"/>
      <c r="V517" s="29"/>
      <c r="W517" s="29"/>
      <c r="X517" s="29"/>
      <c r="Y517" s="29"/>
      <c r="Z517" s="29"/>
      <c r="AA517" s="29"/>
      <c r="AB517" s="29"/>
      <c r="AC517" s="29"/>
      <c r="AD517" s="29"/>
      <c r="AE517" s="29"/>
      <c r="AR517" s="165" t="s">
        <v>213</v>
      </c>
      <c r="AT517" s="165" t="s">
        <v>181</v>
      </c>
      <c r="AU517" s="165" t="s">
        <v>82</v>
      </c>
      <c r="AY517" s="14" t="s">
        <v>179</v>
      </c>
      <c r="BE517" s="166">
        <f t="shared" si="32"/>
        <v>0</v>
      </c>
      <c r="BF517" s="166">
        <f t="shared" si="33"/>
        <v>0</v>
      </c>
      <c r="BG517" s="166">
        <f t="shared" si="34"/>
        <v>0</v>
      </c>
      <c r="BH517" s="166">
        <f t="shared" si="35"/>
        <v>0</v>
      </c>
      <c r="BI517" s="166">
        <f t="shared" si="36"/>
        <v>0</v>
      </c>
      <c r="BJ517" s="14" t="s">
        <v>82</v>
      </c>
      <c r="BK517" s="166">
        <f>ROUND(I517*H517,2)</f>
        <v>0</v>
      </c>
      <c r="BL517" s="14" t="s">
        <v>213</v>
      </c>
      <c r="BM517" s="165" t="s">
        <v>564</v>
      </c>
    </row>
    <row r="518" spans="1:65" s="209" customFormat="1" ht="12">
      <c r="A518" s="195"/>
      <c r="B518" s="196"/>
      <c r="C518" s="197"/>
      <c r="D518" s="197"/>
      <c r="E518" s="198"/>
      <c r="F518" s="229" t="s">
        <v>3028</v>
      </c>
      <c r="G518" s="228"/>
      <c r="H518" s="214">
        <v>33.700000000000003</v>
      </c>
      <c r="I518" s="194"/>
      <c r="J518" s="194"/>
      <c r="K518" s="202"/>
      <c r="L518" s="203"/>
      <c r="M518" s="204"/>
      <c r="N518" s="205"/>
      <c r="O518" s="206"/>
      <c r="P518" s="207"/>
      <c r="Q518" s="207"/>
      <c r="R518" s="207"/>
      <c r="S518" s="207"/>
      <c r="T518" s="208"/>
      <c r="U518" s="195"/>
      <c r="V518" s="195"/>
      <c r="W518" s="195"/>
      <c r="X518" s="195"/>
      <c r="Y518" s="195"/>
      <c r="Z518" s="195"/>
      <c r="AA518" s="195"/>
      <c r="AB518" s="195"/>
      <c r="AC518" s="195"/>
      <c r="AD518" s="195"/>
      <c r="AE518" s="195"/>
      <c r="AR518" s="210"/>
      <c r="AT518" s="210"/>
      <c r="AU518" s="210"/>
      <c r="AY518" s="211"/>
      <c r="BE518" s="212"/>
      <c r="BF518" s="212"/>
      <c r="BG518" s="212"/>
      <c r="BH518" s="212"/>
      <c r="BI518" s="212"/>
      <c r="BJ518" s="211"/>
      <c r="BK518" s="212"/>
      <c r="BL518" s="211"/>
      <c r="BM518" s="210"/>
    </row>
    <row r="519" spans="1:65" s="209" customFormat="1" ht="12">
      <c r="A519" s="195"/>
      <c r="B519" s="196"/>
      <c r="C519" s="197"/>
      <c r="D519" s="197"/>
      <c r="E519" s="198"/>
      <c r="F519" s="215" t="s">
        <v>2983</v>
      </c>
      <c r="G519" s="216"/>
      <c r="H519" s="217">
        <f>SUM(H518:H518)</f>
        <v>33.700000000000003</v>
      </c>
      <c r="I519" s="194"/>
      <c r="J519" s="194"/>
      <c r="K519" s="202"/>
      <c r="L519" s="203"/>
      <c r="M519" s="204"/>
      <c r="N519" s="205"/>
      <c r="O519" s="206"/>
      <c r="P519" s="207"/>
      <c r="Q519" s="207"/>
      <c r="R519" s="207"/>
      <c r="S519" s="207"/>
      <c r="T519" s="208"/>
      <c r="U519" s="195"/>
      <c r="V519" s="195"/>
      <c r="W519" s="195"/>
      <c r="X519" s="195"/>
      <c r="Y519" s="195"/>
      <c r="Z519" s="195"/>
      <c r="AA519" s="195"/>
      <c r="AB519" s="195"/>
      <c r="AC519" s="195"/>
      <c r="AD519" s="195"/>
      <c r="AE519" s="195"/>
      <c r="AR519" s="210"/>
      <c r="AT519" s="210"/>
      <c r="AU519" s="210"/>
      <c r="AY519" s="211"/>
      <c r="BE519" s="212"/>
      <c r="BF519" s="212"/>
      <c r="BG519" s="212"/>
      <c r="BH519" s="212"/>
      <c r="BI519" s="212"/>
      <c r="BJ519" s="211"/>
      <c r="BK519" s="212"/>
      <c r="BL519" s="211"/>
      <c r="BM519" s="210"/>
    </row>
    <row r="520" spans="1:65" s="2" customFormat="1" ht="24.2" customHeight="1">
      <c r="A520" s="29"/>
      <c r="B520" s="152"/>
      <c r="C520" s="167" t="s">
        <v>382</v>
      </c>
      <c r="D520" s="167" t="s">
        <v>202</v>
      </c>
      <c r="E520" s="168" t="s">
        <v>565</v>
      </c>
      <c r="F520" s="169" t="s">
        <v>566</v>
      </c>
      <c r="G520" s="170" t="s">
        <v>184</v>
      </c>
      <c r="H520" s="171">
        <v>65.599999999999994</v>
      </c>
      <c r="I520" s="172"/>
      <c r="J520" s="173">
        <v>0</v>
      </c>
      <c r="K520" s="174"/>
      <c r="L520" s="175"/>
      <c r="M520" s="176" t="s">
        <v>1</v>
      </c>
      <c r="N520" s="177" t="s">
        <v>35</v>
      </c>
      <c r="O520" s="58"/>
      <c r="P520" s="163">
        <f>O520*H520</f>
        <v>0</v>
      </c>
      <c r="Q520" s="163">
        <v>0</v>
      </c>
      <c r="R520" s="163">
        <f>Q520*H520</f>
        <v>0</v>
      </c>
      <c r="S520" s="163">
        <v>0</v>
      </c>
      <c r="T520" s="164">
        <f>S520*H520</f>
        <v>0</v>
      </c>
      <c r="U520" s="29"/>
      <c r="V520" s="29"/>
      <c r="W520" s="29"/>
      <c r="X520" s="29"/>
      <c r="Y520" s="29"/>
      <c r="Z520" s="29"/>
      <c r="AA520" s="29"/>
      <c r="AB520" s="29"/>
      <c r="AC520" s="29"/>
      <c r="AD520" s="29"/>
      <c r="AE520" s="29"/>
      <c r="AR520" s="165" t="s">
        <v>242</v>
      </c>
      <c r="AT520" s="165" t="s">
        <v>202</v>
      </c>
      <c r="AU520" s="165" t="s">
        <v>82</v>
      </c>
      <c r="AY520" s="14" t="s">
        <v>179</v>
      </c>
      <c r="BE520" s="166">
        <f t="shared" si="32"/>
        <v>0</v>
      </c>
      <c r="BF520" s="166">
        <f t="shared" si="33"/>
        <v>0</v>
      </c>
      <c r="BG520" s="166">
        <f t="shared" si="34"/>
        <v>0</v>
      </c>
      <c r="BH520" s="166">
        <f t="shared" si="35"/>
        <v>0</v>
      </c>
      <c r="BI520" s="166">
        <f t="shared" si="36"/>
        <v>0</v>
      </c>
      <c r="BJ520" s="14" t="s">
        <v>82</v>
      </c>
      <c r="BK520" s="166">
        <f>ROUND(I520*H520,2)</f>
        <v>0</v>
      </c>
      <c r="BL520" s="14" t="s">
        <v>213</v>
      </c>
      <c r="BM520" s="165" t="s">
        <v>567</v>
      </c>
    </row>
    <row r="521" spans="1:65" s="209" customFormat="1" ht="12">
      <c r="A521" s="195"/>
      <c r="B521" s="196"/>
      <c r="C521" s="197"/>
      <c r="D521" s="197"/>
      <c r="E521" s="198"/>
      <c r="F521" s="230" t="s">
        <v>3118</v>
      </c>
      <c r="G521" s="231"/>
      <c r="H521" s="232">
        <f>ROUNDUP((23.3+33.7)*1.15,1)</f>
        <v>65.599999999999994</v>
      </c>
      <c r="I521" s="194"/>
      <c r="J521" s="194"/>
      <c r="K521" s="202"/>
      <c r="L521" s="203"/>
      <c r="M521" s="204"/>
      <c r="N521" s="205"/>
      <c r="O521" s="206"/>
      <c r="P521" s="207"/>
      <c r="Q521" s="207"/>
      <c r="R521" s="207"/>
      <c r="S521" s="207"/>
      <c r="T521" s="208"/>
      <c r="U521" s="195"/>
      <c r="V521" s="195"/>
      <c r="W521" s="195"/>
      <c r="X521" s="195"/>
      <c r="Y521" s="195"/>
      <c r="Z521" s="195"/>
      <c r="AA521" s="195"/>
      <c r="AB521" s="195"/>
      <c r="AC521" s="195"/>
      <c r="AD521" s="195"/>
      <c r="AE521" s="195"/>
      <c r="AR521" s="210"/>
      <c r="AT521" s="210"/>
      <c r="AU521" s="210"/>
      <c r="AY521" s="211"/>
      <c r="BE521" s="212"/>
      <c r="BF521" s="212"/>
      <c r="BG521" s="212"/>
      <c r="BH521" s="212"/>
      <c r="BI521" s="212"/>
      <c r="BJ521" s="211"/>
      <c r="BK521" s="212"/>
      <c r="BL521" s="211"/>
      <c r="BM521" s="210"/>
    </row>
    <row r="522" spans="1:65" s="209" customFormat="1" ht="12">
      <c r="A522" s="195"/>
      <c r="B522" s="196"/>
      <c r="C522" s="197"/>
      <c r="D522" s="197"/>
      <c r="E522" s="198"/>
      <c r="F522" s="215" t="s">
        <v>2983</v>
      </c>
      <c r="G522" s="216"/>
      <c r="H522" s="217">
        <f>SUM(H521:H521)</f>
        <v>65.599999999999994</v>
      </c>
      <c r="I522" s="194"/>
      <c r="J522" s="194"/>
      <c r="K522" s="202"/>
      <c r="L522" s="203"/>
      <c r="M522" s="204"/>
      <c r="N522" s="205"/>
      <c r="O522" s="206"/>
      <c r="P522" s="207"/>
      <c r="Q522" s="207"/>
      <c r="R522" s="207"/>
      <c r="S522" s="207"/>
      <c r="T522" s="208"/>
      <c r="U522" s="195"/>
      <c r="V522" s="195"/>
      <c r="W522" s="195"/>
      <c r="X522" s="195"/>
      <c r="Y522" s="195"/>
      <c r="Z522" s="195"/>
      <c r="AA522" s="195"/>
      <c r="AB522" s="195"/>
      <c r="AC522" s="195"/>
      <c r="AD522" s="195"/>
      <c r="AE522" s="195"/>
      <c r="AR522" s="210"/>
      <c r="AT522" s="210"/>
      <c r="AU522" s="210"/>
      <c r="AY522" s="211"/>
      <c r="BE522" s="212"/>
      <c r="BF522" s="212"/>
      <c r="BG522" s="212"/>
      <c r="BH522" s="212"/>
      <c r="BI522" s="212"/>
      <c r="BJ522" s="211"/>
      <c r="BK522" s="212"/>
      <c r="BL522" s="211"/>
      <c r="BM522" s="210"/>
    </row>
    <row r="523" spans="1:65" s="2" customFormat="1" ht="33" customHeight="1">
      <c r="A523" s="29"/>
      <c r="B523" s="152"/>
      <c r="C523" s="153" t="s">
        <v>568</v>
      </c>
      <c r="D523" s="153" t="s">
        <v>181</v>
      </c>
      <c r="E523" s="154" t="s">
        <v>569</v>
      </c>
      <c r="F523" s="155" t="s">
        <v>570</v>
      </c>
      <c r="G523" s="156" t="s">
        <v>184</v>
      </c>
      <c r="H523" s="157">
        <v>10.199999999999999</v>
      </c>
      <c r="I523" s="158"/>
      <c r="J523" s="159">
        <v>0</v>
      </c>
      <c r="K523" s="160"/>
      <c r="L523" s="30"/>
      <c r="M523" s="161" t="s">
        <v>1</v>
      </c>
      <c r="N523" s="162" t="s">
        <v>35</v>
      </c>
      <c r="O523" s="58"/>
      <c r="P523" s="163">
        <f>O523*H523</f>
        <v>0</v>
      </c>
      <c r="Q523" s="163">
        <v>0</v>
      </c>
      <c r="R523" s="163">
        <f>Q523*H523</f>
        <v>0</v>
      </c>
      <c r="S523" s="163">
        <v>0</v>
      </c>
      <c r="T523" s="164">
        <f>S523*H523</f>
        <v>0</v>
      </c>
      <c r="U523" s="29"/>
      <c r="V523" s="29"/>
      <c r="W523" s="29"/>
      <c r="X523" s="29"/>
      <c r="Y523" s="29"/>
      <c r="Z523" s="29"/>
      <c r="AA523" s="29"/>
      <c r="AB523" s="29"/>
      <c r="AC523" s="29"/>
      <c r="AD523" s="29"/>
      <c r="AE523" s="29"/>
      <c r="AR523" s="165" t="s">
        <v>213</v>
      </c>
      <c r="AT523" s="165" t="s">
        <v>181</v>
      </c>
      <c r="AU523" s="165" t="s">
        <v>82</v>
      </c>
      <c r="AY523" s="14" t="s">
        <v>179</v>
      </c>
      <c r="BE523" s="166">
        <f t="shared" si="32"/>
        <v>0</v>
      </c>
      <c r="BF523" s="166">
        <f t="shared" si="33"/>
        <v>0</v>
      </c>
      <c r="BG523" s="166">
        <f t="shared" si="34"/>
        <v>0</v>
      </c>
      <c r="BH523" s="166">
        <f t="shared" si="35"/>
        <v>0</v>
      </c>
      <c r="BI523" s="166">
        <f t="shared" si="36"/>
        <v>0</v>
      </c>
      <c r="BJ523" s="14" t="s">
        <v>82</v>
      </c>
      <c r="BK523" s="166">
        <f>ROUND(I523*H523,2)</f>
        <v>0</v>
      </c>
      <c r="BL523" s="14" t="s">
        <v>213</v>
      </c>
      <c r="BM523" s="165" t="s">
        <v>571</v>
      </c>
    </row>
    <row r="524" spans="1:65" s="209" customFormat="1" ht="12">
      <c r="A524" s="195"/>
      <c r="B524" s="196"/>
      <c r="C524" s="197"/>
      <c r="D524" s="197"/>
      <c r="E524" s="198"/>
      <c r="F524" s="184" t="s">
        <v>3119</v>
      </c>
      <c r="G524" s="185"/>
      <c r="H524" s="192">
        <v>10.199999999999999</v>
      </c>
      <c r="I524" s="194"/>
      <c r="J524" s="194"/>
      <c r="K524" s="202"/>
      <c r="L524" s="203"/>
      <c r="M524" s="204"/>
      <c r="N524" s="205"/>
      <c r="O524" s="206"/>
      <c r="P524" s="207"/>
      <c r="Q524" s="207"/>
      <c r="R524" s="207"/>
      <c r="S524" s="207"/>
      <c r="T524" s="208"/>
      <c r="U524" s="195"/>
      <c r="V524" s="195"/>
      <c r="W524" s="195"/>
      <c r="X524" s="195"/>
      <c r="Y524" s="195"/>
      <c r="Z524" s="195"/>
      <c r="AA524" s="195"/>
      <c r="AB524" s="195"/>
      <c r="AC524" s="195"/>
      <c r="AD524" s="195"/>
      <c r="AE524" s="195"/>
      <c r="AR524" s="210"/>
      <c r="AT524" s="210"/>
      <c r="AU524" s="210"/>
      <c r="AY524" s="211"/>
      <c r="BE524" s="212"/>
      <c r="BF524" s="212"/>
      <c r="BG524" s="212"/>
      <c r="BH524" s="212"/>
      <c r="BI524" s="212"/>
      <c r="BJ524" s="211"/>
      <c r="BK524" s="212"/>
      <c r="BL524" s="211"/>
      <c r="BM524" s="210"/>
    </row>
    <row r="525" spans="1:65" s="209" customFormat="1" ht="12">
      <c r="A525" s="195"/>
      <c r="B525" s="196"/>
      <c r="C525" s="197"/>
      <c r="D525" s="197"/>
      <c r="E525" s="198"/>
      <c r="F525" s="233" t="s">
        <v>2983</v>
      </c>
      <c r="G525" s="234"/>
      <c r="H525" s="189">
        <f>SUM(H524:H524)</f>
        <v>10.199999999999999</v>
      </c>
      <c r="I525" s="194"/>
      <c r="J525" s="194"/>
      <c r="K525" s="202"/>
      <c r="L525" s="203"/>
      <c r="M525" s="204"/>
      <c r="N525" s="205"/>
      <c r="O525" s="206"/>
      <c r="P525" s="207"/>
      <c r="Q525" s="207"/>
      <c r="R525" s="207"/>
      <c r="S525" s="207"/>
      <c r="T525" s="208"/>
      <c r="U525" s="195"/>
      <c r="V525" s="195"/>
      <c r="W525" s="195"/>
      <c r="X525" s="195"/>
      <c r="Y525" s="195"/>
      <c r="Z525" s="195"/>
      <c r="AA525" s="195"/>
      <c r="AB525" s="195"/>
      <c r="AC525" s="195"/>
      <c r="AD525" s="195"/>
      <c r="AE525" s="195"/>
      <c r="AR525" s="210"/>
      <c r="AT525" s="210"/>
      <c r="AU525" s="210"/>
      <c r="AY525" s="211"/>
      <c r="BE525" s="212"/>
      <c r="BF525" s="212"/>
      <c r="BG525" s="212"/>
      <c r="BH525" s="212"/>
      <c r="BI525" s="212"/>
      <c r="BJ525" s="211"/>
      <c r="BK525" s="212"/>
      <c r="BL525" s="211"/>
      <c r="BM525" s="210"/>
    </row>
    <row r="526" spans="1:65" s="2" customFormat="1" ht="24.2" customHeight="1">
      <c r="A526" s="29"/>
      <c r="B526" s="152"/>
      <c r="C526" s="167" t="s">
        <v>385</v>
      </c>
      <c r="D526" s="167" t="s">
        <v>202</v>
      </c>
      <c r="E526" s="168" t="s">
        <v>572</v>
      </c>
      <c r="F526" s="169" t="s">
        <v>573</v>
      </c>
      <c r="G526" s="170" t="s">
        <v>574</v>
      </c>
      <c r="H526" s="171">
        <v>13.77</v>
      </c>
      <c r="I526" s="172"/>
      <c r="J526" s="173">
        <v>0</v>
      </c>
      <c r="K526" s="174"/>
      <c r="L526" s="175"/>
      <c r="M526" s="176" t="s">
        <v>1</v>
      </c>
      <c r="N526" s="177" t="s">
        <v>35</v>
      </c>
      <c r="O526" s="58"/>
      <c r="P526" s="163">
        <f>O526*H526</f>
        <v>0</v>
      </c>
      <c r="Q526" s="163">
        <v>0</v>
      </c>
      <c r="R526" s="163">
        <f>Q526*H526</f>
        <v>0</v>
      </c>
      <c r="S526" s="163">
        <v>0</v>
      </c>
      <c r="T526" s="164">
        <f>S526*H526</f>
        <v>0</v>
      </c>
      <c r="U526" s="29"/>
      <c r="V526" s="29"/>
      <c r="W526" s="29"/>
      <c r="X526" s="29"/>
      <c r="Y526" s="29"/>
      <c r="Z526" s="29"/>
      <c r="AA526" s="29"/>
      <c r="AB526" s="29"/>
      <c r="AC526" s="29"/>
      <c r="AD526" s="29"/>
      <c r="AE526" s="29"/>
      <c r="AR526" s="165" t="s">
        <v>242</v>
      </c>
      <c r="AT526" s="165" t="s">
        <v>202</v>
      </c>
      <c r="AU526" s="165" t="s">
        <v>82</v>
      </c>
      <c r="AY526" s="14" t="s">
        <v>179</v>
      </c>
      <c r="BE526" s="166">
        <f t="shared" si="32"/>
        <v>0</v>
      </c>
      <c r="BF526" s="166">
        <f t="shared" si="33"/>
        <v>0</v>
      </c>
      <c r="BG526" s="166">
        <f t="shared" si="34"/>
        <v>0</v>
      </c>
      <c r="BH526" s="166">
        <f t="shared" si="35"/>
        <v>0</v>
      </c>
      <c r="BI526" s="166">
        <f t="shared" si="36"/>
        <v>0</v>
      </c>
      <c r="BJ526" s="14" t="s">
        <v>82</v>
      </c>
      <c r="BK526" s="166">
        <f>ROUND(I526*H526,2)</f>
        <v>0</v>
      </c>
      <c r="BL526" s="14" t="s">
        <v>213</v>
      </c>
      <c r="BM526" s="165" t="s">
        <v>575</v>
      </c>
    </row>
    <row r="527" spans="1:65" s="209" customFormat="1" ht="12">
      <c r="A527" s="195"/>
      <c r="B527" s="196"/>
      <c r="C527" s="197"/>
      <c r="D527" s="197"/>
      <c r="E527" s="198"/>
      <c r="F527" s="213" t="s">
        <v>3120</v>
      </c>
      <c r="G527" s="222"/>
      <c r="H527" s="201">
        <f>ROUND(10.2*1.35,2)</f>
        <v>13.77</v>
      </c>
      <c r="I527" s="194"/>
      <c r="J527" s="194"/>
      <c r="K527" s="202"/>
      <c r="L527" s="203"/>
      <c r="M527" s="204"/>
      <c r="N527" s="205"/>
      <c r="O527" s="206"/>
      <c r="P527" s="207"/>
      <c r="Q527" s="207"/>
      <c r="R527" s="207"/>
      <c r="S527" s="207"/>
      <c r="T527" s="208"/>
      <c r="U527" s="195"/>
      <c r="V527" s="195"/>
      <c r="W527" s="195"/>
      <c r="X527" s="195"/>
      <c r="Y527" s="195"/>
      <c r="Z527" s="195"/>
      <c r="AA527" s="195"/>
      <c r="AB527" s="195"/>
      <c r="AC527" s="195"/>
      <c r="AD527" s="195"/>
      <c r="AE527" s="195"/>
      <c r="AR527" s="210"/>
      <c r="AT527" s="210"/>
      <c r="AU527" s="210"/>
      <c r="AY527" s="211"/>
      <c r="BE527" s="212"/>
      <c r="BF527" s="212"/>
      <c r="BG527" s="212"/>
      <c r="BH527" s="212"/>
      <c r="BI527" s="212"/>
      <c r="BJ527" s="211"/>
      <c r="BK527" s="212"/>
      <c r="BL527" s="211"/>
      <c r="BM527" s="210"/>
    </row>
    <row r="528" spans="1:65" s="209" customFormat="1" ht="12">
      <c r="A528" s="195"/>
      <c r="B528" s="196"/>
      <c r="C528" s="235"/>
      <c r="D528" s="235"/>
      <c r="E528" s="236"/>
      <c r="F528" s="215" t="s">
        <v>2983</v>
      </c>
      <c r="G528" s="216"/>
      <c r="H528" s="217">
        <f>SUM(H527:H527)</f>
        <v>13.77</v>
      </c>
      <c r="I528" s="237"/>
      <c r="J528" s="237"/>
      <c r="K528" s="238"/>
      <c r="L528" s="239"/>
      <c r="M528" s="240"/>
      <c r="N528" s="241"/>
      <c r="O528" s="206"/>
      <c r="P528" s="207"/>
      <c r="Q528" s="207"/>
      <c r="R528" s="207"/>
      <c r="S528" s="207"/>
      <c r="T528" s="208"/>
      <c r="U528" s="195"/>
      <c r="V528" s="195"/>
      <c r="W528" s="195"/>
      <c r="X528" s="195"/>
      <c r="Y528" s="195"/>
      <c r="Z528" s="195"/>
      <c r="AA528" s="195"/>
      <c r="AB528" s="195"/>
      <c r="AC528" s="195"/>
      <c r="AD528" s="195"/>
      <c r="AE528" s="195"/>
      <c r="AR528" s="210"/>
      <c r="AT528" s="210"/>
      <c r="AU528" s="210"/>
      <c r="AY528" s="211"/>
      <c r="BE528" s="212"/>
      <c r="BF528" s="212"/>
      <c r="BG528" s="212"/>
      <c r="BH528" s="212"/>
      <c r="BI528" s="212"/>
      <c r="BJ528" s="211"/>
      <c r="BK528" s="212"/>
      <c r="BL528" s="211"/>
      <c r="BM528" s="210"/>
    </row>
    <row r="529" spans="1:65" s="2" customFormat="1" ht="24.2" customHeight="1">
      <c r="B529" s="328"/>
      <c r="C529" s="153" t="s">
        <v>576</v>
      </c>
      <c r="D529" s="153" t="s">
        <v>181</v>
      </c>
      <c r="E529" s="154" t="s">
        <v>3388</v>
      </c>
      <c r="F529" s="155" t="s">
        <v>3389</v>
      </c>
      <c r="G529" s="156" t="s">
        <v>184</v>
      </c>
      <c r="H529" s="157">
        <v>27.8</v>
      </c>
      <c r="I529" s="172"/>
      <c r="J529" s="159">
        <v>0</v>
      </c>
      <c r="K529" s="329"/>
      <c r="L529" s="42"/>
      <c r="M529" s="176" t="s">
        <v>1</v>
      </c>
      <c r="N529" s="330" t="s">
        <v>35</v>
      </c>
      <c r="O529" s="331">
        <v>5.5129999999999998E-2</v>
      </c>
      <c r="P529" s="331">
        <f t="shared" ref="P529:P532" si="37">O529*H529</f>
        <v>1.5326139999999999</v>
      </c>
      <c r="Q529" s="331">
        <v>0</v>
      </c>
      <c r="R529" s="331">
        <f t="shared" ref="R529:R532" si="38">Q529*H529</f>
        <v>0</v>
      </c>
      <c r="S529" s="331">
        <v>0</v>
      </c>
      <c r="T529" s="164">
        <f t="shared" ref="T529:T532" si="39">S529*H529</f>
        <v>0</v>
      </c>
      <c r="AR529" s="165" t="s">
        <v>213</v>
      </c>
      <c r="AT529" s="165" t="s">
        <v>181</v>
      </c>
      <c r="AU529" s="165" t="s">
        <v>82</v>
      </c>
      <c r="AY529" s="332" t="s">
        <v>179</v>
      </c>
      <c r="BE529" s="333">
        <f t="shared" ref="BE529:BE532" si="40">IF(N529="základná",J529,0)</f>
        <v>0</v>
      </c>
      <c r="BF529" s="333">
        <f t="shared" ref="BF529:BF532" si="41">IF(N529="znížená",J529,0)</f>
        <v>0</v>
      </c>
      <c r="BG529" s="333">
        <f t="shared" ref="BG529:BG532" si="42">IF(N529="zákl. prenesená",J529,0)</f>
        <v>0</v>
      </c>
      <c r="BH529" s="333">
        <f t="shared" ref="BH529:BH532" si="43">IF(N529="zníž. prenesená",J529,0)</f>
        <v>0</v>
      </c>
      <c r="BI529" s="333">
        <f t="shared" ref="BI529:BI532" si="44">IF(N529="nulová",J529,0)</f>
        <v>0</v>
      </c>
      <c r="BJ529" s="332" t="s">
        <v>82</v>
      </c>
      <c r="BK529" s="333">
        <f t="shared" ref="BK529:BK532" si="45">ROUND(I529*H529,2)</f>
        <v>0</v>
      </c>
      <c r="BL529" s="332" t="s">
        <v>213</v>
      </c>
      <c r="BM529" s="165" t="s">
        <v>577</v>
      </c>
    </row>
    <row r="530" spans="1:65" s="209" customFormat="1" ht="12">
      <c r="A530" s="195"/>
      <c r="B530" s="196"/>
      <c r="C530" s="197"/>
      <c r="D530" s="197"/>
      <c r="E530" s="198"/>
      <c r="F530" s="213" t="s">
        <v>3019</v>
      </c>
      <c r="G530" s="200"/>
      <c r="H530" s="201">
        <v>27.8</v>
      </c>
      <c r="I530" s="194"/>
      <c r="J530" s="194"/>
      <c r="K530" s="202"/>
      <c r="L530" s="203"/>
      <c r="M530" s="204"/>
      <c r="N530" s="205"/>
      <c r="O530" s="206"/>
      <c r="P530" s="207"/>
      <c r="Q530" s="207"/>
      <c r="R530" s="207"/>
      <c r="S530" s="207"/>
      <c r="T530" s="208"/>
      <c r="U530" s="195"/>
      <c r="V530" s="195"/>
      <c r="W530" s="195"/>
      <c r="X530" s="195"/>
      <c r="Y530" s="195"/>
      <c r="Z530" s="195"/>
      <c r="AA530" s="195"/>
      <c r="AB530" s="195"/>
      <c r="AC530" s="195"/>
      <c r="AD530" s="195"/>
      <c r="AE530" s="195"/>
      <c r="AR530" s="210"/>
      <c r="AT530" s="210"/>
      <c r="AU530" s="210"/>
      <c r="AY530" s="211"/>
      <c r="BE530" s="212"/>
      <c r="BF530" s="212"/>
      <c r="BG530" s="212"/>
      <c r="BH530" s="212"/>
      <c r="BI530" s="212"/>
      <c r="BJ530" s="211"/>
      <c r="BK530" s="212"/>
      <c r="BL530" s="211"/>
      <c r="BM530" s="210"/>
    </row>
    <row r="531" spans="1:65" s="209" customFormat="1" ht="12">
      <c r="A531" s="195"/>
      <c r="B531" s="196"/>
      <c r="C531" s="235"/>
      <c r="D531" s="235"/>
      <c r="E531" s="236"/>
      <c r="F531" s="243" t="s">
        <v>2983</v>
      </c>
      <c r="G531" s="244"/>
      <c r="H531" s="217">
        <f>SUM(H530:H530)</f>
        <v>27.8</v>
      </c>
      <c r="I531" s="237"/>
      <c r="J531" s="237"/>
      <c r="K531" s="238"/>
      <c r="L531" s="239"/>
      <c r="M531" s="240"/>
      <c r="N531" s="241"/>
      <c r="O531" s="206"/>
      <c r="P531" s="207"/>
      <c r="Q531" s="207"/>
      <c r="R531" s="207"/>
      <c r="S531" s="207"/>
      <c r="T531" s="208"/>
      <c r="U531" s="195"/>
      <c r="V531" s="195"/>
      <c r="W531" s="195"/>
      <c r="X531" s="195"/>
      <c r="Y531" s="195"/>
      <c r="Z531" s="195"/>
      <c r="AA531" s="195"/>
      <c r="AB531" s="195"/>
      <c r="AC531" s="195"/>
      <c r="AD531" s="195"/>
      <c r="AE531" s="195"/>
      <c r="AR531" s="210"/>
      <c r="AT531" s="210"/>
      <c r="AU531" s="210"/>
      <c r="AY531" s="211"/>
      <c r="BE531" s="212"/>
      <c r="BF531" s="212"/>
      <c r="BG531" s="212"/>
      <c r="BH531" s="212"/>
      <c r="BI531" s="212"/>
      <c r="BJ531" s="211"/>
      <c r="BK531" s="212"/>
      <c r="BL531" s="211"/>
      <c r="BM531" s="210"/>
    </row>
    <row r="532" spans="1:65" s="2" customFormat="1" ht="24.2" customHeight="1">
      <c r="B532" s="328"/>
      <c r="C532" s="167" t="s">
        <v>390</v>
      </c>
      <c r="D532" s="167" t="s">
        <v>202</v>
      </c>
      <c r="E532" s="168" t="s">
        <v>572</v>
      </c>
      <c r="F532" s="169" t="s">
        <v>573</v>
      </c>
      <c r="G532" s="170" t="s">
        <v>574</v>
      </c>
      <c r="H532" s="171">
        <v>37.53</v>
      </c>
      <c r="I532" s="172"/>
      <c r="J532" s="173">
        <v>0</v>
      </c>
      <c r="K532" s="174"/>
      <c r="L532" s="175"/>
      <c r="M532" s="176" t="s">
        <v>1</v>
      </c>
      <c r="N532" s="334" t="s">
        <v>35</v>
      </c>
      <c r="O532" s="331">
        <v>0</v>
      </c>
      <c r="P532" s="331">
        <f t="shared" si="37"/>
        <v>0</v>
      </c>
      <c r="Q532" s="331">
        <v>0</v>
      </c>
      <c r="R532" s="331">
        <f t="shared" si="38"/>
        <v>0</v>
      </c>
      <c r="S532" s="331">
        <v>0</v>
      </c>
      <c r="T532" s="164">
        <f t="shared" si="39"/>
        <v>0</v>
      </c>
      <c r="AR532" s="165" t="s">
        <v>242</v>
      </c>
      <c r="AT532" s="165" t="s">
        <v>202</v>
      </c>
      <c r="AU532" s="165" t="s">
        <v>82</v>
      </c>
      <c r="AY532" s="332" t="s">
        <v>179</v>
      </c>
      <c r="BE532" s="333">
        <f t="shared" si="40"/>
        <v>0</v>
      </c>
      <c r="BF532" s="333">
        <f t="shared" si="41"/>
        <v>0</v>
      </c>
      <c r="BG532" s="333">
        <f t="shared" si="42"/>
        <v>0</v>
      </c>
      <c r="BH532" s="333">
        <f t="shared" si="43"/>
        <v>0</v>
      </c>
      <c r="BI532" s="333">
        <f t="shared" si="44"/>
        <v>0</v>
      </c>
      <c r="BJ532" s="332" t="s">
        <v>82</v>
      </c>
      <c r="BK532" s="333">
        <f t="shared" si="45"/>
        <v>0</v>
      </c>
      <c r="BL532" s="332" t="s">
        <v>213</v>
      </c>
      <c r="BM532" s="165" t="s">
        <v>578</v>
      </c>
    </row>
    <row r="533" spans="1:65" s="209" customFormat="1" ht="12">
      <c r="A533" s="195"/>
      <c r="B533" s="196"/>
      <c r="C533" s="197"/>
      <c r="D533" s="197"/>
      <c r="E533" s="198"/>
      <c r="F533" s="213" t="s">
        <v>3390</v>
      </c>
      <c r="G533" s="222"/>
      <c r="H533" s="201">
        <f>ROUND(27.8*1.35,2)</f>
        <v>37.53</v>
      </c>
      <c r="I533" s="194"/>
      <c r="J533" s="194"/>
      <c r="K533" s="202"/>
      <c r="L533" s="203"/>
      <c r="M533" s="204"/>
      <c r="N533" s="205"/>
      <c r="O533" s="206"/>
      <c r="P533" s="207"/>
      <c r="Q533" s="207"/>
      <c r="R533" s="207"/>
      <c r="S533" s="207"/>
      <c r="T533" s="208"/>
      <c r="U533" s="195"/>
      <c r="V533" s="195"/>
      <c r="W533" s="195"/>
      <c r="X533" s="195"/>
      <c r="Y533" s="195"/>
      <c r="Z533" s="195"/>
      <c r="AA533" s="195"/>
      <c r="AB533" s="195"/>
      <c r="AC533" s="195"/>
      <c r="AD533" s="195"/>
      <c r="AE533" s="195"/>
      <c r="AR533" s="210"/>
      <c r="AT533" s="210"/>
      <c r="AU533" s="210"/>
      <c r="AY533" s="211"/>
      <c r="BE533" s="212"/>
      <c r="BF533" s="212"/>
      <c r="BG533" s="212"/>
      <c r="BH533" s="212"/>
      <c r="BI533" s="212"/>
      <c r="BJ533" s="211"/>
      <c r="BK533" s="212"/>
      <c r="BL533" s="211"/>
      <c r="BM533" s="210"/>
    </row>
    <row r="534" spans="1:65" s="209" customFormat="1" ht="12">
      <c r="A534" s="195"/>
      <c r="B534" s="196"/>
      <c r="C534" s="235"/>
      <c r="D534" s="235"/>
      <c r="E534" s="236"/>
      <c r="F534" s="215" t="s">
        <v>2983</v>
      </c>
      <c r="G534" s="216"/>
      <c r="H534" s="217">
        <f>SUM(H533:H533)</f>
        <v>37.53</v>
      </c>
      <c r="I534" s="237"/>
      <c r="J534" s="237"/>
      <c r="K534" s="238"/>
      <c r="L534" s="239"/>
      <c r="M534" s="240"/>
      <c r="N534" s="241"/>
      <c r="O534" s="206"/>
      <c r="P534" s="207"/>
      <c r="Q534" s="207"/>
      <c r="R534" s="207"/>
      <c r="S534" s="207"/>
      <c r="T534" s="208"/>
      <c r="U534" s="195"/>
      <c r="V534" s="195"/>
      <c r="W534" s="195"/>
      <c r="X534" s="195"/>
      <c r="Y534" s="195"/>
      <c r="Z534" s="195"/>
      <c r="AA534" s="195"/>
      <c r="AB534" s="195"/>
      <c r="AC534" s="195"/>
      <c r="AD534" s="195"/>
      <c r="AE534" s="195"/>
      <c r="AR534" s="210"/>
      <c r="AT534" s="210"/>
      <c r="AU534" s="210"/>
      <c r="AY534" s="211"/>
      <c r="BE534" s="212"/>
      <c r="BF534" s="212"/>
      <c r="BG534" s="212"/>
      <c r="BH534" s="212"/>
      <c r="BI534" s="212"/>
      <c r="BJ534" s="211"/>
      <c r="BK534" s="212"/>
      <c r="BL534" s="211"/>
      <c r="BM534" s="210"/>
    </row>
    <row r="535" spans="1:65" s="2" customFormat="1" ht="24.2" customHeight="1">
      <c r="A535" s="29"/>
      <c r="B535" s="152"/>
      <c r="C535" s="153" t="s">
        <v>579</v>
      </c>
      <c r="D535" s="153" t="s">
        <v>181</v>
      </c>
      <c r="E535" s="154" t="s">
        <v>580</v>
      </c>
      <c r="F535" s="155" t="s">
        <v>581</v>
      </c>
      <c r="G535" s="156" t="s">
        <v>184</v>
      </c>
      <c r="H535" s="157">
        <v>247</v>
      </c>
      <c r="I535" s="158"/>
      <c r="J535" s="159">
        <v>0</v>
      </c>
      <c r="K535" s="160"/>
      <c r="L535" s="30"/>
      <c r="M535" s="161" t="s">
        <v>1</v>
      </c>
      <c r="N535" s="162" t="s">
        <v>35</v>
      </c>
      <c r="O535" s="58"/>
      <c r="P535" s="163">
        <f>O535*H535</f>
        <v>0</v>
      </c>
      <c r="Q535" s="163">
        <v>2.7000000000000001E-3</v>
      </c>
      <c r="R535" s="163">
        <f>Q535*H535</f>
        <v>0.66690000000000005</v>
      </c>
      <c r="S535" s="163">
        <v>0</v>
      </c>
      <c r="T535" s="164">
        <f>S535*H535</f>
        <v>0</v>
      </c>
      <c r="U535" s="29"/>
      <c r="V535" s="29"/>
      <c r="W535" s="29"/>
      <c r="X535" s="29"/>
      <c r="Y535" s="29"/>
      <c r="Z535" s="29"/>
      <c r="AA535" s="29"/>
      <c r="AB535" s="29"/>
      <c r="AC535" s="29"/>
      <c r="AD535" s="29"/>
      <c r="AE535" s="29"/>
      <c r="AR535" s="165" t="s">
        <v>213</v>
      </c>
      <c r="AT535" s="165" t="s">
        <v>181</v>
      </c>
      <c r="AU535" s="165" t="s">
        <v>82</v>
      </c>
      <c r="AY535" s="14" t="s">
        <v>179</v>
      </c>
      <c r="BE535" s="166">
        <f t="shared" si="32"/>
        <v>0</v>
      </c>
      <c r="BF535" s="166">
        <f t="shared" si="33"/>
        <v>0</v>
      </c>
      <c r="BG535" s="166">
        <f t="shared" si="34"/>
        <v>0</v>
      </c>
      <c r="BH535" s="166">
        <f t="shared" si="35"/>
        <v>0</v>
      </c>
      <c r="BI535" s="166">
        <f t="shared" si="36"/>
        <v>0</v>
      </c>
      <c r="BJ535" s="14" t="s">
        <v>82</v>
      </c>
      <c r="BK535" s="166">
        <f>ROUND(I535*H535,2)</f>
        <v>0</v>
      </c>
      <c r="BL535" s="14" t="s">
        <v>213</v>
      </c>
      <c r="BM535" s="165" t="s">
        <v>582</v>
      </c>
    </row>
    <row r="536" spans="1:65" s="2" customFormat="1" ht="22.5">
      <c r="A536" s="221"/>
      <c r="B536" s="152"/>
      <c r="C536" s="153"/>
      <c r="D536" s="153"/>
      <c r="E536" s="154"/>
      <c r="F536" s="227" t="s">
        <v>3115</v>
      </c>
      <c r="G536" s="228"/>
      <c r="H536" s="214">
        <v>247</v>
      </c>
      <c r="I536" s="194"/>
      <c r="J536" s="159"/>
      <c r="K536" s="160"/>
      <c r="L536" s="30"/>
      <c r="M536" s="161"/>
      <c r="N536" s="162"/>
      <c r="O536" s="58"/>
      <c r="P536" s="163"/>
      <c r="Q536" s="163"/>
      <c r="R536" s="163"/>
      <c r="S536" s="163"/>
      <c r="T536" s="164"/>
      <c r="U536" s="221"/>
      <c r="V536" s="221"/>
      <c r="W536" s="221"/>
      <c r="X536" s="221"/>
      <c r="Y536" s="221"/>
      <c r="Z536" s="221"/>
      <c r="AA536" s="221"/>
      <c r="AB536" s="221"/>
      <c r="AC536" s="221"/>
      <c r="AD536" s="221"/>
      <c r="AE536" s="221"/>
      <c r="AR536" s="165"/>
      <c r="AT536" s="165"/>
      <c r="AU536" s="165"/>
      <c r="AY536" s="14"/>
      <c r="BE536" s="166"/>
      <c r="BF536" s="166"/>
      <c r="BG536" s="166"/>
      <c r="BH536" s="166"/>
      <c r="BI536" s="166"/>
      <c r="BJ536" s="14"/>
      <c r="BK536" s="166"/>
      <c r="BL536" s="14"/>
      <c r="BM536" s="165"/>
    </row>
    <row r="537" spans="1:65" s="2" customFormat="1" ht="12">
      <c r="A537" s="221"/>
      <c r="B537" s="152"/>
      <c r="C537" s="153"/>
      <c r="D537" s="153"/>
      <c r="E537" s="154"/>
      <c r="F537" s="215" t="s">
        <v>2983</v>
      </c>
      <c r="G537" s="216"/>
      <c r="H537" s="217">
        <f>SUM(H536:H536)</f>
        <v>247</v>
      </c>
      <c r="I537" s="194"/>
      <c r="J537" s="159"/>
      <c r="K537" s="160"/>
      <c r="L537" s="30"/>
      <c r="M537" s="161"/>
      <c r="N537" s="162"/>
      <c r="O537" s="58"/>
      <c r="P537" s="163"/>
      <c r="Q537" s="163"/>
      <c r="R537" s="163"/>
      <c r="S537" s="163"/>
      <c r="T537" s="164"/>
      <c r="U537" s="221"/>
      <c r="V537" s="221"/>
      <c r="W537" s="221"/>
      <c r="X537" s="221"/>
      <c r="Y537" s="221"/>
      <c r="Z537" s="221"/>
      <c r="AA537" s="221"/>
      <c r="AB537" s="221"/>
      <c r="AC537" s="221"/>
      <c r="AD537" s="221"/>
      <c r="AE537" s="221"/>
      <c r="AR537" s="165"/>
      <c r="AT537" s="165"/>
      <c r="AU537" s="165"/>
      <c r="AY537" s="14"/>
      <c r="BE537" s="166"/>
      <c r="BF537" s="166"/>
      <c r="BG537" s="166"/>
      <c r="BH537" s="166"/>
      <c r="BI537" s="166"/>
      <c r="BJ537" s="14"/>
      <c r="BK537" s="166"/>
      <c r="BL537" s="14"/>
      <c r="BM537" s="165"/>
    </row>
    <row r="538" spans="1:65" s="2" customFormat="1" ht="24.2" customHeight="1">
      <c r="A538" s="29"/>
      <c r="B538" s="152"/>
      <c r="C538" s="153" t="s">
        <v>393</v>
      </c>
      <c r="D538" s="153" t="s">
        <v>181</v>
      </c>
      <c r="E538" s="154" t="s">
        <v>583</v>
      </c>
      <c r="F538" s="155" t="s">
        <v>584</v>
      </c>
      <c r="G538" s="156" t="s">
        <v>585</v>
      </c>
      <c r="H538" s="178"/>
      <c r="I538" s="158"/>
      <c r="J538" s="159">
        <v>0</v>
      </c>
      <c r="K538" s="160"/>
      <c r="L538" s="30"/>
      <c r="M538" s="161" t="s">
        <v>1</v>
      </c>
      <c r="N538" s="162" t="s">
        <v>35</v>
      </c>
      <c r="O538" s="58"/>
      <c r="P538" s="163">
        <f>O538*H538</f>
        <v>0</v>
      </c>
      <c r="Q538" s="163">
        <v>0</v>
      </c>
      <c r="R538" s="163">
        <f>Q538*H538</f>
        <v>0</v>
      </c>
      <c r="S538" s="163">
        <v>0</v>
      </c>
      <c r="T538" s="164">
        <f>S538*H538</f>
        <v>0</v>
      </c>
      <c r="U538" s="29"/>
      <c r="V538" s="29"/>
      <c r="W538" s="29"/>
      <c r="X538" s="29"/>
      <c r="Y538" s="29"/>
      <c r="Z538" s="29"/>
      <c r="AA538" s="29"/>
      <c r="AB538" s="29"/>
      <c r="AC538" s="29"/>
      <c r="AD538" s="29"/>
      <c r="AE538" s="29"/>
      <c r="AR538" s="165" t="s">
        <v>213</v>
      </c>
      <c r="AT538" s="165" t="s">
        <v>181</v>
      </c>
      <c r="AU538" s="165" t="s">
        <v>82</v>
      </c>
      <c r="AY538" s="14" t="s">
        <v>179</v>
      </c>
      <c r="BE538" s="166">
        <f t="shared" si="32"/>
        <v>0</v>
      </c>
      <c r="BF538" s="166">
        <f t="shared" si="33"/>
        <v>0</v>
      </c>
      <c r="BG538" s="166">
        <f t="shared" si="34"/>
        <v>0</v>
      </c>
      <c r="BH538" s="166">
        <f t="shared" si="35"/>
        <v>0</v>
      </c>
      <c r="BI538" s="166">
        <f t="shared" si="36"/>
        <v>0</v>
      </c>
      <c r="BJ538" s="14" t="s">
        <v>82</v>
      </c>
      <c r="BK538" s="166">
        <f>ROUND(I538*H538,2)</f>
        <v>0</v>
      </c>
      <c r="BL538" s="14" t="s">
        <v>213</v>
      </c>
      <c r="BM538" s="165" t="s">
        <v>586</v>
      </c>
    </row>
    <row r="539" spans="1:65" s="12" customFormat="1" ht="22.9" customHeight="1">
      <c r="B539" s="139"/>
      <c r="D539" s="140" t="s">
        <v>68</v>
      </c>
      <c r="E539" s="150" t="s">
        <v>587</v>
      </c>
      <c r="F539" s="150" t="s">
        <v>588</v>
      </c>
      <c r="I539" s="142"/>
      <c r="J539" s="151">
        <v>0</v>
      </c>
      <c r="L539" s="139"/>
      <c r="M539" s="144"/>
      <c r="N539" s="145"/>
      <c r="O539" s="145"/>
      <c r="P539" s="146">
        <f>SUM(P540:P546)</f>
        <v>0</v>
      </c>
      <c r="Q539" s="145"/>
      <c r="R539" s="146">
        <f>SUM(R540:R546)</f>
        <v>0.17954999999999999</v>
      </c>
      <c r="S539" s="145"/>
      <c r="T539" s="147">
        <f>SUM(T540:T546)</f>
        <v>0</v>
      </c>
      <c r="AR539" s="140" t="s">
        <v>82</v>
      </c>
      <c r="AT539" s="148" t="s">
        <v>68</v>
      </c>
      <c r="AU539" s="148" t="s">
        <v>76</v>
      </c>
      <c r="AY539" s="140" t="s">
        <v>179</v>
      </c>
      <c r="BK539" s="149">
        <f>SUM(BK540:BK546)</f>
        <v>0</v>
      </c>
    </row>
    <row r="540" spans="1:65" s="2" customFormat="1" ht="33" customHeight="1">
      <c r="A540" s="29"/>
      <c r="B540" s="152"/>
      <c r="C540" s="153" t="s">
        <v>589</v>
      </c>
      <c r="D540" s="153" t="s">
        <v>181</v>
      </c>
      <c r="E540" s="154" t="s">
        <v>590</v>
      </c>
      <c r="F540" s="155" t="s">
        <v>591</v>
      </c>
      <c r="G540" s="156" t="s">
        <v>184</v>
      </c>
      <c r="H540" s="157">
        <v>82.1</v>
      </c>
      <c r="I540" s="158"/>
      <c r="J540" s="159">
        <v>0</v>
      </c>
      <c r="K540" s="160"/>
      <c r="L540" s="30"/>
      <c r="M540" s="161" t="s">
        <v>1</v>
      </c>
      <c r="N540" s="162" t="s">
        <v>35</v>
      </c>
      <c r="O540" s="58"/>
      <c r="P540" s="163">
        <f>O540*H540</f>
        <v>0</v>
      </c>
      <c r="Q540" s="163">
        <v>0</v>
      </c>
      <c r="R540" s="163">
        <f>Q540*H540</f>
        <v>0</v>
      </c>
      <c r="S540" s="163">
        <v>0</v>
      </c>
      <c r="T540" s="164">
        <f>S540*H540</f>
        <v>0</v>
      </c>
      <c r="U540" s="29"/>
      <c r="V540" s="29"/>
      <c r="W540" s="29"/>
      <c r="X540" s="29"/>
      <c r="Y540" s="29"/>
      <c r="Z540" s="29"/>
      <c r="AA540" s="29"/>
      <c r="AB540" s="29"/>
      <c r="AC540" s="29"/>
      <c r="AD540" s="29"/>
      <c r="AE540" s="29"/>
      <c r="AR540" s="165" t="s">
        <v>213</v>
      </c>
      <c r="AT540" s="165" t="s">
        <v>181</v>
      </c>
      <c r="AU540" s="165" t="s">
        <v>82</v>
      </c>
      <c r="AY540" s="14" t="s">
        <v>179</v>
      </c>
      <c r="BE540" s="166">
        <f>IF(N540="základná",J540,0)</f>
        <v>0</v>
      </c>
      <c r="BF540" s="166">
        <f>IF(N540="znížená",J540,0)</f>
        <v>0</v>
      </c>
      <c r="BG540" s="166">
        <f>IF(N540="zákl. prenesená",J540,0)</f>
        <v>0</v>
      </c>
      <c r="BH540" s="166">
        <f>IF(N540="zníž. prenesená",J540,0)</f>
        <v>0</v>
      </c>
      <c r="BI540" s="166">
        <f>IF(N540="nulová",J540,0)</f>
        <v>0</v>
      </c>
      <c r="BJ540" s="14" t="s">
        <v>82</v>
      </c>
      <c r="BK540" s="166">
        <f>ROUND(I540*H540,2)</f>
        <v>0</v>
      </c>
      <c r="BL540" s="14" t="s">
        <v>213</v>
      </c>
      <c r="BM540" s="165" t="s">
        <v>592</v>
      </c>
    </row>
    <row r="541" spans="1:65" s="209" customFormat="1" ht="12">
      <c r="A541" s="195"/>
      <c r="B541" s="196"/>
      <c r="C541" s="197"/>
      <c r="D541" s="197"/>
      <c r="E541" s="198"/>
      <c r="F541" s="242" t="s">
        <v>3121</v>
      </c>
      <c r="G541" s="228"/>
      <c r="H541" s="201">
        <f>ROUND(136.8*(0.25+0.35),1)</f>
        <v>82.1</v>
      </c>
      <c r="I541" s="194"/>
      <c r="J541" s="194"/>
      <c r="K541" s="202"/>
      <c r="L541" s="203"/>
      <c r="M541" s="204"/>
      <c r="N541" s="205"/>
      <c r="O541" s="206"/>
      <c r="P541" s="207"/>
      <c r="Q541" s="207"/>
      <c r="R541" s="207"/>
      <c r="S541" s="207"/>
      <c r="T541" s="208"/>
      <c r="U541" s="195"/>
      <c r="V541" s="195"/>
      <c r="W541" s="195"/>
      <c r="X541" s="195"/>
      <c r="Y541" s="195"/>
      <c r="Z541" s="195"/>
      <c r="AA541" s="195"/>
      <c r="AB541" s="195"/>
      <c r="AC541" s="195"/>
      <c r="AD541" s="195"/>
      <c r="AE541" s="195"/>
      <c r="AR541" s="210"/>
      <c r="AT541" s="210"/>
      <c r="AU541" s="210"/>
      <c r="AY541" s="211"/>
      <c r="BE541" s="212"/>
      <c r="BF541" s="212"/>
      <c r="BG541" s="212"/>
      <c r="BH541" s="212"/>
      <c r="BI541" s="212"/>
      <c r="BJ541" s="211"/>
      <c r="BK541" s="212"/>
      <c r="BL541" s="211"/>
      <c r="BM541" s="210"/>
    </row>
    <row r="542" spans="1:65" s="209" customFormat="1" ht="12">
      <c r="A542" s="195"/>
      <c r="B542" s="196"/>
      <c r="C542" s="235"/>
      <c r="D542" s="235"/>
      <c r="E542" s="236"/>
      <c r="F542" s="243" t="s">
        <v>2983</v>
      </c>
      <c r="G542" s="244"/>
      <c r="H542" s="217">
        <f>SUM(H541:H541)</f>
        <v>82.1</v>
      </c>
      <c r="I542" s="237"/>
      <c r="J542" s="237"/>
      <c r="K542" s="238"/>
      <c r="L542" s="239"/>
      <c r="M542" s="240"/>
      <c r="N542" s="241"/>
      <c r="O542" s="206"/>
      <c r="P542" s="207"/>
      <c r="Q542" s="207"/>
      <c r="R542" s="207"/>
      <c r="S542" s="207"/>
      <c r="T542" s="208"/>
      <c r="U542" s="195"/>
      <c r="V542" s="195"/>
      <c r="W542" s="195"/>
      <c r="X542" s="195"/>
      <c r="Y542" s="195"/>
      <c r="Z542" s="195"/>
      <c r="AA542" s="195"/>
      <c r="AB542" s="195"/>
      <c r="AC542" s="195"/>
      <c r="AD542" s="195"/>
      <c r="AE542" s="195"/>
      <c r="AR542" s="210"/>
      <c r="AT542" s="210"/>
      <c r="AU542" s="210"/>
      <c r="AY542" s="211"/>
      <c r="BE542" s="212"/>
      <c r="BF542" s="212"/>
      <c r="BG542" s="212"/>
      <c r="BH542" s="212"/>
      <c r="BI542" s="212"/>
      <c r="BJ542" s="211"/>
      <c r="BK542" s="212"/>
      <c r="BL542" s="211"/>
      <c r="BM542" s="210"/>
    </row>
    <row r="543" spans="1:65" s="2" customFormat="1" ht="49.15" customHeight="1">
      <c r="A543" s="29"/>
      <c r="B543" s="152"/>
      <c r="C543" s="167" t="s">
        <v>397</v>
      </c>
      <c r="D543" s="167" t="s">
        <v>202</v>
      </c>
      <c r="E543" s="168" t="s">
        <v>593</v>
      </c>
      <c r="F543" s="169" t="s">
        <v>594</v>
      </c>
      <c r="G543" s="170" t="s">
        <v>184</v>
      </c>
      <c r="H543" s="171">
        <v>94.5</v>
      </c>
      <c r="I543" s="172"/>
      <c r="J543" s="173">
        <v>0</v>
      </c>
      <c r="K543" s="174"/>
      <c r="L543" s="175"/>
      <c r="M543" s="176" t="s">
        <v>1</v>
      </c>
      <c r="N543" s="177" t="s">
        <v>35</v>
      </c>
      <c r="O543" s="58"/>
      <c r="P543" s="163">
        <f>O543*H543</f>
        <v>0</v>
      </c>
      <c r="Q543" s="163">
        <v>1.9E-3</v>
      </c>
      <c r="R543" s="163">
        <f>Q543*H543</f>
        <v>0.17954999999999999</v>
      </c>
      <c r="S543" s="163">
        <v>0</v>
      </c>
      <c r="T543" s="164">
        <f>S543*H543</f>
        <v>0</v>
      </c>
      <c r="U543" s="29"/>
      <c r="V543" s="29"/>
      <c r="W543" s="29"/>
      <c r="X543" s="29"/>
      <c r="Y543" s="29"/>
      <c r="Z543" s="29"/>
      <c r="AA543" s="29"/>
      <c r="AB543" s="29"/>
      <c r="AC543" s="29"/>
      <c r="AD543" s="29"/>
      <c r="AE543" s="29"/>
      <c r="AR543" s="165" t="s">
        <v>242</v>
      </c>
      <c r="AT543" s="165" t="s">
        <v>202</v>
      </c>
      <c r="AU543" s="165" t="s">
        <v>82</v>
      </c>
      <c r="AY543" s="14" t="s">
        <v>179</v>
      </c>
      <c r="BE543" s="166">
        <f>IF(N543="základná",J543,0)</f>
        <v>0</v>
      </c>
      <c r="BF543" s="166">
        <f>IF(N543="znížená",J543,0)</f>
        <v>0</v>
      </c>
      <c r="BG543" s="166">
        <f>IF(N543="zákl. prenesená",J543,0)</f>
        <v>0</v>
      </c>
      <c r="BH543" s="166">
        <f>IF(N543="zníž. prenesená",J543,0)</f>
        <v>0</v>
      </c>
      <c r="BI543" s="166">
        <f>IF(N543="nulová",J543,0)</f>
        <v>0</v>
      </c>
      <c r="BJ543" s="14" t="s">
        <v>82</v>
      </c>
      <c r="BK543" s="166">
        <f>ROUND(I543*H543,2)</f>
        <v>0</v>
      </c>
      <c r="BL543" s="14" t="s">
        <v>213</v>
      </c>
      <c r="BM543" s="165" t="s">
        <v>595</v>
      </c>
    </row>
    <row r="544" spans="1:65" s="209" customFormat="1" ht="12">
      <c r="A544" s="195"/>
      <c r="B544" s="196"/>
      <c r="C544" s="197"/>
      <c r="D544" s="197"/>
      <c r="E544" s="198"/>
      <c r="F544" s="213" t="s">
        <v>3122</v>
      </c>
      <c r="G544" s="222"/>
      <c r="H544" s="214">
        <f>ROUNDUP(82.1*1.15,1)</f>
        <v>94.5</v>
      </c>
      <c r="I544" s="194"/>
      <c r="J544" s="194"/>
      <c r="K544" s="202"/>
      <c r="L544" s="203"/>
      <c r="M544" s="204"/>
      <c r="N544" s="205"/>
      <c r="O544" s="206"/>
      <c r="P544" s="207"/>
      <c r="Q544" s="207"/>
      <c r="R544" s="207"/>
      <c r="S544" s="207"/>
      <c r="T544" s="208"/>
      <c r="U544" s="195"/>
      <c r="V544" s="195"/>
      <c r="W544" s="195"/>
      <c r="X544" s="195"/>
      <c r="Y544" s="195"/>
      <c r="Z544" s="195"/>
      <c r="AA544" s="195"/>
      <c r="AB544" s="195"/>
      <c r="AC544" s="195"/>
      <c r="AD544" s="195"/>
      <c r="AE544" s="195"/>
      <c r="AR544" s="210"/>
      <c r="AT544" s="210"/>
      <c r="AU544" s="210"/>
      <c r="AY544" s="211"/>
      <c r="BE544" s="212"/>
      <c r="BF544" s="212"/>
      <c r="BG544" s="212"/>
      <c r="BH544" s="212"/>
      <c r="BI544" s="212"/>
      <c r="BJ544" s="211"/>
      <c r="BK544" s="212"/>
      <c r="BL544" s="211"/>
      <c r="BM544" s="210"/>
    </row>
    <row r="545" spans="1:65" s="209" customFormat="1" ht="12">
      <c r="A545" s="195"/>
      <c r="B545" s="196"/>
      <c r="C545" s="235"/>
      <c r="D545" s="235"/>
      <c r="E545" s="236"/>
      <c r="F545" s="215" t="s">
        <v>2983</v>
      </c>
      <c r="G545" s="216"/>
      <c r="H545" s="217">
        <f>SUM(H544:H544)</f>
        <v>94.5</v>
      </c>
      <c r="I545" s="237"/>
      <c r="J545" s="237"/>
      <c r="K545" s="238"/>
      <c r="L545" s="239"/>
      <c r="M545" s="240"/>
      <c r="N545" s="241"/>
      <c r="O545" s="206"/>
      <c r="P545" s="207"/>
      <c r="Q545" s="207"/>
      <c r="R545" s="207"/>
      <c r="S545" s="207"/>
      <c r="T545" s="208"/>
      <c r="U545" s="195"/>
      <c r="V545" s="195"/>
      <c r="W545" s="195"/>
      <c r="X545" s="195"/>
      <c r="Y545" s="195"/>
      <c r="Z545" s="195"/>
      <c r="AA545" s="195"/>
      <c r="AB545" s="195"/>
      <c r="AC545" s="195"/>
      <c r="AD545" s="195"/>
      <c r="AE545" s="195"/>
      <c r="AR545" s="210"/>
      <c r="AT545" s="210"/>
      <c r="AU545" s="210"/>
      <c r="AY545" s="211"/>
      <c r="BE545" s="212"/>
      <c r="BF545" s="212"/>
      <c r="BG545" s="212"/>
      <c r="BH545" s="212"/>
      <c r="BI545" s="212"/>
      <c r="BJ545" s="211"/>
      <c r="BK545" s="212"/>
      <c r="BL545" s="211"/>
      <c r="BM545" s="210"/>
    </row>
    <row r="546" spans="1:65" s="2" customFormat="1" ht="24.2" customHeight="1">
      <c r="A546" s="29"/>
      <c r="B546" s="152"/>
      <c r="C546" s="153" t="s">
        <v>596</v>
      </c>
      <c r="D546" s="153" t="s">
        <v>181</v>
      </c>
      <c r="E546" s="154" t="s">
        <v>597</v>
      </c>
      <c r="F546" s="155" t="s">
        <v>598</v>
      </c>
      <c r="G546" s="156" t="s">
        <v>585</v>
      </c>
      <c r="H546" s="178"/>
      <c r="I546" s="158"/>
      <c r="J546" s="159">
        <v>0</v>
      </c>
      <c r="K546" s="160"/>
      <c r="L546" s="30"/>
      <c r="M546" s="161" t="s">
        <v>1</v>
      </c>
      <c r="N546" s="162" t="s">
        <v>35</v>
      </c>
      <c r="O546" s="58"/>
      <c r="P546" s="163">
        <f>O546*H546</f>
        <v>0</v>
      </c>
      <c r="Q546" s="163">
        <v>0</v>
      </c>
      <c r="R546" s="163">
        <f>Q546*H546</f>
        <v>0</v>
      </c>
      <c r="S546" s="163">
        <v>0</v>
      </c>
      <c r="T546" s="164">
        <f>S546*H546</f>
        <v>0</v>
      </c>
      <c r="U546" s="29"/>
      <c r="V546" s="29"/>
      <c r="W546" s="29"/>
      <c r="X546" s="29"/>
      <c r="Y546" s="29"/>
      <c r="Z546" s="29"/>
      <c r="AA546" s="29"/>
      <c r="AB546" s="29"/>
      <c r="AC546" s="29"/>
      <c r="AD546" s="29"/>
      <c r="AE546" s="29"/>
      <c r="AR546" s="165" t="s">
        <v>213</v>
      </c>
      <c r="AT546" s="165" t="s">
        <v>181</v>
      </c>
      <c r="AU546" s="165" t="s">
        <v>82</v>
      </c>
      <c r="AY546" s="14" t="s">
        <v>179</v>
      </c>
      <c r="BE546" s="166">
        <f>IF(N546="základná",J546,0)</f>
        <v>0</v>
      </c>
      <c r="BF546" s="166">
        <f>IF(N546="znížená",J546,0)</f>
        <v>0</v>
      </c>
      <c r="BG546" s="166">
        <f>IF(N546="zákl. prenesená",J546,0)</f>
        <v>0</v>
      </c>
      <c r="BH546" s="166">
        <f>IF(N546="zníž. prenesená",J546,0)</f>
        <v>0</v>
      </c>
      <c r="BI546" s="166">
        <f>IF(N546="nulová",J546,0)</f>
        <v>0</v>
      </c>
      <c r="BJ546" s="14" t="s">
        <v>82</v>
      </c>
      <c r="BK546" s="166">
        <f>ROUND(I546*H546,2)</f>
        <v>0</v>
      </c>
      <c r="BL546" s="14" t="s">
        <v>213</v>
      </c>
      <c r="BM546" s="165" t="s">
        <v>599</v>
      </c>
    </row>
    <row r="547" spans="1:65" s="12" customFormat="1" ht="22.9" customHeight="1">
      <c r="B547" s="139"/>
      <c r="D547" s="140" t="s">
        <v>68</v>
      </c>
      <c r="E547" s="150" t="s">
        <v>600</v>
      </c>
      <c r="F547" s="150" t="s">
        <v>601</v>
      </c>
      <c r="I547" s="142"/>
      <c r="J547" s="151">
        <v>0</v>
      </c>
      <c r="L547" s="139"/>
      <c r="M547" s="144"/>
      <c r="N547" s="145"/>
      <c r="O547" s="145"/>
      <c r="P547" s="146">
        <f>SUM(P548:P554)</f>
        <v>0</v>
      </c>
      <c r="Q547" s="145"/>
      <c r="R547" s="146">
        <f>SUM(R548:R554)</f>
        <v>7.7154E-2</v>
      </c>
      <c r="S547" s="145"/>
      <c r="T547" s="147">
        <f>SUM(T548:T554)</f>
        <v>0</v>
      </c>
      <c r="AR547" s="140" t="s">
        <v>82</v>
      </c>
      <c r="AT547" s="148" t="s">
        <v>68</v>
      </c>
      <c r="AU547" s="148" t="s">
        <v>76</v>
      </c>
      <c r="AY547" s="140" t="s">
        <v>179</v>
      </c>
      <c r="BK547" s="149">
        <f>SUM(BK548:BK554)</f>
        <v>0</v>
      </c>
    </row>
    <row r="548" spans="1:65" s="2" customFormat="1" ht="24.2" customHeight="1">
      <c r="A548" s="29"/>
      <c r="B548" s="152"/>
      <c r="C548" s="153" t="s">
        <v>400</v>
      </c>
      <c r="D548" s="153" t="s">
        <v>181</v>
      </c>
      <c r="E548" s="154" t="s">
        <v>602</v>
      </c>
      <c r="F548" s="155" t="s">
        <v>603</v>
      </c>
      <c r="G548" s="156" t="s">
        <v>184</v>
      </c>
      <c r="H548" s="157">
        <v>15.85</v>
      </c>
      <c r="I548" s="158"/>
      <c r="J548" s="159">
        <v>0</v>
      </c>
      <c r="K548" s="160"/>
      <c r="L548" s="30"/>
      <c r="M548" s="161" t="s">
        <v>1</v>
      </c>
      <c r="N548" s="162" t="s">
        <v>35</v>
      </c>
      <c r="O548" s="58"/>
      <c r="P548" s="163">
        <f>O548*H548</f>
        <v>0</v>
      </c>
      <c r="Q548" s="163">
        <v>0</v>
      </c>
      <c r="R548" s="163">
        <f>Q548*H548</f>
        <v>0</v>
      </c>
      <c r="S548" s="163">
        <v>0</v>
      </c>
      <c r="T548" s="164">
        <f>S548*H548</f>
        <v>0</v>
      </c>
      <c r="U548" s="29"/>
      <c r="V548" s="29"/>
      <c r="W548" s="29"/>
      <c r="X548" s="29"/>
      <c r="Y548" s="29"/>
      <c r="Z548" s="29"/>
      <c r="AA548" s="29"/>
      <c r="AB548" s="29"/>
      <c r="AC548" s="29"/>
      <c r="AD548" s="29"/>
      <c r="AE548" s="29"/>
      <c r="AR548" s="165" t="s">
        <v>213</v>
      </c>
      <c r="AT548" s="165" t="s">
        <v>181</v>
      </c>
      <c r="AU548" s="165" t="s">
        <v>82</v>
      </c>
      <c r="AY548" s="14" t="s">
        <v>179</v>
      </c>
      <c r="BE548" s="166">
        <f>IF(N548="základná",J548,0)</f>
        <v>0</v>
      </c>
      <c r="BF548" s="166">
        <f>IF(N548="znížená",J548,0)</f>
        <v>0</v>
      </c>
      <c r="BG548" s="166">
        <f>IF(N548="zákl. prenesená",J548,0)</f>
        <v>0</v>
      </c>
      <c r="BH548" s="166">
        <f>IF(N548="zníž. prenesená",J548,0)</f>
        <v>0</v>
      </c>
      <c r="BI548" s="166">
        <f>IF(N548="nulová",J548,0)</f>
        <v>0</v>
      </c>
      <c r="BJ548" s="14" t="s">
        <v>82</v>
      </c>
      <c r="BK548" s="166">
        <f>ROUND(I548*H548,2)</f>
        <v>0</v>
      </c>
      <c r="BL548" s="14" t="s">
        <v>213</v>
      </c>
      <c r="BM548" s="165" t="s">
        <v>604</v>
      </c>
    </row>
    <row r="549" spans="1:65" s="209" customFormat="1" ht="12">
      <c r="A549" s="195"/>
      <c r="B549" s="196"/>
      <c r="C549" s="197"/>
      <c r="D549" s="197"/>
      <c r="E549" s="198"/>
      <c r="F549" s="213" t="s">
        <v>3123</v>
      </c>
      <c r="G549" s="222"/>
      <c r="H549" s="214">
        <v>15.85</v>
      </c>
      <c r="I549" s="194"/>
      <c r="J549" s="194"/>
      <c r="K549" s="202"/>
      <c r="L549" s="203"/>
      <c r="M549" s="204"/>
      <c r="N549" s="205"/>
      <c r="O549" s="206"/>
      <c r="P549" s="207"/>
      <c r="Q549" s="207"/>
      <c r="R549" s="207"/>
      <c r="S549" s="207"/>
      <c r="T549" s="208"/>
      <c r="U549" s="195"/>
      <c r="V549" s="195"/>
      <c r="W549" s="195"/>
      <c r="X549" s="195"/>
      <c r="Y549" s="195"/>
      <c r="Z549" s="195"/>
      <c r="AA549" s="195"/>
      <c r="AB549" s="195"/>
      <c r="AC549" s="195"/>
      <c r="AD549" s="195"/>
      <c r="AE549" s="195"/>
      <c r="AR549" s="210"/>
      <c r="AT549" s="210"/>
      <c r="AU549" s="210"/>
      <c r="AY549" s="211"/>
      <c r="BE549" s="212"/>
      <c r="BF549" s="212"/>
      <c r="BG549" s="212"/>
      <c r="BH549" s="212"/>
      <c r="BI549" s="212"/>
      <c r="BJ549" s="211"/>
      <c r="BK549" s="212"/>
      <c r="BL549" s="211"/>
      <c r="BM549" s="210"/>
    </row>
    <row r="550" spans="1:65" s="209" customFormat="1" ht="12">
      <c r="A550" s="195"/>
      <c r="B550" s="196"/>
      <c r="C550" s="235"/>
      <c r="D550" s="235"/>
      <c r="E550" s="236"/>
      <c r="F550" s="215" t="s">
        <v>2983</v>
      </c>
      <c r="G550" s="216"/>
      <c r="H550" s="217">
        <v>15.85</v>
      </c>
      <c r="I550" s="237"/>
      <c r="J550" s="237"/>
      <c r="K550" s="238"/>
      <c r="L550" s="239"/>
      <c r="M550" s="240"/>
      <c r="N550" s="241"/>
      <c r="O550" s="206"/>
      <c r="P550" s="207"/>
      <c r="Q550" s="207"/>
      <c r="R550" s="207"/>
      <c r="S550" s="207"/>
      <c r="T550" s="208"/>
      <c r="U550" s="195"/>
      <c r="V550" s="195"/>
      <c r="W550" s="195"/>
      <c r="X550" s="195"/>
      <c r="Y550" s="195"/>
      <c r="Z550" s="195"/>
      <c r="AA550" s="195"/>
      <c r="AB550" s="195"/>
      <c r="AC550" s="195"/>
      <c r="AD550" s="195"/>
      <c r="AE550" s="195"/>
      <c r="AR550" s="210"/>
      <c r="AT550" s="210"/>
      <c r="AU550" s="210"/>
      <c r="AY550" s="211"/>
      <c r="BE550" s="212"/>
      <c r="BF550" s="212"/>
      <c r="BG550" s="212"/>
      <c r="BH550" s="212"/>
      <c r="BI550" s="212"/>
      <c r="BJ550" s="211"/>
      <c r="BK550" s="212"/>
      <c r="BL550" s="211"/>
      <c r="BM550" s="210"/>
    </row>
    <row r="551" spans="1:65" s="2" customFormat="1" ht="24.2" customHeight="1">
      <c r="A551" s="29"/>
      <c r="B551" s="152"/>
      <c r="C551" s="167" t="s">
        <v>605</v>
      </c>
      <c r="D551" s="167" t="s">
        <v>202</v>
      </c>
      <c r="E551" s="168" t="s">
        <v>606</v>
      </c>
      <c r="F551" s="169" t="s">
        <v>607</v>
      </c>
      <c r="G551" s="170" t="s">
        <v>184</v>
      </c>
      <c r="H551" s="171">
        <v>16.7</v>
      </c>
      <c r="I551" s="172"/>
      <c r="J551" s="173">
        <v>0</v>
      </c>
      <c r="K551" s="174"/>
      <c r="L551" s="175"/>
      <c r="M551" s="176" t="s">
        <v>1</v>
      </c>
      <c r="N551" s="177" t="s">
        <v>35</v>
      </c>
      <c r="O551" s="58"/>
      <c r="P551" s="163">
        <f>O551*H551</f>
        <v>0</v>
      </c>
      <c r="Q551" s="163">
        <v>4.62E-3</v>
      </c>
      <c r="R551" s="163">
        <f>Q551*H551</f>
        <v>7.7154E-2</v>
      </c>
      <c r="S551" s="163">
        <v>0</v>
      </c>
      <c r="T551" s="164">
        <f>S551*H551</f>
        <v>0</v>
      </c>
      <c r="U551" s="29"/>
      <c r="V551" s="29"/>
      <c r="W551" s="29"/>
      <c r="X551" s="29"/>
      <c r="Y551" s="29"/>
      <c r="Z551" s="29"/>
      <c r="AA551" s="29"/>
      <c r="AB551" s="29"/>
      <c r="AC551" s="29"/>
      <c r="AD551" s="29"/>
      <c r="AE551" s="29"/>
      <c r="AR551" s="165" t="s">
        <v>242</v>
      </c>
      <c r="AT551" s="165" t="s">
        <v>202</v>
      </c>
      <c r="AU551" s="165" t="s">
        <v>82</v>
      </c>
      <c r="AY551" s="14" t="s">
        <v>179</v>
      </c>
      <c r="BE551" s="166">
        <f>IF(N551="základná",J551,0)</f>
        <v>0</v>
      </c>
      <c r="BF551" s="166">
        <f>IF(N551="znížená",J551,0)</f>
        <v>0</v>
      </c>
      <c r="BG551" s="166">
        <f>IF(N551="zákl. prenesená",J551,0)</f>
        <v>0</v>
      </c>
      <c r="BH551" s="166">
        <f>IF(N551="zníž. prenesená",J551,0)</f>
        <v>0</v>
      </c>
      <c r="BI551" s="166">
        <f>IF(N551="nulová",J551,0)</f>
        <v>0</v>
      </c>
      <c r="BJ551" s="14" t="s">
        <v>82</v>
      </c>
      <c r="BK551" s="166">
        <f>ROUND(I551*H551,2)</f>
        <v>0</v>
      </c>
      <c r="BL551" s="14" t="s">
        <v>213</v>
      </c>
      <c r="BM551" s="165" t="s">
        <v>608</v>
      </c>
    </row>
    <row r="552" spans="1:65" s="209" customFormat="1" ht="12">
      <c r="A552" s="195"/>
      <c r="B552" s="196"/>
      <c r="C552" s="197"/>
      <c r="D552" s="197"/>
      <c r="E552" s="198"/>
      <c r="F552" s="230" t="s">
        <v>3124</v>
      </c>
      <c r="G552" s="231"/>
      <c r="H552" s="232">
        <f>ROUNDUP(15.85*1.05,1)</f>
        <v>16.700000000000003</v>
      </c>
      <c r="I552" s="194"/>
      <c r="J552" s="194"/>
      <c r="K552" s="202"/>
      <c r="L552" s="203"/>
      <c r="M552" s="204"/>
      <c r="N552" s="205"/>
      <c r="O552" s="206"/>
      <c r="P552" s="207"/>
      <c r="Q552" s="207"/>
      <c r="R552" s="207"/>
      <c r="S552" s="207"/>
      <c r="T552" s="208"/>
      <c r="U552" s="195"/>
      <c r="V552" s="195"/>
      <c r="W552" s="195"/>
      <c r="X552" s="195"/>
      <c r="Y552" s="195"/>
      <c r="Z552" s="195"/>
      <c r="AA552" s="195"/>
      <c r="AB552" s="195"/>
      <c r="AC552" s="195"/>
      <c r="AD552" s="195"/>
      <c r="AE552" s="195"/>
      <c r="AR552" s="210"/>
      <c r="AT552" s="210"/>
      <c r="AU552" s="210"/>
      <c r="AY552" s="211"/>
      <c r="BE552" s="212"/>
      <c r="BF552" s="212"/>
      <c r="BG552" s="212"/>
      <c r="BH552" s="212"/>
      <c r="BI552" s="212"/>
      <c r="BJ552" s="211"/>
      <c r="BK552" s="212"/>
      <c r="BL552" s="211"/>
      <c r="BM552" s="210"/>
    </row>
    <row r="553" spans="1:65" s="209" customFormat="1" ht="12">
      <c r="A553" s="195"/>
      <c r="B553" s="196"/>
      <c r="C553" s="235"/>
      <c r="D553" s="235"/>
      <c r="E553" s="236"/>
      <c r="F553" s="215" t="s">
        <v>2983</v>
      </c>
      <c r="G553" s="216"/>
      <c r="H553" s="217">
        <f>SUM(H552:H552)</f>
        <v>16.700000000000003</v>
      </c>
      <c r="I553" s="237"/>
      <c r="J553" s="237"/>
      <c r="K553" s="238"/>
      <c r="L553" s="239"/>
      <c r="M553" s="240"/>
      <c r="N553" s="241"/>
      <c r="O553" s="206"/>
      <c r="P553" s="207"/>
      <c r="Q553" s="207"/>
      <c r="R553" s="207"/>
      <c r="S553" s="207"/>
      <c r="T553" s="208"/>
      <c r="U553" s="195"/>
      <c r="V553" s="195"/>
      <c r="W553" s="195"/>
      <c r="X553" s="195"/>
      <c r="Y553" s="195"/>
      <c r="Z553" s="195"/>
      <c r="AA553" s="195"/>
      <c r="AB553" s="195"/>
      <c r="AC553" s="195"/>
      <c r="AD553" s="195"/>
      <c r="AE553" s="195"/>
      <c r="AR553" s="210"/>
      <c r="AT553" s="210"/>
      <c r="AU553" s="210"/>
      <c r="AY553" s="211"/>
      <c r="BE553" s="212"/>
      <c r="BF553" s="212"/>
      <c r="BG553" s="212"/>
      <c r="BH553" s="212"/>
      <c r="BI553" s="212"/>
      <c r="BJ553" s="211"/>
      <c r="BK553" s="212"/>
      <c r="BL553" s="211"/>
      <c r="BM553" s="210"/>
    </row>
    <row r="554" spans="1:65" s="2" customFormat="1" ht="24.2" customHeight="1">
      <c r="A554" s="29"/>
      <c r="B554" s="152"/>
      <c r="C554" s="153" t="s">
        <v>404</v>
      </c>
      <c r="D554" s="153" t="s">
        <v>181</v>
      </c>
      <c r="E554" s="154" t="s">
        <v>609</v>
      </c>
      <c r="F554" s="155" t="s">
        <v>610</v>
      </c>
      <c r="G554" s="156" t="s">
        <v>585</v>
      </c>
      <c r="H554" s="178"/>
      <c r="I554" s="158"/>
      <c r="J554" s="159">
        <v>0</v>
      </c>
      <c r="K554" s="160"/>
      <c r="L554" s="30"/>
      <c r="M554" s="161" t="s">
        <v>1</v>
      </c>
      <c r="N554" s="162" t="s">
        <v>35</v>
      </c>
      <c r="O554" s="58"/>
      <c r="P554" s="163">
        <f>O554*H554</f>
        <v>0</v>
      </c>
      <c r="Q554" s="163">
        <v>0</v>
      </c>
      <c r="R554" s="163">
        <f>Q554*H554</f>
        <v>0</v>
      </c>
      <c r="S554" s="163">
        <v>0</v>
      </c>
      <c r="T554" s="164">
        <f>S554*H554</f>
        <v>0</v>
      </c>
      <c r="U554" s="29"/>
      <c r="V554" s="29"/>
      <c r="W554" s="29"/>
      <c r="X554" s="29"/>
      <c r="Y554" s="29"/>
      <c r="Z554" s="29"/>
      <c r="AA554" s="29"/>
      <c r="AB554" s="29"/>
      <c r="AC554" s="29"/>
      <c r="AD554" s="29"/>
      <c r="AE554" s="29"/>
      <c r="AR554" s="165" t="s">
        <v>213</v>
      </c>
      <c r="AT554" s="165" t="s">
        <v>181</v>
      </c>
      <c r="AU554" s="165" t="s">
        <v>82</v>
      </c>
      <c r="AY554" s="14" t="s">
        <v>179</v>
      </c>
      <c r="BE554" s="166">
        <f>IF(N554="základná",J554,0)</f>
        <v>0</v>
      </c>
      <c r="BF554" s="166">
        <f>IF(N554="znížená",J554,0)</f>
        <v>0</v>
      </c>
      <c r="BG554" s="166">
        <f>IF(N554="zákl. prenesená",J554,0)</f>
        <v>0</v>
      </c>
      <c r="BH554" s="166">
        <f>IF(N554="zníž. prenesená",J554,0)</f>
        <v>0</v>
      </c>
      <c r="BI554" s="166">
        <f>IF(N554="nulová",J554,0)</f>
        <v>0</v>
      </c>
      <c r="BJ554" s="14" t="s">
        <v>82</v>
      </c>
      <c r="BK554" s="166">
        <f>ROUND(I554*H554,2)</f>
        <v>0</v>
      </c>
      <c r="BL554" s="14" t="s">
        <v>213</v>
      </c>
      <c r="BM554" s="165" t="s">
        <v>611</v>
      </c>
    </row>
    <row r="555" spans="1:65" s="12" customFormat="1" ht="22.9" customHeight="1">
      <c r="B555" s="139"/>
      <c r="D555" s="140" t="s">
        <v>68</v>
      </c>
      <c r="E555" s="150" t="s">
        <v>612</v>
      </c>
      <c r="F555" s="150" t="s">
        <v>613</v>
      </c>
      <c r="I555" s="142"/>
      <c r="J555" s="151">
        <v>0</v>
      </c>
      <c r="L555" s="139"/>
      <c r="M555" s="144"/>
      <c r="N555" s="145"/>
      <c r="O555" s="145"/>
      <c r="P555" s="146">
        <f>SUM(P556:P580)</f>
        <v>0</v>
      </c>
      <c r="Q555" s="145"/>
      <c r="R555" s="146">
        <f>SUM(R556:R580)</f>
        <v>1.1744939999999999</v>
      </c>
      <c r="S555" s="145"/>
      <c r="T555" s="147">
        <f>SUM(T556:T580)</f>
        <v>0</v>
      </c>
      <c r="AR555" s="140" t="s">
        <v>82</v>
      </c>
      <c r="AT555" s="148" t="s">
        <v>68</v>
      </c>
      <c r="AU555" s="148" t="s">
        <v>76</v>
      </c>
      <c r="AY555" s="140" t="s">
        <v>179</v>
      </c>
      <c r="BK555" s="149">
        <f>SUM(BK556:BK580)</f>
        <v>0</v>
      </c>
    </row>
    <row r="556" spans="1:65" s="2" customFormat="1" ht="24.2" customHeight="1">
      <c r="A556" s="29"/>
      <c r="B556" s="152"/>
      <c r="C556" s="153" t="s">
        <v>614</v>
      </c>
      <c r="D556" s="153" t="s">
        <v>181</v>
      </c>
      <c r="E556" s="154" t="s">
        <v>612</v>
      </c>
      <c r="F556" s="155" t="s">
        <v>615</v>
      </c>
      <c r="G556" s="156" t="s">
        <v>293</v>
      </c>
      <c r="H556" s="157">
        <v>4</v>
      </c>
      <c r="I556" s="158"/>
      <c r="J556" s="159">
        <v>0</v>
      </c>
      <c r="K556" s="160"/>
      <c r="L556" s="30"/>
      <c r="M556" s="161" t="s">
        <v>1</v>
      </c>
      <c r="N556" s="162" t="s">
        <v>35</v>
      </c>
      <c r="O556" s="58"/>
      <c r="P556" s="163">
        <f t="shared" ref="P556:P580" si="46">O556*H556</f>
        <v>0</v>
      </c>
      <c r="Q556" s="163">
        <v>0</v>
      </c>
      <c r="R556" s="163">
        <f t="shared" ref="R556:R580" si="47">Q556*H556</f>
        <v>0</v>
      </c>
      <c r="S556" s="163">
        <v>0</v>
      </c>
      <c r="T556" s="164">
        <f t="shared" ref="T556:T580" si="48">S556*H556</f>
        <v>0</v>
      </c>
      <c r="U556" s="29"/>
      <c r="V556" s="29"/>
      <c r="W556" s="29"/>
      <c r="X556" s="29"/>
      <c r="Y556" s="29"/>
      <c r="Z556" s="29"/>
      <c r="AA556" s="29"/>
      <c r="AB556" s="29"/>
      <c r="AC556" s="29"/>
      <c r="AD556" s="29"/>
      <c r="AE556" s="29"/>
      <c r="AR556" s="165" t="s">
        <v>213</v>
      </c>
      <c r="AT556" s="165" t="s">
        <v>181</v>
      </c>
      <c r="AU556" s="165" t="s">
        <v>82</v>
      </c>
      <c r="AY556" s="14" t="s">
        <v>179</v>
      </c>
      <c r="BE556" s="166">
        <f t="shared" ref="BE556:BE580" si="49">IF(N556="základná",J556,0)</f>
        <v>0</v>
      </c>
      <c r="BF556" s="166">
        <f t="shared" ref="BF556:BF580" si="50">IF(N556="znížená",J556,0)</f>
        <v>0</v>
      </c>
      <c r="BG556" s="166">
        <f t="shared" ref="BG556:BG580" si="51">IF(N556="zákl. prenesená",J556,0)</f>
        <v>0</v>
      </c>
      <c r="BH556" s="166">
        <f t="shared" ref="BH556:BH580" si="52">IF(N556="zníž. prenesená",J556,0)</f>
        <v>0</v>
      </c>
      <c r="BI556" s="166">
        <f t="shared" ref="BI556:BI580" si="53">IF(N556="nulová",J556,0)</f>
        <v>0</v>
      </c>
      <c r="BJ556" s="14" t="s">
        <v>82</v>
      </c>
      <c r="BK556" s="166">
        <f t="shared" ref="BK556:BK580" si="54">ROUND(I556*H556,2)</f>
        <v>0</v>
      </c>
      <c r="BL556" s="14" t="s">
        <v>213</v>
      </c>
      <c r="BM556" s="165" t="s">
        <v>616</v>
      </c>
    </row>
    <row r="557" spans="1:65" s="209" customFormat="1" ht="12">
      <c r="A557" s="195"/>
      <c r="B557" s="196"/>
      <c r="C557" s="197"/>
      <c r="D557" s="197"/>
      <c r="E557" s="198"/>
      <c r="F557" s="193" t="s">
        <v>3125</v>
      </c>
      <c r="G557" s="219"/>
      <c r="H557" s="192"/>
      <c r="I557" s="194"/>
      <c r="J557" s="194"/>
      <c r="K557" s="202"/>
      <c r="L557" s="203"/>
      <c r="M557" s="204"/>
      <c r="N557" s="205"/>
      <c r="O557" s="206"/>
      <c r="P557" s="207"/>
      <c r="Q557" s="207"/>
      <c r="R557" s="207"/>
      <c r="S557" s="207"/>
      <c r="T557" s="208"/>
      <c r="U557" s="195"/>
      <c r="V557" s="195"/>
      <c r="W557" s="195"/>
      <c r="X557" s="195"/>
      <c r="Y557" s="195"/>
      <c r="Z557" s="195"/>
      <c r="AA557" s="195"/>
      <c r="AB557" s="195"/>
      <c r="AC557" s="195"/>
      <c r="AD557" s="195"/>
      <c r="AE557" s="195"/>
      <c r="AR557" s="210"/>
      <c r="AT557" s="210"/>
      <c r="AU557" s="210"/>
      <c r="AY557" s="211"/>
      <c r="BE557" s="212"/>
      <c r="BF557" s="212"/>
      <c r="BG557" s="212"/>
      <c r="BH557" s="212"/>
      <c r="BI557" s="212"/>
      <c r="BJ557" s="211"/>
      <c r="BK557" s="212"/>
      <c r="BL557" s="211"/>
      <c r="BM557" s="210"/>
    </row>
    <row r="558" spans="1:65" s="209" customFormat="1" ht="12">
      <c r="A558" s="195"/>
      <c r="B558" s="196"/>
      <c r="C558" s="197"/>
      <c r="D558" s="197"/>
      <c r="E558" s="198"/>
      <c r="F558" s="184" t="s">
        <v>3126</v>
      </c>
      <c r="G558" s="219"/>
      <c r="H558" s="192">
        <f>0.6*4</f>
        <v>2.4</v>
      </c>
      <c r="I558" s="194"/>
      <c r="J558" s="194"/>
      <c r="K558" s="202"/>
      <c r="L558" s="203"/>
      <c r="M558" s="204"/>
      <c r="N558" s="205"/>
      <c r="O558" s="206"/>
      <c r="P558" s="207"/>
      <c r="Q558" s="207"/>
      <c r="R558" s="207"/>
      <c r="S558" s="207"/>
      <c r="T558" s="208"/>
      <c r="U558" s="195"/>
      <c r="V558" s="195"/>
      <c r="W558" s="195"/>
      <c r="X558" s="195"/>
      <c r="Y558" s="195"/>
      <c r="Z558" s="195"/>
      <c r="AA558" s="195"/>
      <c r="AB558" s="195"/>
      <c r="AC558" s="195"/>
      <c r="AD558" s="195"/>
      <c r="AE558" s="195"/>
      <c r="AR558" s="210"/>
      <c r="AT558" s="210"/>
      <c r="AU558" s="210"/>
      <c r="AY558" s="211"/>
      <c r="BE558" s="212"/>
      <c r="BF558" s="212"/>
      <c r="BG558" s="212"/>
      <c r="BH558" s="212"/>
      <c r="BI558" s="212"/>
      <c r="BJ558" s="211"/>
      <c r="BK558" s="212"/>
      <c r="BL558" s="211"/>
      <c r="BM558" s="210"/>
    </row>
    <row r="559" spans="1:65" s="209" customFormat="1" ht="12">
      <c r="A559" s="195"/>
      <c r="B559" s="196"/>
      <c r="C559" s="197"/>
      <c r="D559" s="197"/>
      <c r="E559" s="198"/>
      <c r="F559" s="184" t="s">
        <v>3127</v>
      </c>
      <c r="G559" s="219"/>
      <c r="H559" s="192">
        <f>0.65*2</f>
        <v>1.3</v>
      </c>
      <c r="I559" s="194"/>
      <c r="J559" s="194"/>
      <c r="K559" s="202"/>
      <c r="L559" s="203"/>
      <c r="M559" s="204"/>
      <c r="N559" s="205"/>
      <c r="O559" s="206"/>
      <c r="P559" s="207"/>
      <c r="Q559" s="207"/>
      <c r="R559" s="207"/>
      <c r="S559" s="207"/>
      <c r="T559" s="208"/>
      <c r="U559" s="195"/>
      <c r="V559" s="195"/>
      <c r="W559" s="195"/>
      <c r="X559" s="195"/>
      <c r="Y559" s="195"/>
      <c r="Z559" s="195"/>
      <c r="AA559" s="195"/>
      <c r="AB559" s="195"/>
      <c r="AC559" s="195"/>
      <c r="AD559" s="195"/>
      <c r="AE559" s="195"/>
      <c r="AR559" s="210"/>
      <c r="AT559" s="210"/>
      <c r="AU559" s="210"/>
      <c r="AY559" s="211"/>
      <c r="BE559" s="212"/>
      <c r="BF559" s="212"/>
      <c r="BG559" s="212"/>
      <c r="BH559" s="212"/>
      <c r="BI559" s="212"/>
      <c r="BJ559" s="211"/>
      <c r="BK559" s="212"/>
      <c r="BL559" s="211"/>
      <c r="BM559" s="210"/>
    </row>
    <row r="560" spans="1:65" s="209" customFormat="1" ht="12">
      <c r="A560" s="195"/>
      <c r="B560" s="196"/>
      <c r="C560" s="197"/>
      <c r="D560" s="197"/>
      <c r="E560" s="198"/>
      <c r="F560" s="184" t="s">
        <v>3128</v>
      </c>
      <c r="G560" s="219"/>
      <c r="H560" s="192">
        <f>0.05*6</f>
        <v>0.30000000000000004</v>
      </c>
      <c r="I560" s="194"/>
      <c r="J560" s="194"/>
      <c r="K560" s="202"/>
      <c r="L560" s="203"/>
      <c r="M560" s="204"/>
      <c r="N560" s="205"/>
      <c r="O560" s="206"/>
      <c r="P560" s="207"/>
      <c r="Q560" s="207"/>
      <c r="R560" s="207"/>
      <c r="S560" s="207"/>
      <c r="T560" s="208"/>
      <c r="U560" s="195"/>
      <c r="V560" s="195"/>
      <c r="W560" s="195"/>
      <c r="X560" s="195"/>
      <c r="Y560" s="195"/>
      <c r="Z560" s="195"/>
      <c r="AA560" s="195"/>
      <c r="AB560" s="195"/>
      <c r="AC560" s="195"/>
      <c r="AD560" s="195"/>
      <c r="AE560" s="195"/>
      <c r="AR560" s="210"/>
      <c r="AT560" s="210"/>
      <c r="AU560" s="210"/>
      <c r="AY560" s="211"/>
      <c r="BE560" s="212"/>
      <c r="BF560" s="212"/>
      <c r="BG560" s="212"/>
      <c r="BH560" s="212"/>
      <c r="BI560" s="212"/>
      <c r="BJ560" s="211"/>
      <c r="BK560" s="212"/>
      <c r="BL560" s="211"/>
      <c r="BM560" s="210"/>
    </row>
    <row r="561" spans="1:65" s="209" customFormat="1" ht="12">
      <c r="A561" s="195"/>
      <c r="B561" s="196"/>
      <c r="C561" s="197"/>
      <c r="D561" s="197"/>
      <c r="E561" s="198"/>
      <c r="F561" s="215" t="s">
        <v>2983</v>
      </c>
      <c r="G561" s="234"/>
      <c r="H561" s="189">
        <f>ROUNDUP(SUM(H557:H560),1)</f>
        <v>4</v>
      </c>
      <c r="I561" s="194"/>
      <c r="J561" s="194"/>
      <c r="K561" s="202"/>
      <c r="L561" s="203"/>
      <c r="M561" s="204"/>
      <c r="N561" s="205"/>
      <c r="O561" s="206"/>
      <c r="P561" s="207"/>
      <c r="Q561" s="207"/>
      <c r="R561" s="207"/>
      <c r="S561" s="207"/>
      <c r="T561" s="208"/>
      <c r="U561" s="195"/>
      <c r="V561" s="195"/>
      <c r="W561" s="195"/>
      <c r="X561" s="195"/>
      <c r="Y561" s="195"/>
      <c r="Z561" s="195"/>
      <c r="AA561" s="195"/>
      <c r="AB561" s="195"/>
      <c r="AC561" s="195"/>
      <c r="AD561" s="195"/>
      <c r="AE561" s="195"/>
      <c r="AR561" s="210"/>
      <c r="AT561" s="210"/>
      <c r="AU561" s="210"/>
      <c r="AY561" s="211"/>
      <c r="BE561" s="212"/>
      <c r="BF561" s="212"/>
      <c r="BG561" s="212"/>
      <c r="BH561" s="212"/>
      <c r="BI561" s="212"/>
      <c r="BJ561" s="211"/>
      <c r="BK561" s="212"/>
      <c r="BL561" s="211"/>
      <c r="BM561" s="210"/>
    </row>
    <row r="562" spans="1:65" s="2" customFormat="1" ht="37.9" customHeight="1">
      <c r="A562" s="29"/>
      <c r="B562" s="152"/>
      <c r="C562" s="153" t="s">
        <v>407</v>
      </c>
      <c r="D562" s="153" t="s">
        <v>181</v>
      </c>
      <c r="E562" s="154" t="s">
        <v>617</v>
      </c>
      <c r="F562" s="155" t="s">
        <v>618</v>
      </c>
      <c r="G562" s="156" t="s">
        <v>293</v>
      </c>
      <c r="H562" s="157">
        <v>136.80000000000001</v>
      </c>
      <c r="I562" s="158"/>
      <c r="J562" s="159">
        <v>0</v>
      </c>
      <c r="K562" s="160"/>
      <c r="L562" s="30"/>
      <c r="M562" s="161" t="s">
        <v>1</v>
      </c>
      <c r="N562" s="162" t="s">
        <v>35</v>
      </c>
      <c r="O562" s="58"/>
      <c r="P562" s="163">
        <f t="shared" si="46"/>
        <v>0</v>
      </c>
      <c r="Q562" s="163">
        <v>0</v>
      </c>
      <c r="R562" s="163">
        <f t="shared" si="47"/>
        <v>0</v>
      </c>
      <c r="S562" s="163">
        <v>0</v>
      </c>
      <c r="T562" s="164">
        <f t="shared" si="48"/>
        <v>0</v>
      </c>
      <c r="U562" s="29"/>
      <c r="V562" s="29"/>
      <c r="W562" s="29"/>
      <c r="X562" s="29"/>
      <c r="Y562" s="29"/>
      <c r="Z562" s="29"/>
      <c r="AA562" s="29"/>
      <c r="AB562" s="29"/>
      <c r="AC562" s="29"/>
      <c r="AD562" s="29"/>
      <c r="AE562" s="29"/>
      <c r="AR562" s="165" t="s">
        <v>213</v>
      </c>
      <c r="AT562" s="165" t="s">
        <v>181</v>
      </c>
      <c r="AU562" s="165" t="s">
        <v>82</v>
      </c>
      <c r="AY562" s="14" t="s">
        <v>179</v>
      </c>
      <c r="BE562" s="166">
        <f t="shared" si="49"/>
        <v>0</v>
      </c>
      <c r="BF562" s="166">
        <f t="shared" si="50"/>
        <v>0</v>
      </c>
      <c r="BG562" s="166">
        <f t="shared" si="51"/>
        <v>0</v>
      </c>
      <c r="BH562" s="166">
        <f t="shared" si="52"/>
        <v>0</v>
      </c>
      <c r="BI562" s="166">
        <f t="shared" si="53"/>
        <v>0</v>
      </c>
      <c r="BJ562" s="14" t="s">
        <v>82</v>
      </c>
      <c r="BK562" s="166">
        <f t="shared" si="54"/>
        <v>0</v>
      </c>
      <c r="BL562" s="14" t="s">
        <v>213</v>
      </c>
      <c r="BM562" s="165" t="s">
        <v>619</v>
      </c>
    </row>
    <row r="563" spans="1:65" s="209" customFormat="1" ht="12">
      <c r="A563" s="195"/>
      <c r="B563" s="196"/>
      <c r="C563" s="197"/>
      <c r="D563" s="197"/>
      <c r="E563" s="198"/>
      <c r="F563" s="199" t="s">
        <v>3129</v>
      </c>
      <c r="G563" s="228"/>
      <c r="H563" s="201"/>
      <c r="I563" s="194"/>
      <c r="J563" s="194"/>
      <c r="K563" s="202"/>
      <c r="L563" s="203"/>
      <c r="M563" s="204"/>
      <c r="N563" s="205"/>
      <c r="O563" s="206"/>
      <c r="P563" s="207"/>
      <c r="Q563" s="207"/>
      <c r="R563" s="207"/>
      <c r="S563" s="207"/>
      <c r="T563" s="208"/>
      <c r="U563" s="195"/>
      <c r="V563" s="195"/>
      <c r="W563" s="195"/>
      <c r="X563" s="195"/>
      <c r="Y563" s="195"/>
      <c r="Z563" s="195"/>
      <c r="AA563" s="195"/>
      <c r="AB563" s="195"/>
      <c r="AC563" s="195"/>
      <c r="AD563" s="195"/>
      <c r="AE563" s="195"/>
      <c r="AR563" s="210"/>
      <c r="AT563" s="210"/>
      <c r="AU563" s="210"/>
      <c r="AY563" s="211"/>
      <c r="BE563" s="212"/>
      <c r="BF563" s="212"/>
      <c r="BG563" s="212"/>
      <c r="BH563" s="212"/>
      <c r="BI563" s="212"/>
      <c r="BJ563" s="211"/>
      <c r="BK563" s="212"/>
      <c r="BL563" s="211"/>
      <c r="BM563" s="210"/>
    </row>
    <row r="564" spans="1:65" s="209" customFormat="1" ht="12">
      <c r="A564" s="195"/>
      <c r="B564" s="196"/>
      <c r="C564" s="197"/>
      <c r="D564" s="197"/>
      <c r="E564" s="198"/>
      <c r="F564" s="213" t="s">
        <v>3130</v>
      </c>
      <c r="G564" s="228"/>
      <c r="H564" s="201">
        <v>136.80000000000001</v>
      </c>
      <c r="I564" s="194"/>
      <c r="J564" s="194"/>
      <c r="K564" s="202"/>
      <c r="L564" s="203"/>
      <c r="M564" s="204"/>
      <c r="N564" s="205"/>
      <c r="O564" s="206"/>
      <c r="P564" s="207"/>
      <c r="Q564" s="207"/>
      <c r="R564" s="207"/>
      <c r="S564" s="207"/>
      <c r="T564" s="208"/>
      <c r="U564" s="195"/>
      <c r="V564" s="195"/>
      <c r="W564" s="195"/>
      <c r="X564" s="195"/>
      <c r="Y564" s="195"/>
      <c r="Z564" s="195"/>
      <c r="AA564" s="195"/>
      <c r="AB564" s="195"/>
      <c r="AC564" s="195"/>
      <c r="AD564" s="195"/>
      <c r="AE564" s="195"/>
      <c r="AR564" s="210"/>
      <c r="AT564" s="210"/>
      <c r="AU564" s="210"/>
      <c r="AY564" s="211"/>
      <c r="BE564" s="212"/>
      <c r="BF564" s="212"/>
      <c r="BG564" s="212"/>
      <c r="BH564" s="212"/>
      <c r="BI564" s="212"/>
      <c r="BJ564" s="211"/>
      <c r="BK564" s="212"/>
      <c r="BL564" s="211"/>
      <c r="BM564" s="210"/>
    </row>
    <row r="565" spans="1:65" s="209" customFormat="1" ht="12">
      <c r="A565" s="195"/>
      <c r="B565" s="196"/>
      <c r="C565" s="197"/>
      <c r="D565" s="197"/>
      <c r="E565" s="198"/>
      <c r="F565" s="215" t="s">
        <v>2983</v>
      </c>
      <c r="G565" s="244"/>
      <c r="H565" s="217">
        <f>ROUNDUP(SUM(H563:H564),1)</f>
        <v>136.80000000000001</v>
      </c>
      <c r="I565" s="194"/>
      <c r="J565" s="194"/>
      <c r="K565" s="202"/>
      <c r="L565" s="203"/>
      <c r="M565" s="204"/>
      <c r="N565" s="205"/>
      <c r="O565" s="206"/>
      <c r="P565" s="207"/>
      <c r="Q565" s="207"/>
      <c r="R565" s="207"/>
      <c r="S565" s="207"/>
      <c r="T565" s="208"/>
      <c r="U565" s="195"/>
      <c r="V565" s="195"/>
      <c r="W565" s="195"/>
      <c r="X565" s="195"/>
      <c r="Y565" s="195"/>
      <c r="Z565" s="195"/>
      <c r="AA565" s="195"/>
      <c r="AB565" s="195"/>
      <c r="AC565" s="195"/>
      <c r="AD565" s="195"/>
      <c r="AE565" s="195"/>
      <c r="AR565" s="210"/>
      <c r="AT565" s="210"/>
      <c r="AU565" s="210"/>
      <c r="AY565" s="211"/>
      <c r="BE565" s="212"/>
      <c r="BF565" s="212"/>
      <c r="BG565" s="212"/>
      <c r="BH565" s="212"/>
      <c r="BI565" s="212"/>
      <c r="BJ565" s="211"/>
      <c r="BK565" s="212"/>
      <c r="BL565" s="211"/>
      <c r="BM565" s="210"/>
    </row>
    <row r="566" spans="1:65" s="2" customFormat="1" ht="24.2" customHeight="1">
      <c r="A566" s="29"/>
      <c r="B566" s="152"/>
      <c r="C566" s="153" t="s">
        <v>620</v>
      </c>
      <c r="D566" s="153" t="s">
        <v>181</v>
      </c>
      <c r="E566" s="154" t="s">
        <v>621</v>
      </c>
      <c r="F566" s="155" t="s">
        <v>622</v>
      </c>
      <c r="G566" s="156" t="s">
        <v>293</v>
      </c>
      <c r="H566" s="157">
        <v>11</v>
      </c>
      <c r="I566" s="158"/>
      <c r="J566" s="159">
        <v>0</v>
      </c>
      <c r="K566" s="160"/>
      <c r="L566" s="30"/>
      <c r="M566" s="161" t="s">
        <v>1</v>
      </c>
      <c r="N566" s="162" t="s">
        <v>35</v>
      </c>
      <c r="O566" s="58"/>
      <c r="P566" s="163">
        <f t="shared" si="46"/>
        <v>0</v>
      </c>
      <c r="Q566" s="163">
        <v>0</v>
      </c>
      <c r="R566" s="163">
        <f t="shared" si="47"/>
        <v>0</v>
      </c>
      <c r="S566" s="163">
        <v>0</v>
      </c>
      <c r="T566" s="164">
        <f t="shared" si="48"/>
        <v>0</v>
      </c>
      <c r="U566" s="29"/>
      <c r="V566" s="29"/>
      <c r="W566" s="29"/>
      <c r="X566" s="29"/>
      <c r="Y566" s="29"/>
      <c r="Z566" s="29"/>
      <c r="AA566" s="29"/>
      <c r="AB566" s="29"/>
      <c r="AC566" s="29"/>
      <c r="AD566" s="29"/>
      <c r="AE566" s="29"/>
      <c r="AR566" s="165" t="s">
        <v>213</v>
      </c>
      <c r="AT566" s="165" t="s">
        <v>181</v>
      </c>
      <c r="AU566" s="165" t="s">
        <v>82</v>
      </c>
      <c r="AY566" s="14" t="s">
        <v>179</v>
      </c>
      <c r="BE566" s="166">
        <f t="shared" si="49"/>
        <v>0</v>
      </c>
      <c r="BF566" s="166">
        <f t="shared" si="50"/>
        <v>0</v>
      </c>
      <c r="BG566" s="166">
        <f t="shared" si="51"/>
        <v>0</v>
      </c>
      <c r="BH566" s="166">
        <f t="shared" si="52"/>
        <v>0</v>
      </c>
      <c r="BI566" s="166">
        <f t="shared" si="53"/>
        <v>0</v>
      </c>
      <c r="BJ566" s="14" t="s">
        <v>82</v>
      </c>
      <c r="BK566" s="166">
        <f t="shared" si="54"/>
        <v>0</v>
      </c>
      <c r="BL566" s="14" t="s">
        <v>213</v>
      </c>
      <c r="BM566" s="165" t="s">
        <v>623</v>
      </c>
    </row>
    <row r="567" spans="1:65" s="209" customFormat="1" ht="12">
      <c r="A567" s="195"/>
      <c r="B567" s="196"/>
      <c r="C567" s="197"/>
      <c r="D567" s="197"/>
      <c r="E567" s="198"/>
      <c r="F567" s="193" t="s">
        <v>3131</v>
      </c>
      <c r="G567" s="219"/>
      <c r="H567" s="192"/>
      <c r="I567" s="194"/>
      <c r="J567" s="194"/>
      <c r="K567" s="202"/>
      <c r="L567" s="203"/>
      <c r="M567" s="204"/>
      <c r="N567" s="205"/>
      <c r="O567" s="206"/>
      <c r="P567" s="207"/>
      <c r="Q567" s="207"/>
      <c r="R567" s="207"/>
      <c r="S567" s="207"/>
      <c r="T567" s="208"/>
      <c r="U567" s="195"/>
      <c r="V567" s="195"/>
      <c r="W567" s="195"/>
      <c r="X567" s="195"/>
      <c r="Y567" s="195"/>
      <c r="Z567" s="195"/>
      <c r="AA567" s="195"/>
      <c r="AB567" s="195"/>
      <c r="AC567" s="195"/>
      <c r="AD567" s="195"/>
      <c r="AE567" s="195"/>
      <c r="AR567" s="210"/>
      <c r="AT567" s="210"/>
      <c r="AU567" s="210"/>
      <c r="AY567" s="211"/>
      <c r="BE567" s="212"/>
      <c r="BF567" s="212"/>
      <c r="BG567" s="212"/>
      <c r="BH567" s="212"/>
      <c r="BI567" s="212"/>
      <c r="BJ567" s="211"/>
      <c r="BK567" s="212"/>
      <c r="BL567" s="211"/>
      <c r="BM567" s="210"/>
    </row>
    <row r="568" spans="1:65" s="209" customFormat="1" ht="12">
      <c r="A568" s="195"/>
      <c r="B568" s="196"/>
      <c r="C568" s="197"/>
      <c r="D568" s="197"/>
      <c r="E568" s="198"/>
      <c r="F568" s="184" t="s">
        <v>3132</v>
      </c>
      <c r="G568" s="219"/>
      <c r="H568" s="192">
        <f>1*11</f>
        <v>11</v>
      </c>
      <c r="I568" s="194"/>
      <c r="J568" s="194"/>
      <c r="K568" s="202"/>
      <c r="L568" s="203"/>
      <c r="M568" s="204"/>
      <c r="N568" s="205"/>
      <c r="O568" s="206"/>
      <c r="P568" s="207"/>
      <c r="Q568" s="207"/>
      <c r="R568" s="207"/>
      <c r="S568" s="207"/>
      <c r="T568" s="208"/>
      <c r="U568" s="195"/>
      <c r="V568" s="195"/>
      <c r="W568" s="195"/>
      <c r="X568" s="195"/>
      <c r="Y568" s="195"/>
      <c r="Z568" s="195"/>
      <c r="AA568" s="195"/>
      <c r="AB568" s="195"/>
      <c r="AC568" s="195"/>
      <c r="AD568" s="195"/>
      <c r="AE568" s="195"/>
      <c r="AR568" s="210"/>
      <c r="AT568" s="210"/>
      <c r="AU568" s="210"/>
      <c r="AY568" s="211"/>
      <c r="BE568" s="212"/>
      <c r="BF568" s="212"/>
      <c r="BG568" s="212"/>
      <c r="BH568" s="212"/>
      <c r="BI568" s="212"/>
      <c r="BJ568" s="211"/>
      <c r="BK568" s="212"/>
      <c r="BL568" s="211"/>
      <c r="BM568" s="210"/>
    </row>
    <row r="569" spans="1:65" s="209" customFormat="1" ht="12">
      <c r="A569" s="195"/>
      <c r="B569" s="196"/>
      <c r="C569" s="197"/>
      <c r="D569" s="197"/>
      <c r="E569" s="198"/>
      <c r="F569" s="215" t="s">
        <v>2983</v>
      </c>
      <c r="G569" s="234"/>
      <c r="H569" s="189">
        <f>ROUNDUP(SUM(H567:H568),1)</f>
        <v>11</v>
      </c>
      <c r="I569" s="194"/>
      <c r="J569" s="194"/>
      <c r="K569" s="202"/>
      <c r="L569" s="203"/>
      <c r="M569" s="204"/>
      <c r="N569" s="205"/>
      <c r="O569" s="206"/>
      <c r="P569" s="207"/>
      <c r="Q569" s="207"/>
      <c r="R569" s="207"/>
      <c r="S569" s="207"/>
      <c r="T569" s="208"/>
      <c r="U569" s="195"/>
      <c r="V569" s="195"/>
      <c r="W569" s="195"/>
      <c r="X569" s="195"/>
      <c r="Y569" s="195"/>
      <c r="Z569" s="195"/>
      <c r="AA569" s="195"/>
      <c r="AB569" s="195"/>
      <c r="AC569" s="195"/>
      <c r="AD569" s="195"/>
      <c r="AE569" s="195"/>
      <c r="AR569" s="210"/>
      <c r="AT569" s="210"/>
      <c r="AU569" s="210"/>
      <c r="AY569" s="211"/>
      <c r="BE569" s="212"/>
      <c r="BF569" s="212"/>
      <c r="BG569" s="212"/>
      <c r="BH569" s="212"/>
      <c r="BI569" s="212"/>
      <c r="BJ569" s="211"/>
      <c r="BK569" s="212"/>
      <c r="BL569" s="211"/>
      <c r="BM569" s="210"/>
    </row>
    <row r="570" spans="1:65" s="2" customFormat="1" ht="37.9" customHeight="1">
      <c r="A570" s="29"/>
      <c r="B570" s="152"/>
      <c r="C570" s="153" t="s">
        <v>411</v>
      </c>
      <c r="D570" s="153" t="s">
        <v>181</v>
      </c>
      <c r="E570" s="154" t="s">
        <v>624</v>
      </c>
      <c r="F570" s="155" t="s">
        <v>625</v>
      </c>
      <c r="G570" s="156" t="s">
        <v>293</v>
      </c>
      <c r="H570" s="157">
        <v>271.39999999999998</v>
      </c>
      <c r="I570" s="158"/>
      <c r="J570" s="159">
        <v>0</v>
      </c>
      <c r="K570" s="160"/>
      <c r="L570" s="30"/>
      <c r="M570" s="161" t="s">
        <v>1</v>
      </c>
      <c r="N570" s="162" t="s">
        <v>35</v>
      </c>
      <c r="O570" s="58"/>
      <c r="P570" s="163">
        <f t="shared" si="46"/>
        <v>0</v>
      </c>
      <c r="Q570" s="163">
        <v>2.1000000000000001E-4</v>
      </c>
      <c r="R570" s="163">
        <f t="shared" si="47"/>
        <v>5.6993999999999996E-2</v>
      </c>
      <c r="S570" s="163">
        <v>0</v>
      </c>
      <c r="T570" s="164">
        <f t="shared" si="48"/>
        <v>0</v>
      </c>
      <c r="U570" s="29"/>
      <c r="V570" s="29"/>
      <c r="W570" s="29"/>
      <c r="X570" s="29"/>
      <c r="Y570" s="29"/>
      <c r="Z570" s="29"/>
      <c r="AA570" s="29"/>
      <c r="AB570" s="29"/>
      <c r="AC570" s="29"/>
      <c r="AD570" s="29"/>
      <c r="AE570" s="29"/>
      <c r="AR570" s="165" t="s">
        <v>213</v>
      </c>
      <c r="AT570" s="165" t="s">
        <v>181</v>
      </c>
      <c r="AU570" s="165" t="s">
        <v>82</v>
      </c>
      <c r="AY570" s="14" t="s">
        <v>179</v>
      </c>
      <c r="BE570" s="166">
        <f t="shared" si="49"/>
        <v>0</v>
      </c>
      <c r="BF570" s="166">
        <f t="shared" si="50"/>
        <v>0</v>
      </c>
      <c r="BG570" s="166">
        <f t="shared" si="51"/>
        <v>0</v>
      </c>
      <c r="BH570" s="166">
        <f t="shared" si="52"/>
        <v>0</v>
      </c>
      <c r="BI570" s="166">
        <f t="shared" si="53"/>
        <v>0</v>
      </c>
      <c r="BJ570" s="14" t="s">
        <v>82</v>
      </c>
      <c r="BK570" s="166">
        <f t="shared" si="54"/>
        <v>0</v>
      </c>
      <c r="BL570" s="14" t="s">
        <v>213</v>
      </c>
      <c r="BM570" s="165" t="s">
        <v>626</v>
      </c>
    </row>
    <row r="571" spans="1:65" s="209" customFormat="1" ht="12">
      <c r="A571" s="195"/>
      <c r="B571" s="196"/>
      <c r="C571" s="197"/>
      <c r="D571" s="197"/>
      <c r="E571" s="198"/>
      <c r="F571" s="199" t="s">
        <v>3133</v>
      </c>
      <c r="G571" s="228"/>
      <c r="H571" s="201"/>
      <c r="I571" s="194"/>
      <c r="J571" s="194"/>
      <c r="K571" s="202"/>
      <c r="L571" s="203"/>
      <c r="M571" s="204"/>
      <c r="N571" s="205"/>
      <c r="O571" s="206"/>
      <c r="P571" s="207"/>
      <c r="Q571" s="207"/>
      <c r="R571" s="207"/>
      <c r="S571" s="207"/>
      <c r="T571" s="208"/>
      <c r="U571" s="195"/>
      <c r="V571" s="195"/>
      <c r="W571" s="195"/>
      <c r="X571" s="195"/>
      <c r="Y571" s="195"/>
      <c r="Z571" s="195"/>
      <c r="AA571" s="195"/>
      <c r="AB571" s="195"/>
      <c r="AC571" s="195"/>
      <c r="AD571" s="195"/>
      <c r="AE571" s="195"/>
      <c r="AR571" s="210"/>
      <c r="AT571" s="210"/>
      <c r="AU571" s="210"/>
      <c r="AY571" s="211"/>
      <c r="BE571" s="212"/>
      <c r="BF571" s="212"/>
      <c r="BG571" s="212"/>
      <c r="BH571" s="212"/>
      <c r="BI571" s="212"/>
      <c r="BJ571" s="211"/>
      <c r="BK571" s="212"/>
      <c r="BL571" s="211"/>
      <c r="BM571" s="210"/>
    </row>
    <row r="572" spans="1:65" s="209" customFormat="1" ht="12">
      <c r="A572" s="195"/>
      <c r="B572" s="196"/>
      <c r="C572" s="197"/>
      <c r="D572" s="197"/>
      <c r="E572" s="198"/>
      <c r="F572" s="213" t="s">
        <v>3134</v>
      </c>
      <c r="G572" s="228"/>
      <c r="H572" s="201">
        <v>76</v>
      </c>
      <c r="I572" s="194"/>
      <c r="J572" s="194"/>
      <c r="K572" s="202"/>
      <c r="L572" s="203"/>
      <c r="M572" s="204"/>
      <c r="N572" s="205"/>
      <c r="O572" s="206"/>
      <c r="P572" s="207"/>
      <c r="Q572" s="207"/>
      <c r="R572" s="207"/>
      <c r="S572" s="207"/>
      <c r="T572" s="208"/>
      <c r="U572" s="195"/>
      <c r="V572" s="195"/>
      <c r="W572" s="195"/>
      <c r="X572" s="195"/>
      <c r="Y572" s="195"/>
      <c r="Z572" s="195"/>
      <c r="AA572" s="195"/>
      <c r="AB572" s="195"/>
      <c r="AC572" s="195"/>
      <c r="AD572" s="195"/>
      <c r="AE572" s="195"/>
      <c r="AR572" s="210"/>
      <c r="AT572" s="210"/>
      <c r="AU572" s="210"/>
      <c r="AY572" s="211"/>
      <c r="BE572" s="212"/>
      <c r="BF572" s="212"/>
      <c r="BG572" s="212"/>
      <c r="BH572" s="212"/>
      <c r="BI572" s="212"/>
      <c r="BJ572" s="211"/>
      <c r="BK572" s="212"/>
      <c r="BL572" s="211"/>
      <c r="BM572" s="210"/>
    </row>
    <row r="573" spans="1:65" s="209" customFormat="1" ht="12">
      <c r="A573" s="195"/>
      <c r="B573" s="196"/>
      <c r="C573" s="197"/>
      <c r="D573" s="197"/>
      <c r="E573" s="198"/>
      <c r="F573" s="213" t="s">
        <v>3135</v>
      </c>
      <c r="G573" s="228"/>
      <c r="H573" s="201">
        <v>195.33</v>
      </c>
      <c r="I573" s="194"/>
      <c r="J573" s="194"/>
      <c r="K573" s="202"/>
      <c r="L573" s="203"/>
      <c r="M573" s="204"/>
      <c r="N573" s="205"/>
      <c r="O573" s="206"/>
      <c r="P573" s="207"/>
      <c r="Q573" s="207"/>
      <c r="R573" s="207"/>
      <c r="S573" s="207"/>
      <c r="T573" s="208"/>
      <c r="U573" s="195"/>
      <c r="V573" s="195"/>
      <c r="W573" s="195"/>
      <c r="X573" s="195"/>
      <c r="Y573" s="195"/>
      <c r="Z573" s="195"/>
      <c r="AA573" s="195"/>
      <c r="AB573" s="195"/>
      <c r="AC573" s="195"/>
      <c r="AD573" s="195"/>
      <c r="AE573" s="195"/>
      <c r="AR573" s="210"/>
      <c r="AT573" s="210"/>
      <c r="AU573" s="210"/>
      <c r="AY573" s="211"/>
      <c r="BE573" s="212"/>
      <c r="BF573" s="212"/>
      <c r="BG573" s="212"/>
      <c r="BH573" s="212"/>
      <c r="BI573" s="212"/>
      <c r="BJ573" s="211"/>
      <c r="BK573" s="212"/>
      <c r="BL573" s="211"/>
      <c r="BM573" s="210"/>
    </row>
    <row r="574" spans="1:65" s="209" customFormat="1" ht="12">
      <c r="A574" s="195"/>
      <c r="B574" s="196"/>
      <c r="C574" s="197"/>
      <c r="D574" s="197"/>
      <c r="E574" s="198"/>
      <c r="F574" s="243" t="s">
        <v>2983</v>
      </c>
      <c r="G574" s="244"/>
      <c r="H574" s="217">
        <f>ROUNDUP(SUM(H571:H573),1)</f>
        <v>271.40000000000003</v>
      </c>
      <c r="I574" s="194"/>
      <c r="J574" s="194"/>
      <c r="K574" s="202"/>
      <c r="L574" s="203"/>
      <c r="M574" s="204"/>
      <c r="N574" s="205"/>
      <c r="O574" s="206"/>
      <c r="P574" s="207"/>
      <c r="Q574" s="207"/>
      <c r="R574" s="207"/>
      <c r="S574" s="207"/>
      <c r="T574" s="208"/>
      <c r="U574" s="195"/>
      <c r="V574" s="195"/>
      <c r="W574" s="195"/>
      <c r="X574" s="195"/>
      <c r="Y574" s="195"/>
      <c r="Z574" s="195"/>
      <c r="AA574" s="195"/>
      <c r="AB574" s="195"/>
      <c r="AC574" s="195"/>
      <c r="AD574" s="195"/>
      <c r="AE574" s="195"/>
      <c r="AR574" s="210"/>
      <c r="AT574" s="210"/>
      <c r="AU574" s="210"/>
      <c r="AY574" s="211"/>
      <c r="BE574" s="212"/>
      <c r="BF574" s="212"/>
      <c r="BG574" s="212"/>
      <c r="BH574" s="212"/>
      <c r="BI574" s="212"/>
      <c r="BJ574" s="211"/>
      <c r="BK574" s="212"/>
      <c r="BL574" s="211"/>
      <c r="BM574" s="210"/>
    </row>
    <row r="575" spans="1:65" s="2" customFormat="1" ht="24.2" customHeight="1">
      <c r="A575" s="29"/>
      <c r="B575" s="152"/>
      <c r="C575" s="167" t="s">
        <v>627</v>
      </c>
      <c r="D575" s="167" t="s">
        <v>202</v>
      </c>
      <c r="E575" s="168" t="s">
        <v>628</v>
      </c>
      <c r="F575" s="169" t="s">
        <v>629</v>
      </c>
      <c r="G575" s="170" t="s">
        <v>196</v>
      </c>
      <c r="H575" s="171">
        <v>2.2349999999999999</v>
      </c>
      <c r="I575" s="172"/>
      <c r="J575" s="173">
        <v>0</v>
      </c>
      <c r="K575" s="174"/>
      <c r="L575" s="175"/>
      <c r="M575" s="176" t="s">
        <v>1</v>
      </c>
      <c r="N575" s="177" t="s">
        <v>35</v>
      </c>
      <c r="O575" s="58"/>
      <c r="P575" s="163">
        <f t="shared" si="46"/>
        <v>0</v>
      </c>
      <c r="Q575" s="163">
        <v>0.5</v>
      </c>
      <c r="R575" s="163">
        <f t="shared" si="47"/>
        <v>1.1174999999999999</v>
      </c>
      <c r="S575" s="163">
        <v>0</v>
      </c>
      <c r="T575" s="164">
        <f t="shared" si="48"/>
        <v>0</v>
      </c>
      <c r="U575" s="29"/>
      <c r="V575" s="29"/>
      <c r="W575" s="29"/>
      <c r="X575" s="29"/>
      <c r="Y575" s="29"/>
      <c r="Z575" s="29"/>
      <c r="AA575" s="29"/>
      <c r="AB575" s="29"/>
      <c r="AC575" s="29"/>
      <c r="AD575" s="29"/>
      <c r="AE575" s="29"/>
      <c r="AR575" s="165" t="s">
        <v>242</v>
      </c>
      <c r="AT575" s="165" t="s">
        <v>202</v>
      </c>
      <c r="AU575" s="165" t="s">
        <v>82</v>
      </c>
      <c r="AY575" s="14" t="s">
        <v>179</v>
      </c>
      <c r="BE575" s="166">
        <f t="shared" si="49"/>
        <v>0</v>
      </c>
      <c r="BF575" s="166">
        <f t="shared" si="50"/>
        <v>0</v>
      </c>
      <c r="BG575" s="166">
        <f t="shared" si="51"/>
        <v>0</v>
      </c>
      <c r="BH575" s="166">
        <f t="shared" si="52"/>
        <v>0</v>
      </c>
      <c r="BI575" s="166">
        <f t="shared" si="53"/>
        <v>0</v>
      </c>
      <c r="BJ575" s="14" t="s">
        <v>82</v>
      </c>
      <c r="BK575" s="166">
        <f t="shared" si="54"/>
        <v>0</v>
      </c>
      <c r="BL575" s="14" t="s">
        <v>213</v>
      </c>
      <c r="BM575" s="165" t="s">
        <v>630</v>
      </c>
    </row>
    <row r="576" spans="1:65" s="209" customFormat="1" ht="12">
      <c r="A576" s="195"/>
      <c r="B576" s="196"/>
      <c r="C576" s="197"/>
      <c r="D576" s="197"/>
      <c r="E576" s="198"/>
      <c r="F576" s="199" t="s">
        <v>3133</v>
      </c>
      <c r="G576" s="228"/>
      <c r="H576" s="201"/>
      <c r="I576" s="194"/>
      <c r="J576" s="194"/>
      <c r="K576" s="202"/>
      <c r="L576" s="203"/>
      <c r="M576" s="204"/>
      <c r="N576" s="205"/>
      <c r="O576" s="206"/>
      <c r="P576" s="207"/>
      <c r="Q576" s="207"/>
      <c r="R576" s="207"/>
      <c r="S576" s="207"/>
      <c r="T576" s="208"/>
      <c r="U576" s="195"/>
      <c r="V576" s="195"/>
      <c r="W576" s="195"/>
      <c r="X576" s="195"/>
      <c r="Y576" s="195"/>
      <c r="Z576" s="195"/>
      <c r="AA576" s="195"/>
      <c r="AB576" s="195"/>
      <c r="AC576" s="195"/>
      <c r="AD576" s="195"/>
      <c r="AE576" s="195"/>
      <c r="AR576" s="210"/>
      <c r="AT576" s="210"/>
      <c r="AU576" s="210"/>
      <c r="AY576" s="211"/>
      <c r="BE576" s="212"/>
      <c r="BF576" s="212"/>
      <c r="BG576" s="212"/>
      <c r="BH576" s="212"/>
      <c r="BI576" s="212"/>
      <c r="BJ576" s="211"/>
      <c r="BK576" s="212"/>
      <c r="BL576" s="211"/>
      <c r="BM576" s="210"/>
    </row>
    <row r="577" spans="1:65" s="209" customFormat="1" ht="12">
      <c r="A577" s="195"/>
      <c r="B577" s="196"/>
      <c r="C577" s="197"/>
      <c r="D577" s="197"/>
      <c r="E577" s="198"/>
      <c r="F577" s="213" t="s">
        <v>3391</v>
      </c>
      <c r="G577" s="228"/>
      <c r="H577" s="201">
        <f>76*0.06*0.06*1.1</f>
        <v>0.30095999999999995</v>
      </c>
      <c r="I577" s="194"/>
      <c r="J577" s="194"/>
      <c r="K577" s="202"/>
      <c r="L577" s="203"/>
      <c r="M577" s="204"/>
      <c r="N577" s="205"/>
      <c r="O577" s="206"/>
      <c r="P577" s="207"/>
      <c r="Q577" s="207"/>
      <c r="R577" s="207"/>
      <c r="S577" s="207"/>
      <c r="T577" s="208"/>
      <c r="U577" s="195"/>
      <c r="V577" s="195"/>
      <c r="W577" s="195"/>
      <c r="X577" s="195"/>
      <c r="Y577" s="195"/>
      <c r="Z577" s="195"/>
      <c r="AA577" s="195"/>
      <c r="AB577" s="195"/>
      <c r="AC577" s="195"/>
      <c r="AD577" s="195"/>
      <c r="AE577" s="195"/>
      <c r="AR577" s="210"/>
      <c r="AT577" s="210"/>
      <c r="AU577" s="210"/>
      <c r="AY577" s="211"/>
      <c r="BE577" s="212"/>
      <c r="BF577" s="212"/>
      <c r="BG577" s="212"/>
      <c r="BH577" s="212"/>
      <c r="BI577" s="212"/>
      <c r="BJ577" s="211"/>
      <c r="BK577" s="212"/>
      <c r="BL577" s="211"/>
      <c r="BM577" s="210"/>
    </row>
    <row r="578" spans="1:65" s="209" customFormat="1" ht="12">
      <c r="A578" s="195"/>
      <c r="B578" s="196"/>
      <c r="C578" s="197"/>
      <c r="D578" s="197"/>
      <c r="E578" s="198"/>
      <c r="F578" s="213" t="s">
        <v>3392</v>
      </c>
      <c r="G578" s="228"/>
      <c r="H578" s="201">
        <f>195.33*0.15*0.06*1.1</f>
        <v>1.9337670000000002</v>
      </c>
      <c r="I578" s="194"/>
      <c r="J578" s="194"/>
      <c r="K578" s="202"/>
      <c r="L578" s="203"/>
      <c r="M578" s="204"/>
      <c r="N578" s="205"/>
      <c r="O578" s="206"/>
      <c r="P578" s="207"/>
      <c r="Q578" s="207"/>
      <c r="R578" s="207"/>
      <c r="S578" s="207"/>
      <c r="T578" s="208"/>
      <c r="U578" s="195"/>
      <c r="V578" s="195"/>
      <c r="W578" s="195"/>
      <c r="X578" s="195"/>
      <c r="Y578" s="195"/>
      <c r="Z578" s="195"/>
      <c r="AA578" s="195"/>
      <c r="AB578" s="195"/>
      <c r="AC578" s="195"/>
      <c r="AD578" s="195"/>
      <c r="AE578" s="195"/>
      <c r="AR578" s="210"/>
      <c r="AT578" s="210"/>
      <c r="AU578" s="210"/>
      <c r="AY578" s="211"/>
      <c r="BE578" s="212"/>
      <c r="BF578" s="212"/>
      <c r="BG578" s="212"/>
      <c r="BH578" s="212"/>
      <c r="BI578" s="212"/>
      <c r="BJ578" s="211"/>
      <c r="BK578" s="212"/>
      <c r="BL578" s="211"/>
      <c r="BM578" s="210"/>
    </row>
    <row r="579" spans="1:65" s="209" customFormat="1" ht="12">
      <c r="A579" s="195"/>
      <c r="B579" s="196"/>
      <c r="C579" s="197"/>
      <c r="D579" s="197"/>
      <c r="E579" s="198"/>
      <c r="F579" s="215" t="s">
        <v>2983</v>
      </c>
      <c r="G579" s="244"/>
      <c r="H579" s="217">
        <f>SUM(H577:H578)</f>
        <v>2.2347270000000004</v>
      </c>
      <c r="I579" s="194"/>
      <c r="J579" s="194"/>
      <c r="K579" s="202"/>
      <c r="L579" s="203"/>
      <c r="M579" s="204"/>
      <c r="N579" s="205"/>
      <c r="O579" s="206"/>
      <c r="P579" s="207"/>
      <c r="Q579" s="207"/>
      <c r="R579" s="207"/>
      <c r="S579" s="207"/>
      <c r="T579" s="208"/>
      <c r="U579" s="195"/>
      <c r="V579" s="195"/>
      <c r="W579" s="195"/>
      <c r="X579" s="195"/>
      <c r="Y579" s="195"/>
      <c r="Z579" s="195"/>
      <c r="AA579" s="195"/>
      <c r="AB579" s="195"/>
      <c r="AC579" s="195"/>
      <c r="AD579" s="195"/>
      <c r="AE579" s="195"/>
      <c r="AR579" s="210"/>
      <c r="AT579" s="210"/>
      <c r="AU579" s="210"/>
      <c r="AY579" s="211"/>
      <c r="BE579" s="212"/>
      <c r="BF579" s="212"/>
      <c r="BG579" s="212"/>
      <c r="BH579" s="212"/>
      <c r="BI579" s="212"/>
      <c r="BJ579" s="211"/>
      <c r="BK579" s="212"/>
      <c r="BL579" s="211"/>
      <c r="BM579" s="210"/>
    </row>
    <row r="580" spans="1:65" s="2" customFormat="1" ht="21.75" customHeight="1">
      <c r="A580" s="29"/>
      <c r="B580" s="152"/>
      <c r="C580" s="153" t="s">
        <v>414</v>
      </c>
      <c r="D580" s="153" t="s">
        <v>181</v>
      </c>
      <c r="E580" s="154" t="s">
        <v>631</v>
      </c>
      <c r="F580" s="155" t="s">
        <v>632</v>
      </c>
      <c r="G580" s="156" t="s">
        <v>585</v>
      </c>
      <c r="H580" s="178"/>
      <c r="I580" s="158"/>
      <c r="J580" s="159">
        <v>0</v>
      </c>
      <c r="K580" s="160"/>
      <c r="L580" s="30"/>
      <c r="M580" s="161" t="s">
        <v>1</v>
      </c>
      <c r="N580" s="162" t="s">
        <v>35</v>
      </c>
      <c r="O580" s="58"/>
      <c r="P580" s="163">
        <f t="shared" si="46"/>
        <v>0</v>
      </c>
      <c r="Q580" s="163">
        <v>0</v>
      </c>
      <c r="R580" s="163">
        <f t="shared" si="47"/>
        <v>0</v>
      </c>
      <c r="S580" s="163">
        <v>0</v>
      </c>
      <c r="T580" s="164">
        <f t="shared" si="48"/>
        <v>0</v>
      </c>
      <c r="U580" s="29"/>
      <c r="V580" s="29"/>
      <c r="W580" s="29"/>
      <c r="X580" s="29"/>
      <c r="Y580" s="29"/>
      <c r="Z580" s="29"/>
      <c r="AA580" s="29"/>
      <c r="AB580" s="29"/>
      <c r="AC580" s="29"/>
      <c r="AD580" s="29"/>
      <c r="AE580" s="29"/>
      <c r="AR580" s="165" t="s">
        <v>213</v>
      </c>
      <c r="AT580" s="165" t="s">
        <v>181</v>
      </c>
      <c r="AU580" s="165" t="s">
        <v>82</v>
      </c>
      <c r="AY580" s="14" t="s">
        <v>179</v>
      </c>
      <c r="BE580" s="166">
        <f t="shared" si="49"/>
        <v>0</v>
      </c>
      <c r="BF580" s="166">
        <f t="shared" si="50"/>
        <v>0</v>
      </c>
      <c r="BG580" s="166">
        <f t="shared" si="51"/>
        <v>0</v>
      </c>
      <c r="BH580" s="166">
        <f t="shared" si="52"/>
        <v>0</v>
      </c>
      <c r="BI580" s="166">
        <f t="shared" si="53"/>
        <v>0</v>
      </c>
      <c r="BJ580" s="14" t="s">
        <v>82</v>
      </c>
      <c r="BK580" s="166">
        <f t="shared" si="54"/>
        <v>0</v>
      </c>
      <c r="BL580" s="14" t="s">
        <v>213</v>
      </c>
      <c r="BM580" s="165" t="s">
        <v>633</v>
      </c>
    </row>
    <row r="581" spans="1:65" s="12" customFormat="1" ht="22.9" customHeight="1">
      <c r="B581" s="139"/>
      <c r="D581" s="140" t="s">
        <v>68</v>
      </c>
      <c r="E581" s="150" t="s">
        <v>634</v>
      </c>
      <c r="F581" s="150" t="s">
        <v>635</v>
      </c>
      <c r="I581" s="142"/>
      <c r="J581" s="151">
        <v>0</v>
      </c>
      <c r="L581" s="139"/>
      <c r="M581" s="144"/>
      <c r="N581" s="145"/>
      <c r="O581" s="145"/>
      <c r="P581" s="146">
        <f>SUM(P582:P596)</f>
        <v>0</v>
      </c>
      <c r="Q581" s="145"/>
      <c r="R581" s="146">
        <f>SUM(R582:R596)</f>
        <v>0.12924562280000002</v>
      </c>
      <c r="S581" s="145"/>
      <c r="T581" s="147">
        <f>SUM(T582:T596)</f>
        <v>0</v>
      </c>
      <c r="AR581" s="140" t="s">
        <v>82</v>
      </c>
      <c r="AT581" s="148" t="s">
        <v>68</v>
      </c>
      <c r="AU581" s="148" t="s">
        <v>76</v>
      </c>
      <c r="AY581" s="140" t="s">
        <v>179</v>
      </c>
      <c r="BK581" s="149">
        <f>SUM(BK582:BK596)</f>
        <v>0</v>
      </c>
    </row>
    <row r="582" spans="1:65" s="2" customFormat="1" ht="44.25" customHeight="1">
      <c r="A582" s="29"/>
      <c r="B582" s="152"/>
      <c r="C582" s="153" t="s">
        <v>636</v>
      </c>
      <c r="D582" s="153" t="s">
        <v>181</v>
      </c>
      <c r="E582" s="154" t="s">
        <v>637</v>
      </c>
      <c r="F582" s="155" t="s">
        <v>638</v>
      </c>
      <c r="G582" s="156" t="s">
        <v>184</v>
      </c>
      <c r="H582" s="157">
        <v>5.32</v>
      </c>
      <c r="I582" s="158"/>
      <c r="J582" s="159">
        <v>0</v>
      </c>
      <c r="K582" s="160"/>
      <c r="L582" s="30"/>
      <c r="M582" s="161" t="s">
        <v>1</v>
      </c>
      <c r="N582" s="162" t="s">
        <v>35</v>
      </c>
      <c r="O582" s="58"/>
      <c r="P582" s="163">
        <f>O582*H582</f>
        <v>0</v>
      </c>
      <c r="Q582" s="163">
        <v>2.176196E-2</v>
      </c>
      <c r="R582" s="163">
        <f>Q582*H582</f>
        <v>0.11577362720000001</v>
      </c>
      <c r="S582" s="163">
        <v>0</v>
      </c>
      <c r="T582" s="164">
        <f>S582*H582</f>
        <v>0</v>
      </c>
      <c r="U582" s="29"/>
      <c r="V582" s="29"/>
      <c r="W582" s="29"/>
      <c r="X582" s="29"/>
      <c r="Y582" s="29"/>
      <c r="Z582" s="29"/>
      <c r="AA582" s="29"/>
      <c r="AB582" s="29"/>
      <c r="AC582" s="29"/>
      <c r="AD582" s="29"/>
      <c r="AE582" s="29"/>
      <c r="AR582" s="165" t="s">
        <v>213</v>
      </c>
      <c r="AT582" s="165" t="s">
        <v>181</v>
      </c>
      <c r="AU582" s="165" t="s">
        <v>82</v>
      </c>
      <c r="AY582" s="14" t="s">
        <v>179</v>
      </c>
      <c r="BE582" s="166">
        <f>IF(N582="základná",J582,0)</f>
        <v>0</v>
      </c>
      <c r="BF582" s="166">
        <f>IF(N582="znížená",J582,0)</f>
        <v>0</v>
      </c>
      <c r="BG582" s="166">
        <f>IF(N582="zákl. prenesená",J582,0)</f>
        <v>0</v>
      </c>
      <c r="BH582" s="166">
        <f>IF(N582="zníž. prenesená",J582,0)</f>
        <v>0</v>
      </c>
      <c r="BI582" s="166">
        <f>IF(N582="nulová",J582,0)</f>
        <v>0</v>
      </c>
      <c r="BJ582" s="14" t="s">
        <v>82</v>
      </c>
      <c r="BK582" s="166">
        <f>ROUND(I582*H582,2)</f>
        <v>0</v>
      </c>
      <c r="BL582" s="14" t="s">
        <v>213</v>
      </c>
      <c r="BM582" s="165" t="s">
        <v>639</v>
      </c>
    </row>
    <row r="583" spans="1:65" s="209" customFormat="1" ht="12">
      <c r="A583" s="195"/>
      <c r="B583" s="196"/>
      <c r="C583" s="197"/>
      <c r="D583" s="197"/>
      <c r="E583" s="198"/>
      <c r="F583" s="184" t="s">
        <v>3138</v>
      </c>
      <c r="G583" s="185"/>
      <c r="H583" s="186">
        <f>ROUND(2.1*(1.2+0.12)+1*2.4+1.2*0.12,2)</f>
        <v>5.32</v>
      </c>
      <c r="I583" s="194"/>
      <c r="J583" s="194"/>
      <c r="K583" s="202"/>
      <c r="L583" s="203"/>
      <c r="M583" s="204"/>
      <c r="N583" s="205"/>
      <c r="O583" s="206"/>
      <c r="P583" s="207"/>
      <c r="Q583" s="207"/>
      <c r="R583" s="207"/>
      <c r="S583" s="207"/>
      <c r="T583" s="208"/>
      <c r="U583" s="195"/>
      <c r="V583" s="195"/>
      <c r="W583" s="195"/>
      <c r="X583" s="195"/>
      <c r="Y583" s="195"/>
      <c r="Z583" s="195"/>
      <c r="AA583" s="195"/>
      <c r="AB583" s="195"/>
      <c r="AC583" s="195"/>
      <c r="AD583" s="195"/>
      <c r="AE583" s="195"/>
      <c r="AR583" s="210"/>
      <c r="AT583" s="210"/>
      <c r="AU583" s="210"/>
      <c r="AY583" s="211"/>
      <c r="BE583" s="212"/>
      <c r="BF583" s="212"/>
      <c r="BG583" s="212"/>
      <c r="BH583" s="212"/>
      <c r="BI583" s="212"/>
      <c r="BJ583" s="211"/>
      <c r="BK583" s="212"/>
      <c r="BL583" s="211"/>
      <c r="BM583" s="210"/>
    </row>
    <row r="584" spans="1:65" s="209" customFormat="1" ht="12">
      <c r="A584" s="195"/>
      <c r="B584" s="196"/>
      <c r="C584" s="197"/>
      <c r="D584" s="197"/>
      <c r="E584" s="198"/>
      <c r="F584" s="187" t="s">
        <v>2983</v>
      </c>
      <c r="G584" s="188"/>
      <c r="H584" s="189">
        <f>SUM(H583:H583)</f>
        <v>5.32</v>
      </c>
      <c r="I584" s="194"/>
      <c r="J584" s="194"/>
      <c r="K584" s="202"/>
      <c r="L584" s="203"/>
      <c r="M584" s="204"/>
      <c r="N584" s="205"/>
      <c r="O584" s="206"/>
      <c r="P584" s="207"/>
      <c r="Q584" s="207"/>
      <c r="R584" s="207"/>
      <c r="S584" s="207"/>
      <c r="T584" s="208"/>
      <c r="U584" s="195"/>
      <c r="V584" s="195"/>
      <c r="W584" s="195"/>
      <c r="X584" s="195"/>
      <c r="Y584" s="195"/>
      <c r="Z584" s="195"/>
      <c r="AA584" s="195"/>
      <c r="AB584" s="195"/>
      <c r="AC584" s="195"/>
      <c r="AD584" s="195"/>
      <c r="AE584" s="195"/>
      <c r="AR584" s="210"/>
      <c r="AT584" s="210"/>
      <c r="AU584" s="210"/>
      <c r="AY584" s="211"/>
      <c r="BE584" s="212"/>
      <c r="BF584" s="212"/>
      <c r="BG584" s="212"/>
      <c r="BH584" s="212"/>
      <c r="BI584" s="212"/>
      <c r="BJ584" s="211"/>
      <c r="BK584" s="212"/>
      <c r="BL584" s="211"/>
      <c r="BM584" s="210"/>
    </row>
    <row r="585" spans="1:65" s="2" customFormat="1" ht="37.9" customHeight="1">
      <c r="A585" s="29"/>
      <c r="B585" s="152"/>
      <c r="C585" s="153" t="s">
        <v>418</v>
      </c>
      <c r="D585" s="153" t="s">
        <v>181</v>
      </c>
      <c r="E585" s="154" t="s">
        <v>640</v>
      </c>
      <c r="F585" s="155" t="s">
        <v>641</v>
      </c>
      <c r="G585" s="156" t="s">
        <v>184</v>
      </c>
      <c r="H585" s="157">
        <v>1.1299999999999999</v>
      </c>
      <c r="I585" s="158"/>
      <c r="J585" s="159">
        <v>0</v>
      </c>
      <c r="K585" s="160"/>
      <c r="L585" s="30"/>
      <c r="M585" s="161" t="s">
        <v>1</v>
      </c>
      <c r="N585" s="162" t="s">
        <v>35</v>
      </c>
      <c r="O585" s="58"/>
      <c r="P585" s="163">
        <f>O585*H585</f>
        <v>0</v>
      </c>
      <c r="Q585" s="163">
        <v>1.192212E-2</v>
      </c>
      <c r="R585" s="163">
        <f>Q585*H585</f>
        <v>1.3471995599999998E-2</v>
      </c>
      <c r="S585" s="163">
        <v>0</v>
      </c>
      <c r="T585" s="164">
        <f>S585*H585</f>
        <v>0</v>
      </c>
      <c r="U585" s="29"/>
      <c r="V585" s="29"/>
      <c r="W585" s="29"/>
      <c r="X585" s="29"/>
      <c r="Y585" s="29"/>
      <c r="Z585" s="29"/>
      <c r="AA585" s="29"/>
      <c r="AB585" s="29"/>
      <c r="AC585" s="29"/>
      <c r="AD585" s="29"/>
      <c r="AE585" s="29"/>
      <c r="AR585" s="165" t="s">
        <v>213</v>
      </c>
      <c r="AT585" s="165" t="s">
        <v>181</v>
      </c>
      <c r="AU585" s="165" t="s">
        <v>82</v>
      </c>
      <c r="AY585" s="14" t="s">
        <v>179</v>
      </c>
      <c r="BE585" s="166">
        <f>IF(N585="základná",J585,0)</f>
        <v>0</v>
      </c>
      <c r="BF585" s="166">
        <f>IF(N585="znížená",J585,0)</f>
        <v>0</v>
      </c>
      <c r="BG585" s="166">
        <f>IF(N585="zákl. prenesená",J585,0)</f>
        <v>0</v>
      </c>
      <c r="BH585" s="166">
        <f>IF(N585="zníž. prenesená",J585,0)</f>
        <v>0</v>
      </c>
      <c r="BI585" s="166">
        <f>IF(N585="nulová",J585,0)</f>
        <v>0</v>
      </c>
      <c r="BJ585" s="14" t="s">
        <v>82</v>
      </c>
      <c r="BK585" s="166">
        <f>ROUND(I585*H585,2)</f>
        <v>0</v>
      </c>
      <c r="BL585" s="14" t="s">
        <v>213</v>
      </c>
      <c r="BM585" s="165" t="s">
        <v>642</v>
      </c>
    </row>
    <row r="586" spans="1:65" s="209" customFormat="1" ht="12">
      <c r="A586" s="195"/>
      <c r="B586" s="196"/>
      <c r="C586" s="197"/>
      <c r="D586" s="197"/>
      <c r="E586" s="198"/>
      <c r="F586" s="184" t="s">
        <v>3139</v>
      </c>
      <c r="G586" s="185"/>
      <c r="H586" s="192">
        <f>ROUND(2.5*0.45,2)</f>
        <v>1.1299999999999999</v>
      </c>
      <c r="I586" s="194"/>
      <c r="J586" s="194"/>
      <c r="K586" s="202"/>
      <c r="L586" s="203"/>
      <c r="M586" s="204"/>
      <c r="N586" s="205"/>
      <c r="O586" s="206"/>
      <c r="P586" s="207"/>
      <c r="Q586" s="207"/>
      <c r="R586" s="207"/>
      <c r="S586" s="207"/>
      <c r="T586" s="208"/>
      <c r="U586" s="195"/>
      <c r="V586" s="195"/>
      <c r="W586" s="195"/>
      <c r="X586" s="195"/>
      <c r="Y586" s="195"/>
      <c r="Z586" s="195"/>
      <c r="AA586" s="195"/>
      <c r="AB586" s="195"/>
      <c r="AC586" s="195"/>
      <c r="AD586" s="195"/>
      <c r="AE586" s="195"/>
      <c r="AR586" s="210"/>
      <c r="AT586" s="210"/>
      <c r="AU586" s="210"/>
      <c r="AY586" s="211"/>
      <c r="BE586" s="212"/>
      <c r="BF586" s="212"/>
      <c r="BG586" s="212"/>
      <c r="BH586" s="212"/>
      <c r="BI586" s="212"/>
      <c r="BJ586" s="211"/>
      <c r="BK586" s="212"/>
      <c r="BL586" s="211"/>
      <c r="BM586" s="210"/>
    </row>
    <row r="587" spans="1:65" s="209" customFormat="1" ht="12">
      <c r="A587" s="195"/>
      <c r="B587" s="196"/>
      <c r="C587" s="197"/>
      <c r="D587" s="197"/>
      <c r="E587" s="198"/>
      <c r="F587" s="187" t="s">
        <v>2983</v>
      </c>
      <c r="G587" s="188"/>
      <c r="H587" s="189">
        <f>SUM(H586:H586)</f>
        <v>1.1299999999999999</v>
      </c>
      <c r="I587" s="194"/>
      <c r="J587" s="194"/>
      <c r="K587" s="202"/>
      <c r="L587" s="203"/>
      <c r="M587" s="204"/>
      <c r="N587" s="205"/>
      <c r="O587" s="206"/>
      <c r="P587" s="207"/>
      <c r="Q587" s="207"/>
      <c r="R587" s="207"/>
      <c r="S587" s="207"/>
      <c r="T587" s="208"/>
      <c r="U587" s="195"/>
      <c r="V587" s="195"/>
      <c r="W587" s="195"/>
      <c r="X587" s="195"/>
      <c r="Y587" s="195"/>
      <c r="Z587" s="195"/>
      <c r="AA587" s="195"/>
      <c r="AB587" s="195"/>
      <c r="AC587" s="195"/>
      <c r="AD587" s="195"/>
      <c r="AE587" s="195"/>
      <c r="AR587" s="210"/>
      <c r="AT587" s="210"/>
      <c r="AU587" s="210"/>
      <c r="AY587" s="211"/>
      <c r="BE587" s="212"/>
      <c r="BF587" s="212"/>
      <c r="BG587" s="212"/>
      <c r="BH587" s="212"/>
      <c r="BI587" s="212"/>
      <c r="BJ587" s="211"/>
      <c r="BK587" s="212"/>
      <c r="BL587" s="211"/>
      <c r="BM587" s="210"/>
    </row>
    <row r="588" spans="1:65" s="2" customFormat="1" ht="21.75" customHeight="1">
      <c r="A588" s="29"/>
      <c r="B588" s="152"/>
      <c r="C588" s="153" t="s">
        <v>643</v>
      </c>
      <c r="D588" s="153" t="s">
        <v>181</v>
      </c>
      <c r="E588" s="154" t="s">
        <v>644</v>
      </c>
      <c r="F588" s="155" t="s">
        <v>645</v>
      </c>
      <c r="G588" s="156" t="s">
        <v>184</v>
      </c>
      <c r="H588" s="157">
        <v>28.6</v>
      </c>
      <c r="I588" s="158"/>
      <c r="J588" s="159">
        <v>0</v>
      </c>
      <c r="K588" s="160"/>
      <c r="L588" s="30"/>
      <c r="M588" s="161" t="s">
        <v>1</v>
      </c>
      <c r="N588" s="162" t="s">
        <v>35</v>
      </c>
      <c r="O588" s="58"/>
      <c r="P588" s="163">
        <f>O588*H588</f>
        <v>0</v>
      </c>
      <c r="Q588" s="163">
        <v>0</v>
      </c>
      <c r="R588" s="163">
        <f>Q588*H588</f>
        <v>0</v>
      </c>
      <c r="S588" s="163">
        <v>0</v>
      </c>
      <c r="T588" s="164">
        <f>S588*H588</f>
        <v>0</v>
      </c>
      <c r="U588" s="29"/>
      <c r="V588" s="29"/>
      <c r="W588" s="29"/>
      <c r="X588" s="29"/>
      <c r="Y588" s="29"/>
      <c r="Z588" s="29"/>
      <c r="AA588" s="29"/>
      <c r="AB588" s="29"/>
      <c r="AC588" s="29"/>
      <c r="AD588" s="29"/>
      <c r="AE588" s="29"/>
      <c r="AR588" s="165" t="s">
        <v>213</v>
      </c>
      <c r="AT588" s="165" t="s">
        <v>181</v>
      </c>
      <c r="AU588" s="165" t="s">
        <v>82</v>
      </c>
      <c r="AY588" s="14" t="s">
        <v>179</v>
      </c>
      <c r="BE588" s="166">
        <f>IF(N588="základná",J588,0)</f>
        <v>0</v>
      </c>
      <c r="BF588" s="166">
        <f>IF(N588="znížená",J588,0)</f>
        <v>0</v>
      </c>
      <c r="BG588" s="166">
        <f>IF(N588="zákl. prenesená",J588,0)</f>
        <v>0</v>
      </c>
      <c r="BH588" s="166">
        <f>IF(N588="zníž. prenesená",J588,0)</f>
        <v>0</v>
      </c>
      <c r="BI588" s="166">
        <f>IF(N588="nulová",J588,0)</f>
        <v>0</v>
      </c>
      <c r="BJ588" s="14" t="s">
        <v>82</v>
      </c>
      <c r="BK588" s="166">
        <f>ROUND(I588*H588,2)</f>
        <v>0</v>
      </c>
      <c r="BL588" s="14" t="s">
        <v>213</v>
      </c>
      <c r="BM588" s="165" t="s">
        <v>646</v>
      </c>
    </row>
    <row r="589" spans="1:65" s="209" customFormat="1" ht="12">
      <c r="A589" s="195"/>
      <c r="B589" s="196"/>
      <c r="C589" s="197"/>
      <c r="D589" s="197"/>
      <c r="E589" s="198"/>
      <c r="F589" s="199" t="s">
        <v>3133</v>
      </c>
      <c r="G589" s="228"/>
      <c r="H589" s="201"/>
      <c r="I589" s="194"/>
      <c r="J589" s="194"/>
      <c r="K589" s="202"/>
      <c r="L589" s="203"/>
      <c r="M589" s="204"/>
      <c r="N589" s="205"/>
      <c r="O589" s="206"/>
      <c r="P589" s="207"/>
      <c r="Q589" s="207"/>
      <c r="R589" s="207"/>
      <c r="S589" s="207"/>
      <c r="T589" s="208"/>
      <c r="U589" s="195"/>
      <c r="V589" s="195"/>
      <c r="W589" s="195"/>
      <c r="X589" s="195"/>
      <c r="Y589" s="195"/>
      <c r="Z589" s="195"/>
      <c r="AA589" s="195"/>
      <c r="AB589" s="195"/>
      <c r="AC589" s="195"/>
      <c r="AD589" s="195"/>
      <c r="AE589" s="195"/>
      <c r="AR589" s="210"/>
      <c r="AT589" s="210"/>
      <c r="AU589" s="210"/>
      <c r="AY589" s="211"/>
      <c r="BE589" s="212"/>
      <c r="BF589" s="212"/>
      <c r="BG589" s="212"/>
      <c r="BH589" s="212"/>
      <c r="BI589" s="212"/>
      <c r="BJ589" s="211"/>
      <c r="BK589" s="212"/>
      <c r="BL589" s="211"/>
      <c r="BM589" s="210"/>
    </row>
    <row r="590" spans="1:65" s="209" customFormat="1" ht="12">
      <c r="A590" s="195"/>
      <c r="B590" s="196"/>
      <c r="C590" s="197"/>
      <c r="D590" s="197"/>
      <c r="E590" s="198"/>
      <c r="F590" s="213" t="s">
        <v>3136</v>
      </c>
      <c r="G590" s="228"/>
      <c r="H590" s="201">
        <v>28.6</v>
      </c>
      <c r="I590" s="194"/>
      <c r="J590" s="194"/>
      <c r="K590" s="202"/>
      <c r="L590" s="203"/>
      <c r="M590" s="204"/>
      <c r="N590" s="205"/>
      <c r="O590" s="206"/>
      <c r="P590" s="207"/>
      <c r="Q590" s="207"/>
      <c r="R590" s="207"/>
      <c r="S590" s="207"/>
      <c r="T590" s="208"/>
      <c r="U590" s="195"/>
      <c r="V590" s="195"/>
      <c r="W590" s="195"/>
      <c r="X590" s="195"/>
      <c r="Y590" s="195"/>
      <c r="Z590" s="195"/>
      <c r="AA590" s="195"/>
      <c r="AB590" s="195"/>
      <c r="AC590" s="195"/>
      <c r="AD590" s="195"/>
      <c r="AE590" s="195"/>
      <c r="AR590" s="210"/>
      <c r="AT590" s="210"/>
      <c r="AU590" s="210"/>
      <c r="AY590" s="211"/>
      <c r="BE590" s="212"/>
      <c r="BF590" s="212"/>
      <c r="BG590" s="212"/>
      <c r="BH590" s="212"/>
      <c r="BI590" s="212"/>
      <c r="BJ590" s="211"/>
      <c r="BK590" s="212"/>
      <c r="BL590" s="211"/>
      <c r="BM590" s="210"/>
    </row>
    <row r="591" spans="1:65" s="209" customFormat="1" ht="12">
      <c r="A591" s="195"/>
      <c r="B591" s="196"/>
      <c r="C591" s="197"/>
      <c r="D591" s="197"/>
      <c r="E591" s="198"/>
      <c r="F591" s="187" t="s">
        <v>2983</v>
      </c>
      <c r="G591" s="244"/>
      <c r="H591" s="217">
        <f>ROUNDUP(SUM(H590:H590),1)</f>
        <v>28.6</v>
      </c>
      <c r="I591" s="194"/>
      <c r="J591" s="194"/>
      <c r="K591" s="202"/>
      <c r="L591" s="203"/>
      <c r="M591" s="204"/>
      <c r="N591" s="205"/>
      <c r="O591" s="206"/>
      <c r="P591" s="207"/>
      <c r="Q591" s="207"/>
      <c r="R591" s="207"/>
      <c r="S591" s="207"/>
      <c r="T591" s="208"/>
      <c r="U591" s="195"/>
      <c r="V591" s="195"/>
      <c r="W591" s="195"/>
      <c r="X591" s="195"/>
      <c r="Y591" s="195"/>
      <c r="Z591" s="195"/>
      <c r="AA591" s="195"/>
      <c r="AB591" s="195"/>
      <c r="AC591" s="195"/>
      <c r="AD591" s="195"/>
      <c r="AE591" s="195"/>
      <c r="AR591" s="210"/>
      <c r="AT591" s="210"/>
      <c r="AU591" s="210"/>
      <c r="AY591" s="211"/>
      <c r="BE591" s="212"/>
      <c r="BF591" s="212"/>
      <c r="BG591" s="212"/>
      <c r="BH591" s="212"/>
      <c r="BI591" s="212"/>
      <c r="BJ591" s="211"/>
      <c r="BK591" s="212"/>
      <c r="BL591" s="211"/>
      <c r="BM591" s="210"/>
    </row>
    <row r="592" spans="1:65" s="2" customFormat="1" ht="21.75" customHeight="1">
      <c r="A592" s="29"/>
      <c r="B592" s="152"/>
      <c r="C592" s="153" t="s">
        <v>421</v>
      </c>
      <c r="D592" s="153" t="s">
        <v>181</v>
      </c>
      <c r="E592" s="154" t="s">
        <v>647</v>
      </c>
      <c r="F592" s="155" t="s">
        <v>648</v>
      </c>
      <c r="G592" s="156" t="s">
        <v>184</v>
      </c>
      <c r="H592" s="157">
        <v>62.3</v>
      </c>
      <c r="I592" s="158"/>
      <c r="J592" s="159">
        <v>0</v>
      </c>
      <c r="K592" s="160"/>
      <c r="L592" s="30"/>
      <c r="M592" s="161" t="s">
        <v>1</v>
      </c>
      <c r="N592" s="162" t="s">
        <v>35</v>
      </c>
      <c r="O592" s="58"/>
      <c r="P592" s="163">
        <f>O592*H592</f>
        <v>0</v>
      </c>
      <c r="Q592" s="163">
        <v>0</v>
      </c>
      <c r="R592" s="163">
        <f>Q592*H592</f>
        <v>0</v>
      </c>
      <c r="S592" s="163">
        <v>0</v>
      </c>
      <c r="T592" s="164">
        <f>S592*H592</f>
        <v>0</v>
      </c>
      <c r="U592" s="29"/>
      <c r="V592" s="29"/>
      <c r="W592" s="29"/>
      <c r="X592" s="29"/>
      <c r="Y592" s="29"/>
      <c r="Z592" s="29"/>
      <c r="AA592" s="29"/>
      <c r="AB592" s="29"/>
      <c r="AC592" s="29"/>
      <c r="AD592" s="29"/>
      <c r="AE592" s="29"/>
      <c r="AR592" s="165" t="s">
        <v>213</v>
      </c>
      <c r="AT592" s="165" t="s">
        <v>181</v>
      </c>
      <c r="AU592" s="165" t="s">
        <v>82</v>
      </c>
      <c r="AY592" s="14" t="s">
        <v>179</v>
      </c>
      <c r="BE592" s="166">
        <f>IF(N592="základná",J592,0)</f>
        <v>0</v>
      </c>
      <c r="BF592" s="166">
        <f>IF(N592="znížená",J592,0)</f>
        <v>0</v>
      </c>
      <c r="BG592" s="166">
        <f>IF(N592="zákl. prenesená",J592,0)</f>
        <v>0</v>
      </c>
      <c r="BH592" s="166">
        <f>IF(N592="zníž. prenesená",J592,0)</f>
        <v>0</v>
      </c>
      <c r="BI592" s="166">
        <f>IF(N592="nulová",J592,0)</f>
        <v>0</v>
      </c>
      <c r="BJ592" s="14" t="s">
        <v>82</v>
      </c>
      <c r="BK592" s="166">
        <f>ROUND(I592*H592,2)</f>
        <v>0</v>
      </c>
      <c r="BL592" s="14" t="s">
        <v>213</v>
      </c>
      <c r="BM592" s="165" t="s">
        <v>649</v>
      </c>
    </row>
    <row r="593" spans="1:65" s="209" customFormat="1" ht="12">
      <c r="A593" s="195"/>
      <c r="B593" s="196"/>
      <c r="C593" s="197"/>
      <c r="D593" s="197"/>
      <c r="E593" s="198"/>
      <c r="F593" s="199" t="s">
        <v>3133</v>
      </c>
      <c r="G593" s="228"/>
      <c r="H593" s="201"/>
      <c r="I593" s="194"/>
      <c r="J593" s="194"/>
      <c r="K593" s="202"/>
      <c r="L593" s="203"/>
      <c r="M593" s="204"/>
      <c r="N593" s="205"/>
      <c r="O593" s="206"/>
      <c r="P593" s="207"/>
      <c r="Q593" s="207"/>
      <c r="R593" s="207"/>
      <c r="S593" s="207"/>
      <c r="T593" s="208"/>
      <c r="U593" s="195"/>
      <c r="V593" s="195"/>
      <c r="W593" s="195"/>
      <c r="X593" s="195"/>
      <c r="Y593" s="195"/>
      <c r="Z593" s="195"/>
      <c r="AA593" s="195"/>
      <c r="AB593" s="195"/>
      <c r="AC593" s="195"/>
      <c r="AD593" s="195"/>
      <c r="AE593" s="195"/>
      <c r="AR593" s="210"/>
      <c r="AT593" s="210"/>
      <c r="AU593" s="210"/>
      <c r="AY593" s="211"/>
      <c r="BE593" s="212"/>
      <c r="BF593" s="212"/>
      <c r="BG593" s="212"/>
      <c r="BH593" s="212"/>
      <c r="BI593" s="212"/>
      <c r="BJ593" s="211"/>
      <c r="BK593" s="212"/>
      <c r="BL593" s="211"/>
      <c r="BM593" s="210"/>
    </row>
    <row r="594" spans="1:65" s="209" customFormat="1" ht="12">
      <c r="A594" s="195"/>
      <c r="B594" s="196"/>
      <c r="C594" s="197"/>
      <c r="D594" s="197"/>
      <c r="E594" s="198"/>
      <c r="F594" s="213" t="s">
        <v>3137</v>
      </c>
      <c r="G594" s="228"/>
      <c r="H594" s="201">
        <v>62.3</v>
      </c>
      <c r="I594" s="194"/>
      <c r="J594" s="194"/>
      <c r="K594" s="202"/>
      <c r="L594" s="203"/>
      <c r="M594" s="204"/>
      <c r="N594" s="205"/>
      <c r="O594" s="206"/>
      <c r="P594" s="207"/>
      <c r="Q594" s="207"/>
      <c r="R594" s="207"/>
      <c r="S594" s="207"/>
      <c r="T594" s="208"/>
      <c r="U594" s="195"/>
      <c r="V594" s="195"/>
      <c r="W594" s="195"/>
      <c r="X594" s="195"/>
      <c r="Y594" s="195"/>
      <c r="Z594" s="195"/>
      <c r="AA594" s="195"/>
      <c r="AB594" s="195"/>
      <c r="AC594" s="195"/>
      <c r="AD594" s="195"/>
      <c r="AE594" s="195"/>
      <c r="AR594" s="210"/>
      <c r="AT594" s="210"/>
      <c r="AU594" s="210"/>
      <c r="AY594" s="211"/>
      <c r="BE594" s="212"/>
      <c r="BF594" s="212"/>
      <c r="BG594" s="212"/>
      <c r="BH594" s="212"/>
      <c r="BI594" s="212"/>
      <c r="BJ594" s="211"/>
      <c r="BK594" s="212"/>
      <c r="BL594" s="211"/>
      <c r="BM594" s="210"/>
    </row>
    <row r="595" spans="1:65" s="209" customFormat="1" ht="12">
      <c r="A595" s="195"/>
      <c r="B595" s="196"/>
      <c r="C595" s="197"/>
      <c r="D595" s="197"/>
      <c r="E595" s="198"/>
      <c r="F595" s="187" t="s">
        <v>2983</v>
      </c>
      <c r="G595" s="244"/>
      <c r="H595" s="217">
        <f>ROUNDUP(SUM(H594:H594),1)</f>
        <v>62.3</v>
      </c>
      <c r="I595" s="194"/>
      <c r="J595" s="194"/>
      <c r="K595" s="202"/>
      <c r="L595" s="203"/>
      <c r="M595" s="204"/>
      <c r="N595" s="205"/>
      <c r="O595" s="206"/>
      <c r="P595" s="207"/>
      <c r="Q595" s="207"/>
      <c r="R595" s="207"/>
      <c r="S595" s="207"/>
      <c r="T595" s="208"/>
      <c r="U595" s="195"/>
      <c r="V595" s="195"/>
      <c r="W595" s="195"/>
      <c r="X595" s="195"/>
      <c r="Y595" s="195"/>
      <c r="Z595" s="195"/>
      <c r="AA595" s="195"/>
      <c r="AB595" s="195"/>
      <c r="AC595" s="195"/>
      <c r="AD595" s="195"/>
      <c r="AE595" s="195"/>
      <c r="AR595" s="210"/>
      <c r="AT595" s="210"/>
      <c r="AU595" s="210"/>
      <c r="AY595" s="211"/>
      <c r="BE595" s="212"/>
      <c r="BF595" s="212"/>
      <c r="BG595" s="212"/>
      <c r="BH595" s="212"/>
      <c r="BI595" s="212"/>
      <c r="BJ595" s="211"/>
      <c r="BK595" s="212"/>
      <c r="BL595" s="211"/>
      <c r="BM595" s="210"/>
    </row>
    <row r="596" spans="1:65" s="2" customFormat="1" ht="21.75" customHeight="1">
      <c r="A596" s="29"/>
      <c r="B596" s="152"/>
      <c r="C596" s="153" t="s">
        <v>650</v>
      </c>
      <c r="D596" s="153" t="s">
        <v>181</v>
      </c>
      <c r="E596" s="154" t="s">
        <v>631</v>
      </c>
      <c r="F596" s="155" t="s">
        <v>632</v>
      </c>
      <c r="G596" s="156" t="s">
        <v>585</v>
      </c>
      <c r="H596" s="178"/>
      <c r="I596" s="158"/>
      <c r="J596" s="159">
        <v>0</v>
      </c>
      <c r="K596" s="160"/>
      <c r="L596" s="30"/>
      <c r="M596" s="161" t="s">
        <v>1</v>
      </c>
      <c r="N596" s="162" t="s">
        <v>35</v>
      </c>
      <c r="O596" s="58"/>
      <c r="P596" s="163">
        <f>O596*H596</f>
        <v>0</v>
      </c>
      <c r="Q596" s="163">
        <v>0</v>
      </c>
      <c r="R596" s="163">
        <f>Q596*H596</f>
        <v>0</v>
      </c>
      <c r="S596" s="163">
        <v>0</v>
      </c>
      <c r="T596" s="164">
        <f>S596*H596</f>
        <v>0</v>
      </c>
      <c r="U596" s="29"/>
      <c r="V596" s="29"/>
      <c r="W596" s="29"/>
      <c r="X596" s="29"/>
      <c r="Y596" s="29"/>
      <c r="Z596" s="29"/>
      <c r="AA596" s="29"/>
      <c r="AB596" s="29"/>
      <c r="AC596" s="29"/>
      <c r="AD596" s="29"/>
      <c r="AE596" s="29"/>
      <c r="AR596" s="165" t="s">
        <v>213</v>
      </c>
      <c r="AT596" s="165" t="s">
        <v>181</v>
      </c>
      <c r="AU596" s="165" t="s">
        <v>82</v>
      </c>
      <c r="AY596" s="14" t="s">
        <v>179</v>
      </c>
      <c r="BE596" s="166">
        <f>IF(N596="základná",J596,0)</f>
        <v>0</v>
      </c>
      <c r="BF596" s="166">
        <f>IF(N596="znížená",J596,0)</f>
        <v>0</v>
      </c>
      <c r="BG596" s="166">
        <f>IF(N596="zákl. prenesená",J596,0)</f>
        <v>0</v>
      </c>
      <c r="BH596" s="166">
        <f>IF(N596="zníž. prenesená",J596,0)</f>
        <v>0</v>
      </c>
      <c r="BI596" s="166">
        <f>IF(N596="nulová",J596,0)</f>
        <v>0</v>
      </c>
      <c r="BJ596" s="14" t="s">
        <v>82</v>
      </c>
      <c r="BK596" s="166">
        <f>ROUND(I596*H596,2)</f>
        <v>0</v>
      </c>
      <c r="BL596" s="14" t="s">
        <v>213</v>
      </c>
      <c r="BM596" s="165" t="s">
        <v>651</v>
      </c>
    </row>
    <row r="597" spans="1:65" s="12" customFormat="1" ht="22.9" customHeight="1">
      <c r="B597" s="139"/>
      <c r="D597" s="140" t="s">
        <v>68</v>
      </c>
      <c r="E597" s="150" t="s">
        <v>652</v>
      </c>
      <c r="F597" s="150" t="s">
        <v>653</v>
      </c>
      <c r="I597" s="142"/>
      <c r="J597" s="151">
        <v>0</v>
      </c>
      <c r="L597" s="139"/>
      <c r="M597" s="144"/>
      <c r="N597" s="145"/>
      <c r="O597" s="145"/>
      <c r="P597" s="146">
        <f>SUM(P598:P646)</f>
        <v>0</v>
      </c>
      <c r="Q597" s="145"/>
      <c r="R597" s="146">
        <f>SUM(R598:R646)</f>
        <v>0</v>
      </c>
      <c r="S597" s="145"/>
      <c r="T597" s="147">
        <f>SUM(T598:T646)</f>
        <v>0.34055200000000002</v>
      </c>
      <c r="AR597" s="140" t="s">
        <v>82</v>
      </c>
      <c r="AT597" s="148" t="s">
        <v>68</v>
      </c>
      <c r="AU597" s="148" t="s">
        <v>76</v>
      </c>
      <c r="AY597" s="140" t="s">
        <v>179</v>
      </c>
      <c r="BK597" s="149">
        <f>SUM(BK598:BK646)</f>
        <v>0</v>
      </c>
    </row>
    <row r="598" spans="1:65" s="2" customFormat="1" ht="24.2" customHeight="1">
      <c r="A598" s="29"/>
      <c r="B598" s="152"/>
      <c r="C598" s="153" t="s">
        <v>425</v>
      </c>
      <c r="D598" s="153" t="s">
        <v>181</v>
      </c>
      <c r="E598" s="154" t="s">
        <v>654</v>
      </c>
      <c r="F598" s="155" t="s">
        <v>655</v>
      </c>
      <c r="G598" s="156" t="s">
        <v>293</v>
      </c>
      <c r="H598" s="157">
        <v>5.82</v>
      </c>
      <c r="I598" s="158"/>
      <c r="J598" s="159">
        <v>0</v>
      </c>
      <c r="K598" s="160"/>
      <c r="L598" s="30"/>
      <c r="M598" s="161" t="s">
        <v>1</v>
      </c>
      <c r="N598" s="162" t="s">
        <v>35</v>
      </c>
      <c r="O598" s="58"/>
      <c r="P598" s="163">
        <f t="shared" ref="P598:P646" si="55">O598*H598</f>
        <v>0</v>
      </c>
      <c r="Q598" s="163">
        <v>0</v>
      </c>
      <c r="R598" s="163">
        <f t="shared" ref="R598:R646" si="56">Q598*H598</f>
        <v>0</v>
      </c>
      <c r="S598" s="163">
        <v>0</v>
      </c>
      <c r="T598" s="164">
        <f t="shared" ref="T598:T646" si="57">S598*H598</f>
        <v>0</v>
      </c>
      <c r="U598" s="29"/>
      <c r="V598" s="29"/>
      <c r="W598" s="29"/>
      <c r="X598" s="29"/>
      <c r="Y598" s="29"/>
      <c r="Z598" s="29"/>
      <c r="AA598" s="29"/>
      <c r="AB598" s="29"/>
      <c r="AC598" s="29"/>
      <c r="AD598" s="29"/>
      <c r="AE598" s="29"/>
      <c r="AR598" s="165" t="s">
        <v>213</v>
      </c>
      <c r="AT598" s="165" t="s">
        <v>181</v>
      </c>
      <c r="AU598" s="165" t="s">
        <v>82</v>
      </c>
      <c r="AY598" s="14" t="s">
        <v>179</v>
      </c>
      <c r="BE598" s="166">
        <f t="shared" ref="BE598:BE646" si="58">IF(N598="základná",J598,0)</f>
        <v>0</v>
      </c>
      <c r="BF598" s="166">
        <f t="shared" ref="BF598:BF646" si="59">IF(N598="znížená",J598,0)</f>
        <v>0</v>
      </c>
      <c r="BG598" s="166">
        <f t="shared" ref="BG598:BG646" si="60">IF(N598="zákl. prenesená",J598,0)</f>
        <v>0</v>
      </c>
      <c r="BH598" s="166">
        <f t="shared" ref="BH598:BH646" si="61">IF(N598="zníž. prenesená",J598,0)</f>
        <v>0</v>
      </c>
      <c r="BI598" s="166">
        <f t="shared" ref="BI598:BI646" si="62">IF(N598="nulová",J598,0)</f>
        <v>0</v>
      </c>
      <c r="BJ598" s="14" t="s">
        <v>82</v>
      </c>
      <c r="BK598" s="166">
        <f t="shared" ref="BK598:BK646" si="63">ROUND(I598*H598,2)</f>
        <v>0</v>
      </c>
      <c r="BL598" s="14" t="s">
        <v>213</v>
      </c>
      <c r="BM598" s="165" t="s">
        <v>656</v>
      </c>
    </row>
    <row r="599" spans="1:65" s="209" customFormat="1" ht="12">
      <c r="A599" s="195"/>
      <c r="B599" s="196"/>
      <c r="C599" s="197"/>
      <c r="D599" s="197"/>
      <c r="E599" s="198"/>
      <c r="F599" s="184" t="s">
        <v>3140</v>
      </c>
      <c r="G599" s="185"/>
      <c r="H599" s="192">
        <v>4.5</v>
      </c>
      <c r="I599" s="194"/>
      <c r="J599" s="194"/>
      <c r="K599" s="202"/>
      <c r="L599" s="203"/>
      <c r="M599" s="204"/>
      <c r="N599" s="205"/>
      <c r="O599" s="206"/>
      <c r="P599" s="207"/>
      <c r="Q599" s="207"/>
      <c r="R599" s="207"/>
      <c r="S599" s="207"/>
      <c r="T599" s="208"/>
      <c r="U599" s="195"/>
      <c r="V599" s="195"/>
      <c r="W599" s="195"/>
      <c r="X599" s="195"/>
      <c r="Y599" s="195"/>
      <c r="Z599" s="195"/>
      <c r="AA599" s="195"/>
      <c r="AB599" s="195"/>
      <c r="AC599" s="195"/>
      <c r="AD599" s="195"/>
      <c r="AE599" s="195"/>
      <c r="AR599" s="210"/>
      <c r="AT599" s="210"/>
      <c r="AU599" s="210"/>
      <c r="AY599" s="211"/>
      <c r="BE599" s="212"/>
      <c r="BF599" s="212"/>
      <c r="BG599" s="212"/>
      <c r="BH599" s="212"/>
      <c r="BI599" s="212"/>
      <c r="BJ599" s="211"/>
      <c r="BK599" s="212"/>
      <c r="BL599" s="211"/>
      <c r="BM599" s="210"/>
    </row>
    <row r="600" spans="1:65" s="209" customFormat="1" ht="12">
      <c r="A600" s="195"/>
      <c r="B600" s="196"/>
      <c r="C600" s="197"/>
      <c r="D600" s="197"/>
      <c r="E600" s="198"/>
      <c r="F600" s="184" t="s">
        <v>3141</v>
      </c>
      <c r="G600" s="185"/>
      <c r="H600" s="192">
        <v>1.32</v>
      </c>
      <c r="I600" s="194"/>
      <c r="J600" s="194"/>
      <c r="K600" s="202"/>
      <c r="L600" s="203"/>
      <c r="M600" s="204"/>
      <c r="N600" s="205"/>
      <c r="O600" s="206"/>
      <c r="P600" s="207"/>
      <c r="Q600" s="207"/>
      <c r="R600" s="207"/>
      <c r="S600" s="207"/>
      <c r="T600" s="208"/>
      <c r="U600" s="195"/>
      <c r="V600" s="195"/>
      <c r="W600" s="195"/>
      <c r="X600" s="195"/>
      <c r="Y600" s="195"/>
      <c r="Z600" s="195"/>
      <c r="AA600" s="195"/>
      <c r="AB600" s="195"/>
      <c r="AC600" s="195"/>
      <c r="AD600" s="195"/>
      <c r="AE600" s="195"/>
      <c r="AR600" s="210"/>
      <c r="AT600" s="210"/>
      <c r="AU600" s="210"/>
      <c r="AY600" s="211"/>
      <c r="BE600" s="212"/>
      <c r="BF600" s="212"/>
      <c r="BG600" s="212"/>
      <c r="BH600" s="212"/>
      <c r="BI600" s="212"/>
      <c r="BJ600" s="211"/>
      <c r="BK600" s="212"/>
      <c r="BL600" s="211"/>
      <c r="BM600" s="210"/>
    </row>
    <row r="601" spans="1:65" s="209" customFormat="1" ht="12">
      <c r="A601" s="195"/>
      <c r="B601" s="196"/>
      <c r="C601" s="197"/>
      <c r="D601" s="197"/>
      <c r="E601" s="198"/>
      <c r="F601" s="187" t="s">
        <v>2983</v>
      </c>
      <c r="G601" s="188"/>
      <c r="H601" s="189">
        <f>SUM(H599:H600)</f>
        <v>5.82</v>
      </c>
      <c r="I601" s="194"/>
      <c r="J601" s="194"/>
      <c r="K601" s="202"/>
      <c r="L601" s="203"/>
      <c r="M601" s="204"/>
      <c r="N601" s="205"/>
      <c r="O601" s="206"/>
      <c r="P601" s="207"/>
      <c r="Q601" s="207"/>
      <c r="R601" s="207"/>
      <c r="S601" s="207"/>
      <c r="T601" s="208"/>
      <c r="U601" s="195"/>
      <c r="V601" s="195"/>
      <c r="W601" s="195"/>
      <c r="X601" s="195"/>
      <c r="Y601" s="195"/>
      <c r="Z601" s="195"/>
      <c r="AA601" s="195"/>
      <c r="AB601" s="195"/>
      <c r="AC601" s="195"/>
      <c r="AD601" s="195"/>
      <c r="AE601" s="195"/>
      <c r="AR601" s="210"/>
      <c r="AT601" s="210"/>
      <c r="AU601" s="210"/>
      <c r="AY601" s="211"/>
      <c r="BE601" s="212"/>
      <c r="BF601" s="212"/>
      <c r="BG601" s="212"/>
      <c r="BH601" s="212"/>
      <c r="BI601" s="212"/>
      <c r="BJ601" s="211"/>
      <c r="BK601" s="212"/>
      <c r="BL601" s="211"/>
      <c r="BM601" s="210"/>
    </row>
    <row r="602" spans="1:65" s="2" customFormat="1" ht="24.2" customHeight="1">
      <c r="A602" s="29"/>
      <c r="B602" s="152"/>
      <c r="C602" s="153" t="s">
        <v>657</v>
      </c>
      <c r="D602" s="153" t="s">
        <v>181</v>
      </c>
      <c r="E602" s="154" t="s">
        <v>658</v>
      </c>
      <c r="F602" s="155" t="s">
        <v>659</v>
      </c>
      <c r="G602" s="156" t="s">
        <v>293</v>
      </c>
      <c r="H602" s="157">
        <v>136.80000000000001</v>
      </c>
      <c r="I602" s="158"/>
      <c r="J602" s="159">
        <v>0</v>
      </c>
      <c r="K602" s="160"/>
      <c r="L602" s="30"/>
      <c r="M602" s="161" t="s">
        <v>1</v>
      </c>
      <c r="N602" s="162" t="s">
        <v>35</v>
      </c>
      <c r="O602" s="58"/>
      <c r="P602" s="163">
        <f t="shared" si="55"/>
        <v>0</v>
      </c>
      <c r="Q602" s="163">
        <v>0</v>
      </c>
      <c r="R602" s="163">
        <f t="shared" si="56"/>
        <v>0</v>
      </c>
      <c r="S602" s="163">
        <v>0</v>
      </c>
      <c r="T602" s="164">
        <f t="shared" si="57"/>
        <v>0</v>
      </c>
      <c r="U602" s="29"/>
      <c r="V602" s="29"/>
      <c r="W602" s="29"/>
      <c r="X602" s="29"/>
      <c r="Y602" s="29"/>
      <c r="Z602" s="29"/>
      <c r="AA602" s="29"/>
      <c r="AB602" s="29"/>
      <c r="AC602" s="29"/>
      <c r="AD602" s="29"/>
      <c r="AE602" s="29"/>
      <c r="AR602" s="165" t="s">
        <v>213</v>
      </c>
      <c r="AT602" s="165" t="s">
        <v>181</v>
      </c>
      <c r="AU602" s="165" t="s">
        <v>82</v>
      </c>
      <c r="AY602" s="14" t="s">
        <v>179</v>
      </c>
      <c r="BE602" s="166">
        <f t="shared" si="58"/>
        <v>0</v>
      </c>
      <c r="BF602" s="166">
        <f t="shared" si="59"/>
        <v>0</v>
      </c>
      <c r="BG602" s="166">
        <f t="shared" si="60"/>
        <v>0</v>
      </c>
      <c r="BH602" s="166">
        <f t="shared" si="61"/>
        <v>0</v>
      </c>
      <c r="BI602" s="166">
        <f t="shared" si="62"/>
        <v>0</v>
      </c>
      <c r="BJ602" s="14" t="s">
        <v>82</v>
      </c>
      <c r="BK602" s="166">
        <f t="shared" si="63"/>
        <v>0</v>
      </c>
      <c r="BL602" s="14" t="s">
        <v>213</v>
      </c>
      <c r="BM602" s="165" t="s">
        <v>660</v>
      </c>
    </row>
    <row r="603" spans="1:65" s="209" customFormat="1" ht="12">
      <c r="A603" s="195"/>
      <c r="B603" s="196"/>
      <c r="C603" s="197"/>
      <c r="D603" s="197"/>
      <c r="E603" s="198"/>
      <c r="F603" s="184" t="s">
        <v>3142</v>
      </c>
      <c r="G603" s="185"/>
      <c r="H603" s="192">
        <v>136.80000000000001</v>
      </c>
      <c r="I603" s="194"/>
      <c r="J603" s="194"/>
      <c r="K603" s="202"/>
      <c r="L603" s="203"/>
      <c r="M603" s="204"/>
      <c r="N603" s="205"/>
      <c r="O603" s="206"/>
      <c r="P603" s="207"/>
      <c r="Q603" s="207"/>
      <c r="R603" s="207"/>
      <c r="S603" s="207"/>
      <c r="T603" s="208"/>
      <c r="U603" s="195"/>
      <c r="V603" s="195"/>
      <c r="W603" s="195"/>
      <c r="X603" s="195"/>
      <c r="Y603" s="195"/>
      <c r="Z603" s="195"/>
      <c r="AA603" s="195"/>
      <c r="AB603" s="195"/>
      <c r="AC603" s="195"/>
      <c r="AD603" s="195"/>
      <c r="AE603" s="195"/>
      <c r="AR603" s="210"/>
      <c r="AT603" s="210"/>
      <c r="AU603" s="210"/>
      <c r="AY603" s="211"/>
      <c r="BE603" s="212"/>
      <c r="BF603" s="212"/>
      <c r="BG603" s="212"/>
      <c r="BH603" s="212"/>
      <c r="BI603" s="212"/>
      <c r="BJ603" s="211"/>
      <c r="BK603" s="212"/>
      <c r="BL603" s="211"/>
      <c r="BM603" s="210"/>
    </row>
    <row r="604" spans="1:65" s="209" customFormat="1" ht="12">
      <c r="A604" s="195"/>
      <c r="B604" s="196"/>
      <c r="C604" s="197"/>
      <c r="D604" s="197"/>
      <c r="E604" s="198"/>
      <c r="F604" s="187" t="s">
        <v>2983</v>
      </c>
      <c r="G604" s="188"/>
      <c r="H604" s="189">
        <f>SUM(H603:H603)</f>
        <v>136.80000000000001</v>
      </c>
      <c r="I604" s="194"/>
      <c r="J604" s="194"/>
      <c r="K604" s="202"/>
      <c r="L604" s="203"/>
      <c r="M604" s="204"/>
      <c r="N604" s="205"/>
      <c r="O604" s="206"/>
      <c r="P604" s="207"/>
      <c r="Q604" s="207"/>
      <c r="R604" s="207"/>
      <c r="S604" s="207"/>
      <c r="T604" s="208"/>
      <c r="U604" s="195"/>
      <c r="V604" s="195"/>
      <c r="W604" s="195"/>
      <c r="X604" s="195"/>
      <c r="Y604" s="195"/>
      <c r="Z604" s="195"/>
      <c r="AA604" s="195"/>
      <c r="AB604" s="195"/>
      <c r="AC604" s="195"/>
      <c r="AD604" s="195"/>
      <c r="AE604" s="195"/>
      <c r="AR604" s="210"/>
      <c r="AT604" s="210"/>
      <c r="AU604" s="210"/>
      <c r="AY604" s="211"/>
      <c r="BE604" s="212"/>
      <c r="BF604" s="212"/>
      <c r="BG604" s="212"/>
      <c r="BH604" s="212"/>
      <c r="BI604" s="212"/>
      <c r="BJ604" s="211"/>
      <c r="BK604" s="212"/>
      <c r="BL604" s="211"/>
      <c r="BM604" s="210"/>
    </row>
    <row r="605" spans="1:65" s="2" customFormat="1" ht="24.2" customHeight="1">
      <c r="A605" s="29"/>
      <c r="B605" s="152"/>
      <c r="C605" s="153" t="s">
        <v>428</v>
      </c>
      <c r="D605" s="153" t="s">
        <v>181</v>
      </c>
      <c r="E605" s="154" t="s">
        <v>661</v>
      </c>
      <c r="F605" s="155" t="s">
        <v>662</v>
      </c>
      <c r="G605" s="156" t="s">
        <v>293</v>
      </c>
      <c r="H605" s="157">
        <v>4.5</v>
      </c>
      <c r="I605" s="158"/>
      <c r="J605" s="159">
        <v>0</v>
      </c>
      <c r="K605" s="160"/>
      <c r="L605" s="30"/>
      <c r="M605" s="161" t="s">
        <v>1</v>
      </c>
      <c r="N605" s="162" t="s">
        <v>35</v>
      </c>
      <c r="O605" s="58"/>
      <c r="P605" s="163">
        <f t="shared" si="55"/>
        <v>0</v>
      </c>
      <c r="Q605" s="163">
        <v>0</v>
      </c>
      <c r="R605" s="163">
        <f t="shared" si="56"/>
        <v>0</v>
      </c>
      <c r="S605" s="163">
        <v>0</v>
      </c>
      <c r="T605" s="164">
        <f t="shared" si="57"/>
        <v>0</v>
      </c>
      <c r="U605" s="29"/>
      <c r="V605" s="29"/>
      <c r="W605" s="29"/>
      <c r="X605" s="29"/>
      <c r="Y605" s="29"/>
      <c r="Z605" s="29"/>
      <c r="AA605" s="29"/>
      <c r="AB605" s="29"/>
      <c r="AC605" s="29"/>
      <c r="AD605" s="29"/>
      <c r="AE605" s="29"/>
      <c r="AR605" s="165" t="s">
        <v>213</v>
      </c>
      <c r="AT605" s="165" t="s">
        <v>181</v>
      </c>
      <c r="AU605" s="165" t="s">
        <v>82</v>
      </c>
      <c r="AY605" s="14" t="s">
        <v>179</v>
      </c>
      <c r="BE605" s="166">
        <f t="shared" si="58"/>
        <v>0</v>
      </c>
      <c r="BF605" s="166">
        <f t="shared" si="59"/>
        <v>0</v>
      </c>
      <c r="BG605" s="166">
        <f t="shared" si="60"/>
        <v>0</v>
      </c>
      <c r="BH605" s="166">
        <f t="shared" si="61"/>
        <v>0</v>
      </c>
      <c r="BI605" s="166">
        <f t="shared" si="62"/>
        <v>0</v>
      </c>
      <c r="BJ605" s="14" t="s">
        <v>82</v>
      </c>
      <c r="BK605" s="166">
        <f t="shared" si="63"/>
        <v>0</v>
      </c>
      <c r="BL605" s="14" t="s">
        <v>213</v>
      </c>
      <c r="BM605" s="165" t="s">
        <v>663</v>
      </c>
    </row>
    <row r="606" spans="1:65" s="209" customFormat="1" ht="22.5">
      <c r="A606" s="195"/>
      <c r="B606" s="196"/>
      <c r="C606" s="197"/>
      <c r="D606" s="197"/>
      <c r="E606" s="198"/>
      <c r="F606" s="213" t="s">
        <v>3143</v>
      </c>
      <c r="G606" s="200"/>
      <c r="H606" s="201">
        <v>4.5</v>
      </c>
      <c r="I606" s="194"/>
      <c r="J606" s="194"/>
      <c r="K606" s="202"/>
      <c r="L606" s="203"/>
      <c r="M606" s="204"/>
      <c r="N606" s="205"/>
      <c r="O606" s="206"/>
      <c r="P606" s="207"/>
      <c r="Q606" s="207"/>
      <c r="R606" s="207"/>
      <c r="S606" s="207"/>
      <c r="T606" s="208"/>
      <c r="U606" s="195"/>
      <c r="V606" s="195"/>
      <c r="W606" s="195"/>
      <c r="X606" s="195"/>
      <c r="Y606" s="195"/>
      <c r="Z606" s="195"/>
      <c r="AA606" s="195"/>
      <c r="AB606" s="195"/>
      <c r="AC606" s="195"/>
      <c r="AD606" s="195"/>
      <c r="AE606" s="195"/>
      <c r="AR606" s="210"/>
      <c r="AT606" s="210"/>
      <c r="AU606" s="210"/>
      <c r="AY606" s="211"/>
      <c r="BE606" s="212"/>
      <c r="BF606" s="212"/>
      <c r="BG606" s="212"/>
      <c r="BH606" s="212"/>
      <c r="BI606" s="212"/>
      <c r="BJ606" s="211"/>
      <c r="BK606" s="212"/>
      <c r="BL606" s="211"/>
      <c r="BM606" s="210"/>
    </row>
    <row r="607" spans="1:65" s="209" customFormat="1" ht="12">
      <c r="A607" s="195"/>
      <c r="B607" s="196"/>
      <c r="C607" s="197"/>
      <c r="D607" s="197"/>
      <c r="E607" s="198"/>
      <c r="F607" s="215" t="s">
        <v>2983</v>
      </c>
      <c r="G607" s="216"/>
      <c r="H607" s="217">
        <f>SUM(H606:H606)</f>
        <v>4.5</v>
      </c>
      <c r="I607" s="194"/>
      <c r="J607" s="194"/>
      <c r="K607" s="202"/>
      <c r="L607" s="203"/>
      <c r="M607" s="204"/>
      <c r="N607" s="205"/>
      <c r="O607" s="206"/>
      <c r="P607" s="207"/>
      <c r="Q607" s="207"/>
      <c r="R607" s="207"/>
      <c r="S607" s="207"/>
      <c r="T607" s="208"/>
      <c r="U607" s="195"/>
      <c r="V607" s="195"/>
      <c r="W607" s="195"/>
      <c r="X607" s="195"/>
      <c r="Y607" s="195"/>
      <c r="Z607" s="195"/>
      <c r="AA607" s="195"/>
      <c r="AB607" s="195"/>
      <c r="AC607" s="195"/>
      <c r="AD607" s="195"/>
      <c r="AE607" s="195"/>
      <c r="AR607" s="210"/>
      <c r="AT607" s="210"/>
      <c r="AU607" s="210"/>
      <c r="AY607" s="211"/>
      <c r="BE607" s="212"/>
      <c r="BF607" s="212"/>
      <c r="BG607" s="212"/>
      <c r="BH607" s="212"/>
      <c r="BI607" s="212"/>
      <c r="BJ607" s="211"/>
      <c r="BK607" s="212"/>
      <c r="BL607" s="211"/>
      <c r="BM607" s="210"/>
    </row>
    <row r="608" spans="1:65" s="2" customFormat="1" ht="24.2" customHeight="1">
      <c r="A608" s="29"/>
      <c r="B608" s="152"/>
      <c r="C608" s="153" t="s">
        <v>664</v>
      </c>
      <c r="D608" s="153" t="s">
        <v>181</v>
      </c>
      <c r="E608" s="154" t="s">
        <v>665</v>
      </c>
      <c r="F608" s="155" t="s">
        <v>666</v>
      </c>
      <c r="G608" s="156" t="s">
        <v>293</v>
      </c>
      <c r="H608" s="157">
        <v>4.5</v>
      </c>
      <c r="I608" s="158"/>
      <c r="J608" s="159">
        <v>0</v>
      </c>
      <c r="K608" s="160"/>
      <c r="L608" s="30"/>
      <c r="M608" s="161" t="s">
        <v>1</v>
      </c>
      <c r="N608" s="162" t="s">
        <v>35</v>
      </c>
      <c r="O608" s="58"/>
      <c r="P608" s="163">
        <f t="shared" si="55"/>
        <v>0</v>
      </c>
      <c r="Q608" s="163">
        <v>0</v>
      </c>
      <c r="R608" s="163">
        <f t="shared" si="56"/>
        <v>0</v>
      </c>
      <c r="S608" s="163">
        <v>0</v>
      </c>
      <c r="T608" s="164">
        <f t="shared" si="57"/>
        <v>0</v>
      </c>
      <c r="U608" s="29"/>
      <c r="V608" s="29"/>
      <c r="W608" s="29"/>
      <c r="X608" s="29"/>
      <c r="Y608" s="29"/>
      <c r="Z608" s="29"/>
      <c r="AA608" s="29"/>
      <c r="AB608" s="29"/>
      <c r="AC608" s="29"/>
      <c r="AD608" s="29"/>
      <c r="AE608" s="29"/>
      <c r="AR608" s="165" t="s">
        <v>213</v>
      </c>
      <c r="AT608" s="165" t="s">
        <v>181</v>
      </c>
      <c r="AU608" s="165" t="s">
        <v>82</v>
      </c>
      <c r="AY608" s="14" t="s">
        <v>179</v>
      </c>
      <c r="BE608" s="166">
        <f t="shared" si="58"/>
        <v>0</v>
      </c>
      <c r="BF608" s="166">
        <f t="shared" si="59"/>
        <v>0</v>
      </c>
      <c r="BG608" s="166">
        <f t="shared" si="60"/>
        <v>0</v>
      </c>
      <c r="BH608" s="166">
        <f t="shared" si="61"/>
        <v>0</v>
      </c>
      <c r="BI608" s="166">
        <f t="shared" si="62"/>
        <v>0</v>
      </c>
      <c r="BJ608" s="14" t="s">
        <v>82</v>
      </c>
      <c r="BK608" s="166">
        <f t="shared" si="63"/>
        <v>0</v>
      </c>
      <c r="BL608" s="14" t="s">
        <v>213</v>
      </c>
      <c r="BM608" s="165" t="s">
        <v>667</v>
      </c>
    </row>
    <row r="609" spans="1:65" s="209" customFormat="1" ht="22.5">
      <c r="A609" s="195"/>
      <c r="B609" s="196"/>
      <c r="C609" s="197"/>
      <c r="D609" s="197"/>
      <c r="E609" s="198"/>
      <c r="F609" s="213" t="s">
        <v>3144</v>
      </c>
      <c r="G609" s="200"/>
      <c r="H609" s="201">
        <v>4.5</v>
      </c>
      <c r="I609" s="194"/>
      <c r="J609" s="194"/>
      <c r="K609" s="202"/>
      <c r="L609" s="203"/>
      <c r="M609" s="204"/>
      <c r="N609" s="205"/>
      <c r="O609" s="206"/>
      <c r="P609" s="207"/>
      <c r="Q609" s="207"/>
      <c r="R609" s="207"/>
      <c r="S609" s="207"/>
      <c r="T609" s="208"/>
      <c r="U609" s="195"/>
      <c r="V609" s="195"/>
      <c r="W609" s="195"/>
      <c r="X609" s="195"/>
      <c r="Y609" s="195"/>
      <c r="Z609" s="195"/>
      <c r="AA609" s="195"/>
      <c r="AB609" s="195"/>
      <c r="AC609" s="195"/>
      <c r="AD609" s="195"/>
      <c r="AE609" s="195"/>
      <c r="AR609" s="210"/>
      <c r="AT609" s="210"/>
      <c r="AU609" s="210"/>
      <c r="AY609" s="211"/>
      <c r="BE609" s="212"/>
      <c r="BF609" s="212"/>
      <c r="BG609" s="212"/>
      <c r="BH609" s="212"/>
      <c r="BI609" s="212"/>
      <c r="BJ609" s="211"/>
      <c r="BK609" s="212"/>
      <c r="BL609" s="211"/>
      <c r="BM609" s="210"/>
    </row>
    <row r="610" spans="1:65" s="209" customFormat="1" ht="12">
      <c r="A610" s="195"/>
      <c r="B610" s="196"/>
      <c r="C610" s="197"/>
      <c r="D610" s="197"/>
      <c r="E610" s="198"/>
      <c r="F610" s="215" t="s">
        <v>2983</v>
      </c>
      <c r="G610" s="216"/>
      <c r="H610" s="217">
        <f>SUM(H609:H609)</f>
        <v>4.5</v>
      </c>
      <c r="I610" s="194"/>
      <c r="J610" s="194"/>
      <c r="K610" s="202"/>
      <c r="L610" s="203"/>
      <c r="M610" s="204"/>
      <c r="N610" s="205"/>
      <c r="O610" s="206"/>
      <c r="P610" s="207"/>
      <c r="Q610" s="207"/>
      <c r="R610" s="207"/>
      <c r="S610" s="207"/>
      <c r="T610" s="208"/>
      <c r="U610" s="195"/>
      <c r="V610" s="195"/>
      <c r="W610" s="195"/>
      <c r="X610" s="195"/>
      <c r="Y610" s="195"/>
      <c r="Z610" s="195"/>
      <c r="AA610" s="195"/>
      <c r="AB610" s="195"/>
      <c r="AC610" s="195"/>
      <c r="AD610" s="195"/>
      <c r="AE610" s="195"/>
      <c r="AR610" s="210"/>
      <c r="AT610" s="210"/>
      <c r="AU610" s="210"/>
      <c r="AY610" s="211"/>
      <c r="BE610" s="212"/>
      <c r="BF610" s="212"/>
      <c r="BG610" s="212"/>
      <c r="BH610" s="212"/>
      <c r="BI610" s="212"/>
      <c r="BJ610" s="211"/>
      <c r="BK610" s="212"/>
      <c r="BL610" s="211"/>
      <c r="BM610" s="210"/>
    </row>
    <row r="611" spans="1:65" s="2" customFormat="1" ht="24.2" customHeight="1">
      <c r="A611" s="29"/>
      <c r="B611" s="152"/>
      <c r="C611" s="153" t="s">
        <v>432</v>
      </c>
      <c r="D611" s="153" t="s">
        <v>181</v>
      </c>
      <c r="E611" s="154" t="s">
        <v>668</v>
      </c>
      <c r="F611" s="155" t="s">
        <v>669</v>
      </c>
      <c r="G611" s="156" t="s">
        <v>293</v>
      </c>
      <c r="H611" s="157">
        <v>5.68</v>
      </c>
      <c r="I611" s="158"/>
      <c r="J611" s="159">
        <v>0</v>
      </c>
      <c r="K611" s="160"/>
      <c r="L611" s="30"/>
      <c r="M611" s="161" t="s">
        <v>1</v>
      </c>
      <c r="N611" s="162" t="s">
        <v>35</v>
      </c>
      <c r="O611" s="58"/>
      <c r="P611" s="163">
        <f t="shared" si="55"/>
        <v>0</v>
      </c>
      <c r="Q611" s="163">
        <v>0</v>
      </c>
      <c r="R611" s="163">
        <f t="shared" si="56"/>
        <v>0</v>
      </c>
      <c r="S611" s="163">
        <v>0</v>
      </c>
      <c r="T611" s="164">
        <f t="shared" si="57"/>
        <v>0</v>
      </c>
      <c r="U611" s="29"/>
      <c r="V611" s="29"/>
      <c r="W611" s="29"/>
      <c r="X611" s="29"/>
      <c r="Y611" s="29"/>
      <c r="Z611" s="29"/>
      <c r="AA611" s="29"/>
      <c r="AB611" s="29"/>
      <c r="AC611" s="29"/>
      <c r="AD611" s="29"/>
      <c r="AE611" s="29"/>
      <c r="AR611" s="165" t="s">
        <v>213</v>
      </c>
      <c r="AT611" s="165" t="s">
        <v>181</v>
      </c>
      <c r="AU611" s="165" t="s">
        <v>82</v>
      </c>
      <c r="AY611" s="14" t="s">
        <v>179</v>
      </c>
      <c r="BE611" s="166">
        <f t="shared" si="58"/>
        <v>0</v>
      </c>
      <c r="BF611" s="166">
        <f t="shared" si="59"/>
        <v>0</v>
      </c>
      <c r="BG611" s="166">
        <f t="shared" si="60"/>
        <v>0</v>
      </c>
      <c r="BH611" s="166">
        <f t="shared" si="61"/>
        <v>0</v>
      </c>
      <c r="BI611" s="166">
        <f t="shared" si="62"/>
        <v>0</v>
      </c>
      <c r="BJ611" s="14" t="s">
        <v>82</v>
      </c>
      <c r="BK611" s="166">
        <f t="shared" si="63"/>
        <v>0</v>
      </c>
      <c r="BL611" s="14" t="s">
        <v>213</v>
      </c>
      <c r="BM611" s="165" t="s">
        <v>670</v>
      </c>
    </row>
    <row r="612" spans="1:65" s="209" customFormat="1" ht="12">
      <c r="A612" s="195"/>
      <c r="B612" s="196"/>
      <c r="C612" s="197"/>
      <c r="D612" s="197"/>
      <c r="E612" s="198"/>
      <c r="F612" s="184" t="s">
        <v>3145</v>
      </c>
      <c r="G612" s="185"/>
      <c r="H612" s="192">
        <v>4.5</v>
      </c>
      <c r="I612" s="194"/>
      <c r="J612" s="194"/>
      <c r="K612" s="202"/>
      <c r="L612" s="203"/>
      <c r="M612" s="204"/>
      <c r="N612" s="205"/>
      <c r="O612" s="206"/>
      <c r="P612" s="207"/>
      <c r="Q612" s="207"/>
      <c r="R612" s="207"/>
      <c r="S612" s="207"/>
      <c r="T612" s="208"/>
      <c r="U612" s="195"/>
      <c r="V612" s="195"/>
      <c r="W612" s="195"/>
      <c r="X612" s="195"/>
      <c r="Y612" s="195"/>
      <c r="Z612" s="195"/>
      <c r="AA612" s="195"/>
      <c r="AB612" s="195"/>
      <c r="AC612" s="195"/>
      <c r="AD612" s="195"/>
      <c r="AE612" s="195"/>
      <c r="AR612" s="210"/>
      <c r="AT612" s="210"/>
      <c r="AU612" s="210"/>
      <c r="AY612" s="211"/>
      <c r="BE612" s="212"/>
      <c r="BF612" s="212"/>
      <c r="BG612" s="212"/>
      <c r="BH612" s="212"/>
      <c r="BI612" s="212"/>
      <c r="BJ612" s="211"/>
      <c r="BK612" s="212"/>
      <c r="BL612" s="211"/>
      <c r="BM612" s="210"/>
    </row>
    <row r="613" spans="1:65" s="209" customFormat="1" ht="12">
      <c r="A613" s="195"/>
      <c r="B613" s="196"/>
      <c r="C613" s="197"/>
      <c r="D613" s="197"/>
      <c r="E613" s="198"/>
      <c r="F613" s="184" t="s">
        <v>3146</v>
      </c>
      <c r="G613" s="185"/>
      <c r="H613" s="192">
        <v>1.18</v>
      </c>
      <c r="I613" s="194"/>
      <c r="J613" s="194"/>
      <c r="K613" s="202"/>
      <c r="L613" s="203"/>
      <c r="M613" s="204"/>
      <c r="N613" s="205"/>
      <c r="O613" s="206"/>
      <c r="P613" s="207"/>
      <c r="Q613" s="207"/>
      <c r="R613" s="207"/>
      <c r="S613" s="207"/>
      <c r="T613" s="208"/>
      <c r="U613" s="195"/>
      <c r="V613" s="195"/>
      <c r="W613" s="195"/>
      <c r="X613" s="195"/>
      <c r="Y613" s="195"/>
      <c r="Z613" s="195"/>
      <c r="AA613" s="195"/>
      <c r="AB613" s="195"/>
      <c r="AC613" s="195"/>
      <c r="AD613" s="195"/>
      <c r="AE613" s="195"/>
      <c r="AR613" s="210"/>
      <c r="AT613" s="210"/>
      <c r="AU613" s="210"/>
      <c r="AY613" s="211"/>
      <c r="BE613" s="212"/>
      <c r="BF613" s="212"/>
      <c r="BG613" s="212"/>
      <c r="BH613" s="212"/>
      <c r="BI613" s="212"/>
      <c r="BJ613" s="211"/>
      <c r="BK613" s="212"/>
      <c r="BL613" s="211"/>
      <c r="BM613" s="210"/>
    </row>
    <row r="614" spans="1:65" s="209" customFormat="1" ht="12">
      <c r="A614" s="195"/>
      <c r="B614" s="196"/>
      <c r="C614" s="197"/>
      <c r="D614" s="197"/>
      <c r="E614" s="198"/>
      <c r="F614" s="187" t="s">
        <v>2983</v>
      </c>
      <c r="G614" s="188"/>
      <c r="H614" s="189">
        <f>SUM(H612:H613)</f>
        <v>5.68</v>
      </c>
      <c r="I614" s="194"/>
      <c r="J614" s="194"/>
      <c r="K614" s="202"/>
      <c r="L614" s="203"/>
      <c r="M614" s="204"/>
      <c r="N614" s="205"/>
      <c r="O614" s="206"/>
      <c r="P614" s="207"/>
      <c r="Q614" s="207"/>
      <c r="R614" s="207"/>
      <c r="S614" s="207"/>
      <c r="T614" s="208"/>
      <c r="U614" s="195"/>
      <c r="V614" s="195"/>
      <c r="W614" s="195"/>
      <c r="X614" s="195"/>
      <c r="Y614" s="195"/>
      <c r="Z614" s="195"/>
      <c r="AA614" s="195"/>
      <c r="AB614" s="195"/>
      <c r="AC614" s="195"/>
      <c r="AD614" s="195"/>
      <c r="AE614" s="195"/>
      <c r="AR614" s="210"/>
      <c r="AT614" s="210"/>
      <c r="AU614" s="210"/>
      <c r="AY614" s="211"/>
      <c r="BE614" s="212"/>
      <c r="BF614" s="212"/>
      <c r="BG614" s="212"/>
      <c r="BH614" s="212"/>
      <c r="BI614" s="212"/>
      <c r="BJ614" s="211"/>
      <c r="BK614" s="212"/>
      <c r="BL614" s="211"/>
      <c r="BM614" s="210"/>
    </row>
    <row r="615" spans="1:65" s="2" customFormat="1" ht="37.9" customHeight="1">
      <c r="A615" s="29"/>
      <c r="B615" s="152"/>
      <c r="C615" s="153" t="s">
        <v>671</v>
      </c>
      <c r="D615" s="153" t="s">
        <v>181</v>
      </c>
      <c r="E615" s="154" t="s">
        <v>672</v>
      </c>
      <c r="F615" s="155" t="s">
        <v>673</v>
      </c>
      <c r="G615" s="156" t="s">
        <v>184</v>
      </c>
      <c r="H615" s="157">
        <v>3.87</v>
      </c>
      <c r="I615" s="158"/>
      <c r="J615" s="159">
        <v>0</v>
      </c>
      <c r="K615" s="160"/>
      <c r="L615" s="30"/>
      <c r="M615" s="161" t="s">
        <v>1</v>
      </c>
      <c r="N615" s="162" t="s">
        <v>35</v>
      </c>
      <c r="O615" s="58"/>
      <c r="P615" s="163">
        <f t="shared" si="55"/>
        <v>0</v>
      </c>
      <c r="Q615" s="163">
        <v>0</v>
      </c>
      <c r="R615" s="163">
        <f t="shared" si="56"/>
        <v>0</v>
      </c>
      <c r="S615" s="163">
        <v>0</v>
      </c>
      <c r="T615" s="164">
        <f t="shared" si="57"/>
        <v>0</v>
      </c>
      <c r="U615" s="29"/>
      <c r="V615" s="29"/>
      <c r="W615" s="29"/>
      <c r="X615" s="29"/>
      <c r="Y615" s="29"/>
      <c r="Z615" s="29"/>
      <c r="AA615" s="29"/>
      <c r="AB615" s="29"/>
      <c r="AC615" s="29"/>
      <c r="AD615" s="29"/>
      <c r="AE615" s="29"/>
      <c r="AR615" s="165" t="s">
        <v>213</v>
      </c>
      <c r="AT615" s="165" t="s">
        <v>181</v>
      </c>
      <c r="AU615" s="165" t="s">
        <v>82</v>
      </c>
      <c r="AY615" s="14" t="s">
        <v>179</v>
      </c>
      <c r="BE615" s="166">
        <f t="shared" si="58"/>
        <v>0</v>
      </c>
      <c r="BF615" s="166">
        <f t="shared" si="59"/>
        <v>0</v>
      </c>
      <c r="BG615" s="166">
        <f t="shared" si="60"/>
        <v>0</v>
      </c>
      <c r="BH615" s="166">
        <f t="shared" si="61"/>
        <v>0</v>
      </c>
      <c r="BI615" s="166">
        <f t="shared" si="62"/>
        <v>0</v>
      </c>
      <c r="BJ615" s="14" t="s">
        <v>82</v>
      </c>
      <c r="BK615" s="166">
        <f t="shared" si="63"/>
        <v>0</v>
      </c>
      <c r="BL615" s="14" t="s">
        <v>213</v>
      </c>
      <c r="BM615" s="165" t="s">
        <v>674</v>
      </c>
    </row>
    <row r="616" spans="1:65" s="209" customFormat="1" ht="12">
      <c r="A616" s="195"/>
      <c r="B616" s="196"/>
      <c r="C616" s="197"/>
      <c r="D616" s="197"/>
      <c r="E616" s="198"/>
      <c r="F616" s="184" t="s">
        <v>3147</v>
      </c>
      <c r="G616" s="185"/>
      <c r="H616" s="186">
        <f>ROUND(2*1.04*0.8,2)</f>
        <v>1.66</v>
      </c>
      <c r="I616" s="194"/>
      <c r="J616" s="194"/>
      <c r="K616" s="202"/>
      <c r="L616" s="203"/>
      <c r="M616" s="204"/>
      <c r="N616" s="205"/>
      <c r="O616" s="206"/>
      <c r="P616" s="207"/>
      <c r="Q616" s="207"/>
      <c r="R616" s="207"/>
      <c r="S616" s="207"/>
      <c r="T616" s="208"/>
      <c r="U616" s="195"/>
      <c r="V616" s="195"/>
      <c r="W616" s="195"/>
      <c r="X616" s="195"/>
      <c r="Y616" s="195"/>
      <c r="Z616" s="195"/>
      <c r="AA616" s="195"/>
      <c r="AB616" s="195"/>
      <c r="AC616" s="195"/>
      <c r="AD616" s="195"/>
      <c r="AE616" s="195"/>
      <c r="AR616" s="210"/>
      <c r="AT616" s="210"/>
      <c r="AU616" s="210"/>
      <c r="AY616" s="211"/>
      <c r="BE616" s="212"/>
      <c r="BF616" s="212"/>
      <c r="BG616" s="212"/>
      <c r="BH616" s="212"/>
      <c r="BI616" s="212"/>
      <c r="BJ616" s="211"/>
      <c r="BK616" s="212"/>
      <c r="BL616" s="211"/>
      <c r="BM616" s="210"/>
    </row>
    <row r="617" spans="1:65" s="209" customFormat="1" ht="12">
      <c r="A617" s="195"/>
      <c r="B617" s="196"/>
      <c r="C617" s="197"/>
      <c r="D617" s="197"/>
      <c r="E617" s="198"/>
      <c r="F617" s="184" t="s">
        <v>3148</v>
      </c>
      <c r="G617" s="185"/>
      <c r="H617" s="186">
        <f>ROUND(2*0.78*0.68,2)</f>
        <v>1.06</v>
      </c>
      <c r="I617" s="194"/>
      <c r="J617" s="194"/>
      <c r="K617" s="202"/>
      <c r="L617" s="203"/>
      <c r="M617" s="204"/>
      <c r="N617" s="205"/>
      <c r="O617" s="206"/>
      <c r="P617" s="207"/>
      <c r="Q617" s="207"/>
      <c r="R617" s="207"/>
      <c r="S617" s="207"/>
      <c r="T617" s="208"/>
      <c r="U617" s="195"/>
      <c r="V617" s="195"/>
      <c r="W617" s="195"/>
      <c r="X617" s="195"/>
      <c r="Y617" s="195"/>
      <c r="Z617" s="195"/>
      <c r="AA617" s="195"/>
      <c r="AB617" s="195"/>
      <c r="AC617" s="195"/>
      <c r="AD617" s="195"/>
      <c r="AE617" s="195"/>
      <c r="AR617" s="210"/>
      <c r="AT617" s="210"/>
      <c r="AU617" s="210"/>
      <c r="AY617" s="211"/>
      <c r="BE617" s="212"/>
      <c r="BF617" s="212"/>
      <c r="BG617" s="212"/>
      <c r="BH617" s="212"/>
      <c r="BI617" s="212"/>
      <c r="BJ617" s="211"/>
      <c r="BK617" s="212"/>
      <c r="BL617" s="211"/>
      <c r="BM617" s="210"/>
    </row>
    <row r="618" spans="1:65" s="209" customFormat="1" ht="12">
      <c r="A618" s="195"/>
      <c r="B618" s="196"/>
      <c r="C618" s="197"/>
      <c r="D618" s="197"/>
      <c r="E618" s="198"/>
      <c r="F618" s="184" t="s">
        <v>3149</v>
      </c>
      <c r="G618" s="185"/>
      <c r="H618" s="186">
        <f>ROUND(6*0.52*0.37,2)</f>
        <v>1.1499999999999999</v>
      </c>
      <c r="I618" s="194"/>
      <c r="J618" s="194"/>
      <c r="K618" s="202"/>
      <c r="L618" s="203"/>
      <c r="M618" s="204"/>
      <c r="N618" s="205"/>
      <c r="O618" s="206"/>
      <c r="P618" s="207"/>
      <c r="Q618" s="207"/>
      <c r="R618" s="207"/>
      <c r="S618" s="207"/>
      <c r="T618" s="208"/>
      <c r="U618" s="195"/>
      <c r="V618" s="195"/>
      <c r="W618" s="195"/>
      <c r="X618" s="195"/>
      <c r="Y618" s="195"/>
      <c r="Z618" s="195"/>
      <c r="AA618" s="195"/>
      <c r="AB618" s="195"/>
      <c r="AC618" s="195"/>
      <c r="AD618" s="195"/>
      <c r="AE618" s="195"/>
      <c r="AR618" s="210"/>
      <c r="AT618" s="210"/>
      <c r="AU618" s="210"/>
      <c r="AY618" s="211"/>
      <c r="BE618" s="212"/>
      <c r="BF618" s="212"/>
      <c r="BG618" s="212"/>
      <c r="BH618" s="212"/>
      <c r="BI618" s="212"/>
      <c r="BJ618" s="211"/>
      <c r="BK618" s="212"/>
      <c r="BL618" s="211"/>
      <c r="BM618" s="210"/>
    </row>
    <row r="619" spans="1:65" s="209" customFormat="1" ht="12">
      <c r="A619" s="195"/>
      <c r="B619" s="196"/>
      <c r="C619" s="197"/>
      <c r="D619" s="197"/>
      <c r="E619" s="198"/>
      <c r="F619" s="187" t="s">
        <v>2983</v>
      </c>
      <c r="G619" s="188"/>
      <c r="H619" s="189">
        <f>SUM(H616:H618)</f>
        <v>3.8699999999999997</v>
      </c>
      <c r="I619" s="194"/>
      <c r="J619" s="194"/>
      <c r="K619" s="202"/>
      <c r="L619" s="203"/>
      <c r="M619" s="204"/>
      <c r="N619" s="205"/>
      <c r="O619" s="206"/>
      <c r="P619" s="207"/>
      <c r="Q619" s="207"/>
      <c r="R619" s="207"/>
      <c r="S619" s="207"/>
      <c r="T619" s="208"/>
      <c r="U619" s="195"/>
      <c r="V619" s="195"/>
      <c r="W619" s="195"/>
      <c r="X619" s="195"/>
      <c r="Y619" s="195"/>
      <c r="Z619" s="195"/>
      <c r="AA619" s="195"/>
      <c r="AB619" s="195"/>
      <c r="AC619" s="195"/>
      <c r="AD619" s="195"/>
      <c r="AE619" s="195"/>
      <c r="AR619" s="210"/>
      <c r="AT619" s="210"/>
      <c r="AU619" s="210"/>
      <c r="AY619" s="211"/>
      <c r="BE619" s="212"/>
      <c r="BF619" s="212"/>
      <c r="BG619" s="212"/>
      <c r="BH619" s="212"/>
      <c r="BI619" s="212"/>
      <c r="BJ619" s="211"/>
      <c r="BK619" s="212"/>
      <c r="BL619" s="211"/>
      <c r="BM619" s="210"/>
    </row>
    <row r="620" spans="1:65" s="2" customFormat="1" ht="24.2" customHeight="1">
      <c r="A620" s="29"/>
      <c r="B620" s="152"/>
      <c r="C620" s="153" t="s">
        <v>435</v>
      </c>
      <c r="D620" s="153" t="s">
        <v>181</v>
      </c>
      <c r="E620" s="154" t="s">
        <v>675</v>
      </c>
      <c r="F620" s="155" t="s">
        <v>676</v>
      </c>
      <c r="G620" s="156" t="s">
        <v>293</v>
      </c>
      <c r="H620" s="157">
        <v>8.4</v>
      </c>
      <c r="I620" s="158"/>
      <c r="J620" s="159">
        <v>0</v>
      </c>
      <c r="K620" s="160"/>
      <c r="L620" s="30"/>
      <c r="M620" s="161" t="s">
        <v>1</v>
      </c>
      <c r="N620" s="162" t="s">
        <v>35</v>
      </c>
      <c r="O620" s="58"/>
      <c r="P620" s="163">
        <f t="shared" si="55"/>
        <v>0</v>
      </c>
      <c r="Q620" s="163">
        <v>0</v>
      </c>
      <c r="R620" s="163">
        <f t="shared" si="56"/>
        <v>0</v>
      </c>
      <c r="S620" s="163">
        <v>0</v>
      </c>
      <c r="T620" s="164">
        <f t="shared" si="57"/>
        <v>0</v>
      </c>
      <c r="U620" s="29"/>
      <c r="V620" s="29"/>
      <c r="W620" s="29"/>
      <c r="X620" s="29"/>
      <c r="Y620" s="29"/>
      <c r="Z620" s="29"/>
      <c r="AA620" s="29"/>
      <c r="AB620" s="29"/>
      <c r="AC620" s="29"/>
      <c r="AD620" s="29"/>
      <c r="AE620" s="29"/>
      <c r="AR620" s="165" t="s">
        <v>213</v>
      </c>
      <c r="AT620" s="165" t="s">
        <v>181</v>
      </c>
      <c r="AU620" s="165" t="s">
        <v>82</v>
      </c>
      <c r="AY620" s="14" t="s">
        <v>179</v>
      </c>
      <c r="BE620" s="166">
        <f t="shared" si="58"/>
        <v>0</v>
      </c>
      <c r="BF620" s="166">
        <f t="shared" si="59"/>
        <v>0</v>
      </c>
      <c r="BG620" s="166">
        <f t="shared" si="60"/>
        <v>0</v>
      </c>
      <c r="BH620" s="166">
        <f t="shared" si="61"/>
        <v>0</v>
      </c>
      <c r="BI620" s="166">
        <f t="shared" si="62"/>
        <v>0</v>
      </c>
      <c r="BJ620" s="14" t="s">
        <v>82</v>
      </c>
      <c r="BK620" s="166">
        <f t="shared" si="63"/>
        <v>0</v>
      </c>
      <c r="BL620" s="14" t="s">
        <v>213</v>
      </c>
      <c r="BM620" s="165" t="s">
        <v>677</v>
      </c>
    </row>
    <row r="621" spans="1:65" s="209" customFormat="1" ht="12">
      <c r="A621" s="195"/>
      <c r="B621" s="196"/>
      <c r="C621" s="197"/>
      <c r="D621" s="197"/>
      <c r="E621" s="198"/>
      <c r="F621" s="184" t="s">
        <v>3150</v>
      </c>
      <c r="G621" s="226"/>
      <c r="H621" s="186">
        <f>0.6*4</f>
        <v>2.4</v>
      </c>
      <c r="I621" s="194"/>
      <c r="J621" s="194"/>
      <c r="K621" s="202"/>
      <c r="L621" s="203"/>
      <c r="M621" s="204"/>
      <c r="N621" s="205"/>
      <c r="O621" s="206"/>
      <c r="P621" s="207"/>
      <c r="Q621" s="207"/>
      <c r="R621" s="207"/>
      <c r="S621" s="207"/>
      <c r="T621" s="208"/>
      <c r="U621" s="195"/>
      <c r="V621" s="195"/>
      <c r="W621" s="195"/>
      <c r="X621" s="195"/>
      <c r="Y621" s="195"/>
      <c r="Z621" s="195"/>
      <c r="AA621" s="195"/>
      <c r="AB621" s="195"/>
      <c r="AC621" s="195"/>
      <c r="AD621" s="195"/>
      <c r="AE621" s="195"/>
      <c r="AR621" s="210"/>
      <c r="AT621" s="210"/>
      <c r="AU621" s="210"/>
      <c r="AY621" s="211"/>
      <c r="BE621" s="212"/>
      <c r="BF621" s="212"/>
      <c r="BG621" s="212"/>
      <c r="BH621" s="212"/>
      <c r="BI621" s="212"/>
      <c r="BJ621" s="211"/>
      <c r="BK621" s="212"/>
      <c r="BL621" s="211"/>
      <c r="BM621" s="210"/>
    </row>
    <row r="622" spans="1:65" s="209" customFormat="1" ht="12">
      <c r="A622" s="195"/>
      <c r="B622" s="196"/>
      <c r="C622" s="197"/>
      <c r="D622" s="197"/>
      <c r="E622" s="198"/>
      <c r="F622" s="184" t="s">
        <v>3151</v>
      </c>
      <c r="G622" s="226"/>
      <c r="H622" s="186">
        <f>1.2*5</f>
        <v>6</v>
      </c>
      <c r="I622" s="194"/>
      <c r="J622" s="194"/>
      <c r="K622" s="202"/>
      <c r="L622" s="203"/>
      <c r="M622" s="204"/>
      <c r="N622" s="205"/>
      <c r="O622" s="206"/>
      <c r="P622" s="207"/>
      <c r="Q622" s="207"/>
      <c r="R622" s="207"/>
      <c r="S622" s="207"/>
      <c r="T622" s="208"/>
      <c r="U622" s="195"/>
      <c r="V622" s="195"/>
      <c r="W622" s="195"/>
      <c r="X622" s="195"/>
      <c r="Y622" s="195"/>
      <c r="Z622" s="195"/>
      <c r="AA622" s="195"/>
      <c r="AB622" s="195"/>
      <c r="AC622" s="195"/>
      <c r="AD622" s="195"/>
      <c r="AE622" s="195"/>
      <c r="AR622" s="210"/>
      <c r="AT622" s="210"/>
      <c r="AU622" s="210"/>
      <c r="AY622" s="211"/>
      <c r="BE622" s="212"/>
      <c r="BF622" s="212"/>
      <c r="BG622" s="212"/>
      <c r="BH622" s="212"/>
      <c r="BI622" s="212"/>
      <c r="BJ622" s="211"/>
      <c r="BK622" s="212"/>
      <c r="BL622" s="211"/>
      <c r="BM622" s="210"/>
    </row>
    <row r="623" spans="1:65" s="209" customFormat="1" ht="12">
      <c r="A623" s="195"/>
      <c r="B623" s="196"/>
      <c r="C623" s="197"/>
      <c r="D623" s="197"/>
      <c r="E623" s="198"/>
      <c r="F623" s="187" t="s">
        <v>2983</v>
      </c>
      <c r="G623" s="188"/>
      <c r="H623" s="189">
        <f>SUM(H621:H622)</f>
        <v>8.4</v>
      </c>
      <c r="I623" s="194"/>
      <c r="J623" s="194"/>
      <c r="K623" s="202"/>
      <c r="L623" s="203"/>
      <c r="M623" s="204"/>
      <c r="N623" s="205"/>
      <c r="O623" s="206"/>
      <c r="P623" s="207"/>
      <c r="Q623" s="207"/>
      <c r="R623" s="207"/>
      <c r="S623" s="207"/>
      <c r="T623" s="208"/>
      <c r="U623" s="195"/>
      <c r="V623" s="195"/>
      <c r="W623" s="195"/>
      <c r="X623" s="195"/>
      <c r="Y623" s="195"/>
      <c r="Z623" s="195"/>
      <c r="AA623" s="195"/>
      <c r="AB623" s="195"/>
      <c r="AC623" s="195"/>
      <c r="AD623" s="195"/>
      <c r="AE623" s="195"/>
      <c r="AR623" s="210"/>
      <c r="AT623" s="210"/>
      <c r="AU623" s="210"/>
      <c r="AY623" s="211"/>
      <c r="BE623" s="212"/>
      <c r="BF623" s="212"/>
      <c r="BG623" s="212"/>
      <c r="BH623" s="212"/>
      <c r="BI623" s="212"/>
      <c r="BJ623" s="211"/>
      <c r="BK623" s="212"/>
      <c r="BL623" s="211"/>
      <c r="BM623" s="210"/>
    </row>
    <row r="624" spans="1:65" s="2" customFormat="1" ht="24.2" customHeight="1">
      <c r="A624" s="29"/>
      <c r="B624" s="152"/>
      <c r="C624" s="153" t="s">
        <v>678</v>
      </c>
      <c r="D624" s="153" t="s">
        <v>181</v>
      </c>
      <c r="E624" s="154" t="s">
        <v>679</v>
      </c>
      <c r="F624" s="155" t="s">
        <v>680</v>
      </c>
      <c r="G624" s="156" t="s">
        <v>293</v>
      </c>
      <c r="H624" s="157">
        <v>22.6</v>
      </c>
      <c r="I624" s="158"/>
      <c r="J624" s="159">
        <v>0</v>
      </c>
      <c r="K624" s="160"/>
      <c r="L624" s="30"/>
      <c r="M624" s="161" t="s">
        <v>1</v>
      </c>
      <c r="N624" s="162" t="s">
        <v>35</v>
      </c>
      <c r="O624" s="58"/>
      <c r="P624" s="163">
        <f t="shared" si="55"/>
        <v>0</v>
      </c>
      <c r="Q624" s="163">
        <v>0</v>
      </c>
      <c r="R624" s="163">
        <f t="shared" si="56"/>
        <v>0</v>
      </c>
      <c r="S624" s="163">
        <v>0</v>
      </c>
      <c r="T624" s="164">
        <f t="shared" si="57"/>
        <v>0</v>
      </c>
      <c r="U624" s="29"/>
      <c r="V624" s="29"/>
      <c r="W624" s="29"/>
      <c r="X624" s="29"/>
      <c r="Y624" s="29"/>
      <c r="Z624" s="29"/>
      <c r="AA624" s="29"/>
      <c r="AB624" s="29"/>
      <c r="AC624" s="29"/>
      <c r="AD624" s="29"/>
      <c r="AE624" s="29"/>
      <c r="AR624" s="165" t="s">
        <v>213</v>
      </c>
      <c r="AT624" s="165" t="s">
        <v>181</v>
      </c>
      <c r="AU624" s="165" t="s">
        <v>82</v>
      </c>
      <c r="AY624" s="14" t="s">
        <v>179</v>
      </c>
      <c r="BE624" s="166">
        <f t="shared" si="58"/>
        <v>0</v>
      </c>
      <c r="BF624" s="166">
        <f t="shared" si="59"/>
        <v>0</v>
      </c>
      <c r="BG624" s="166">
        <f t="shared" si="60"/>
        <v>0</v>
      </c>
      <c r="BH624" s="166">
        <f t="shared" si="61"/>
        <v>0</v>
      </c>
      <c r="BI624" s="166">
        <f t="shared" si="62"/>
        <v>0</v>
      </c>
      <c r="BJ624" s="14" t="s">
        <v>82</v>
      </c>
      <c r="BK624" s="166">
        <f t="shared" si="63"/>
        <v>0</v>
      </c>
      <c r="BL624" s="14" t="s">
        <v>213</v>
      </c>
      <c r="BM624" s="165" t="s">
        <v>681</v>
      </c>
    </row>
    <row r="625" spans="1:65" s="209" customFormat="1" ht="12">
      <c r="A625" s="195"/>
      <c r="B625" s="196"/>
      <c r="C625" s="197"/>
      <c r="D625" s="197"/>
      <c r="E625" s="198"/>
      <c r="F625" s="213" t="s">
        <v>3152</v>
      </c>
      <c r="G625" s="222"/>
      <c r="H625" s="214">
        <f>0.6*4</f>
        <v>2.4</v>
      </c>
      <c r="I625" s="194"/>
      <c r="J625" s="194"/>
      <c r="K625" s="202"/>
      <c r="L625" s="203"/>
      <c r="M625" s="204"/>
      <c r="N625" s="205"/>
      <c r="O625" s="206"/>
      <c r="P625" s="207"/>
      <c r="Q625" s="207"/>
      <c r="R625" s="207"/>
      <c r="S625" s="207"/>
      <c r="T625" s="208"/>
      <c r="U625" s="195"/>
      <c r="V625" s="195"/>
      <c r="W625" s="195"/>
      <c r="X625" s="195"/>
      <c r="Y625" s="195"/>
      <c r="Z625" s="195"/>
      <c r="AA625" s="195"/>
      <c r="AB625" s="195"/>
      <c r="AC625" s="195"/>
      <c r="AD625" s="195"/>
      <c r="AE625" s="195"/>
      <c r="AR625" s="210"/>
      <c r="AT625" s="210"/>
      <c r="AU625" s="210"/>
      <c r="AY625" s="211"/>
      <c r="BE625" s="212"/>
      <c r="BF625" s="212"/>
      <c r="BG625" s="212"/>
      <c r="BH625" s="212"/>
      <c r="BI625" s="212"/>
      <c r="BJ625" s="211"/>
      <c r="BK625" s="212"/>
      <c r="BL625" s="211"/>
      <c r="BM625" s="210"/>
    </row>
    <row r="626" spans="1:65" s="209" customFormat="1" ht="12">
      <c r="A626" s="195"/>
      <c r="B626" s="196"/>
      <c r="C626" s="197"/>
      <c r="D626" s="197"/>
      <c r="E626" s="198"/>
      <c r="F626" s="213" t="s">
        <v>3153</v>
      </c>
      <c r="G626" s="222"/>
      <c r="H626" s="214">
        <f>1.2*3</f>
        <v>3.5999999999999996</v>
      </c>
      <c r="I626" s="194"/>
      <c r="J626" s="194"/>
      <c r="K626" s="202"/>
      <c r="L626" s="203"/>
      <c r="M626" s="204"/>
      <c r="N626" s="205"/>
      <c r="O626" s="206"/>
      <c r="P626" s="207"/>
      <c r="Q626" s="207"/>
      <c r="R626" s="207"/>
      <c r="S626" s="207"/>
      <c r="T626" s="208"/>
      <c r="U626" s="195"/>
      <c r="V626" s="195"/>
      <c r="W626" s="195"/>
      <c r="X626" s="195"/>
      <c r="Y626" s="195"/>
      <c r="Z626" s="195"/>
      <c r="AA626" s="195"/>
      <c r="AB626" s="195"/>
      <c r="AC626" s="195"/>
      <c r="AD626" s="195"/>
      <c r="AE626" s="195"/>
      <c r="AR626" s="210"/>
      <c r="AT626" s="210"/>
      <c r="AU626" s="210"/>
      <c r="AY626" s="211"/>
      <c r="BE626" s="212"/>
      <c r="BF626" s="212"/>
      <c r="BG626" s="212"/>
      <c r="BH626" s="212"/>
      <c r="BI626" s="212"/>
      <c r="BJ626" s="211"/>
      <c r="BK626" s="212"/>
      <c r="BL626" s="211"/>
      <c r="BM626" s="210"/>
    </row>
    <row r="627" spans="1:65" s="209" customFormat="1" ht="12">
      <c r="A627" s="195"/>
      <c r="B627" s="196"/>
      <c r="C627" s="197"/>
      <c r="D627" s="197"/>
      <c r="E627" s="198"/>
      <c r="F627" s="213" t="s">
        <v>3154</v>
      </c>
      <c r="G627" s="222"/>
      <c r="H627" s="214">
        <f>2.4*6</f>
        <v>14.399999999999999</v>
      </c>
      <c r="I627" s="194"/>
      <c r="J627" s="194"/>
      <c r="K627" s="202"/>
      <c r="L627" s="203"/>
      <c r="M627" s="204"/>
      <c r="N627" s="205"/>
      <c r="O627" s="206"/>
      <c r="P627" s="207"/>
      <c r="Q627" s="207"/>
      <c r="R627" s="207"/>
      <c r="S627" s="207"/>
      <c r="T627" s="208"/>
      <c r="U627" s="195"/>
      <c r="V627" s="195"/>
      <c r="W627" s="195"/>
      <c r="X627" s="195"/>
      <c r="Y627" s="195"/>
      <c r="Z627" s="195"/>
      <c r="AA627" s="195"/>
      <c r="AB627" s="195"/>
      <c r="AC627" s="195"/>
      <c r="AD627" s="195"/>
      <c r="AE627" s="195"/>
      <c r="AR627" s="210"/>
      <c r="AT627" s="210"/>
      <c r="AU627" s="210"/>
      <c r="AY627" s="211"/>
      <c r="BE627" s="212"/>
      <c r="BF627" s="212"/>
      <c r="BG627" s="212"/>
      <c r="BH627" s="212"/>
      <c r="BI627" s="212"/>
      <c r="BJ627" s="211"/>
      <c r="BK627" s="212"/>
      <c r="BL627" s="211"/>
      <c r="BM627" s="210"/>
    </row>
    <row r="628" spans="1:65" s="209" customFormat="1" ht="12">
      <c r="A628" s="195"/>
      <c r="B628" s="196"/>
      <c r="C628" s="197"/>
      <c r="D628" s="197"/>
      <c r="E628" s="198"/>
      <c r="F628" s="213" t="s">
        <v>3155</v>
      </c>
      <c r="G628" s="222"/>
      <c r="H628" s="214">
        <f>2.2*1</f>
        <v>2.2000000000000002</v>
      </c>
      <c r="I628" s="194"/>
      <c r="J628" s="194"/>
      <c r="K628" s="202"/>
      <c r="L628" s="203"/>
      <c r="M628" s="204"/>
      <c r="N628" s="205"/>
      <c r="O628" s="206"/>
      <c r="P628" s="207"/>
      <c r="Q628" s="207"/>
      <c r="R628" s="207"/>
      <c r="S628" s="207"/>
      <c r="T628" s="208"/>
      <c r="U628" s="195"/>
      <c r="V628" s="195"/>
      <c r="W628" s="195"/>
      <c r="X628" s="195"/>
      <c r="Y628" s="195"/>
      <c r="Z628" s="195"/>
      <c r="AA628" s="195"/>
      <c r="AB628" s="195"/>
      <c r="AC628" s="195"/>
      <c r="AD628" s="195"/>
      <c r="AE628" s="195"/>
      <c r="AR628" s="210"/>
      <c r="AT628" s="210"/>
      <c r="AU628" s="210"/>
      <c r="AY628" s="211"/>
      <c r="BE628" s="212"/>
      <c r="BF628" s="212"/>
      <c r="BG628" s="212"/>
      <c r="BH628" s="212"/>
      <c r="BI628" s="212"/>
      <c r="BJ628" s="211"/>
      <c r="BK628" s="212"/>
      <c r="BL628" s="211"/>
      <c r="BM628" s="210"/>
    </row>
    <row r="629" spans="1:65" s="209" customFormat="1" ht="12">
      <c r="A629" s="195"/>
      <c r="B629" s="196"/>
      <c r="C629" s="197"/>
      <c r="D629" s="197"/>
      <c r="E629" s="198"/>
      <c r="F629" s="215" t="s">
        <v>2983</v>
      </c>
      <c r="G629" s="216"/>
      <c r="H629" s="217">
        <f>SUM(H625:H628)</f>
        <v>22.599999999999998</v>
      </c>
      <c r="I629" s="194"/>
      <c r="J629" s="194"/>
      <c r="K629" s="202"/>
      <c r="L629" s="203"/>
      <c r="M629" s="204"/>
      <c r="N629" s="205"/>
      <c r="O629" s="206"/>
      <c r="P629" s="207"/>
      <c r="Q629" s="207"/>
      <c r="R629" s="207"/>
      <c r="S629" s="207"/>
      <c r="T629" s="208"/>
      <c r="U629" s="195"/>
      <c r="V629" s="195"/>
      <c r="W629" s="195"/>
      <c r="X629" s="195"/>
      <c r="Y629" s="195"/>
      <c r="Z629" s="195"/>
      <c r="AA629" s="195"/>
      <c r="AB629" s="195"/>
      <c r="AC629" s="195"/>
      <c r="AD629" s="195"/>
      <c r="AE629" s="195"/>
      <c r="AR629" s="210"/>
      <c r="AT629" s="210"/>
      <c r="AU629" s="210"/>
      <c r="AY629" s="211"/>
      <c r="BE629" s="212"/>
      <c r="BF629" s="212"/>
      <c r="BG629" s="212"/>
      <c r="BH629" s="212"/>
      <c r="BI629" s="212"/>
      <c r="BJ629" s="211"/>
      <c r="BK629" s="212"/>
      <c r="BL629" s="211"/>
      <c r="BM629" s="210"/>
    </row>
    <row r="630" spans="1:65" s="2" customFormat="1" ht="24.2" customHeight="1">
      <c r="A630" s="29"/>
      <c r="B630" s="152"/>
      <c r="C630" s="153" t="s">
        <v>439</v>
      </c>
      <c r="D630" s="153" t="s">
        <v>181</v>
      </c>
      <c r="E630" s="154" t="s">
        <v>682</v>
      </c>
      <c r="F630" s="155" t="s">
        <v>683</v>
      </c>
      <c r="G630" s="156" t="s">
        <v>293</v>
      </c>
      <c r="H630" s="157">
        <v>10.8</v>
      </c>
      <c r="I630" s="158"/>
      <c r="J630" s="159">
        <v>0</v>
      </c>
      <c r="K630" s="160"/>
      <c r="L630" s="30"/>
      <c r="M630" s="161" t="s">
        <v>1</v>
      </c>
      <c r="N630" s="162" t="s">
        <v>35</v>
      </c>
      <c r="O630" s="58"/>
      <c r="P630" s="163">
        <f t="shared" si="55"/>
        <v>0</v>
      </c>
      <c r="Q630" s="163">
        <v>0</v>
      </c>
      <c r="R630" s="163">
        <f t="shared" si="56"/>
        <v>0</v>
      </c>
      <c r="S630" s="163">
        <v>0</v>
      </c>
      <c r="T630" s="164">
        <f t="shared" si="57"/>
        <v>0</v>
      </c>
      <c r="U630" s="29"/>
      <c r="V630" s="29"/>
      <c r="W630" s="29"/>
      <c r="X630" s="29"/>
      <c r="Y630" s="29"/>
      <c r="Z630" s="29"/>
      <c r="AA630" s="29"/>
      <c r="AB630" s="29"/>
      <c r="AC630" s="29"/>
      <c r="AD630" s="29"/>
      <c r="AE630" s="29"/>
      <c r="AR630" s="165" t="s">
        <v>213</v>
      </c>
      <c r="AT630" s="165" t="s">
        <v>181</v>
      </c>
      <c r="AU630" s="165" t="s">
        <v>82</v>
      </c>
      <c r="AY630" s="14" t="s">
        <v>179</v>
      </c>
      <c r="BE630" s="166">
        <f t="shared" si="58"/>
        <v>0</v>
      </c>
      <c r="BF630" s="166">
        <f t="shared" si="59"/>
        <v>0</v>
      </c>
      <c r="BG630" s="166">
        <f t="shared" si="60"/>
        <v>0</v>
      </c>
      <c r="BH630" s="166">
        <f t="shared" si="61"/>
        <v>0</v>
      </c>
      <c r="BI630" s="166">
        <f t="shared" si="62"/>
        <v>0</v>
      </c>
      <c r="BJ630" s="14" t="s">
        <v>82</v>
      </c>
      <c r="BK630" s="166">
        <f t="shared" si="63"/>
        <v>0</v>
      </c>
      <c r="BL630" s="14" t="s">
        <v>213</v>
      </c>
      <c r="BM630" s="165" t="s">
        <v>684</v>
      </c>
    </row>
    <row r="631" spans="1:65" s="209" customFormat="1" ht="12">
      <c r="A631" s="195"/>
      <c r="B631" s="196"/>
      <c r="C631" s="197"/>
      <c r="D631" s="197"/>
      <c r="E631" s="198"/>
      <c r="F631" s="184" t="s">
        <v>3156</v>
      </c>
      <c r="G631" s="226"/>
      <c r="H631" s="186">
        <f>2.4*3</f>
        <v>7.1999999999999993</v>
      </c>
      <c r="I631" s="194"/>
      <c r="J631" s="194"/>
      <c r="K631" s="202"/>
      <c r="L631" s="203"/>
      <c r="M631" s="204"/>
      <c r="N631" s="205"/>
      <c r="O631" s="206"/>
      <c r="P631" s="207"/>
      <c r="Q631" s="207"/>
      <c r="R631" s="207"/>
      <c r="S631" s="207"/>
      <c r="T631" s="208"/>
      <c r="U631" s="195"/>
      <c r="V631" s="195"/>
      <c r="W631" s="195"/>
      <c r="X631" s="195"/>
      <c r="Y631" s="195"/>
      <c r="Z631" s="195"/>
      <c r="AA631" s="195"/>
      <c r="AB631" s="195"/>
      <c r="AC631" s="195"/>
      <c r="AD631" s="195"/>
      <c r="AE631" s="195"/>
      <c r="AR631" s="210"/>
      <c r="AT631" s="210"/>
      <c r="AU631" s="210"/>
      <c r="AY631" s="211"/>
      <c r="BE631" s="212"/>
      <c r="BF631" s="212"/>
      <c r="BG631" s="212"/>
      <c r="BH631" s="212"/>
      <c r="BI631" s="212"/>
      <c r="BJ631" s="211"/>
      <c r="BK631" s="212"/>
      <c r="BL631" s="211"/>
      <c r="BM631" s="210"/>
    </row>
    <row r="632" spans="1:65" s="209" customFormat="1" ht="12">
      <c r="A632" s="195"/>
      <c r="B632" s="196"/>
      <c r="C632" s="197"/>
      <c r="D632" s="197"/>
      <c r="E632" s="198"/>
      <c r="F632" s="184" t="s">
        <v>3157</v>
      </c>
      <c r="G632" s="226"/>
      <c r="H632" s="186">
        <f>1.2*3</f>
        <v>3.5999999999999996</v>
      </c>
      <c r="I632" s="194"/>
      <c r="J632" s="194"/>
      <c r="K632" s="202"/>
      <c r="L632" s="203"/>
      <c r="M632" s="204"/>
      <c r="N632" s="205"/>
      <c r="O632" s="206"/>
      <c r="P632" s="207"/>
      <c r="Q632" s="207"/>
      <c r="R632" s="207"/>
      <c r="S632" s="207"/>
      <c r="T632" s="208"/>
      <c r="U632" s="195"/>
      <c r="V632" s="195"/>
      <c r="W632" s="195"/>
      <c r="X632" s="195"/>
      <c r="Y632" s="195"/>
      <c r="Z632" s="195"/>
      <c r="AA632" s="195"/>
      <c r="AB632" s="195"/>
      <c r="AC632" s="195"/>
      <c r="AD632" s="195"/>
      <c r="AE632" s="195"/>
      <c r="AR632" s="210"/>
      <c r="AT632" s="210"/>
      <c r="AU632" s="210"/>
      <c r="AY632" s="211"/>
      <c r="BE632" s="212"/>
      <c r="BF632" s="212"/>
      <c r="BG632" s="212"/>
      <c r="BH632" s="212"/>
      <c r="BI632" s="212"/>
      <c r="BJ632" s="211"/>
      <c r="BK632" s="212"/>
      <c r="BL632" s="211"/>
      <c r="BM632" s="210"/>
    </row>
    <row r="633" spans="1:65" s="209" customFormat="1" ht="12">
      <c r="A633" s="195"/>
      <c r="B633" s="196"/>
      <c r="C633" s="197"/>
      <c r="D633" s="197"/>
      <c r="E633" s="198"/>
      <c r="F633" s="187" t="s">
        <v>2983</v>
      </c>
      <c r="G633" s="188"/>
      <c r="H633" s="189">
        <f>SUM(H631:H632)</f>
        <v>10.799999999999999</v>
      </c>
      <c r="I633" s="194"/>
      <c r="J633" s="194"/>
      <c r="K633" s="202"/>
      <c r="L633" s="203"/>
      <c r="M633" s="204"/>
      <c r="N633" s="205"/>
      <c r="O633" s="206"/>
      <c r="P633" s="207"/>
      <c r="Q633" s="207"/>
      <c r="R633" s="207"/>
      <c r="S633" s="207"/>
      <c r="T633" s="208"/>
      <c r="U633" s="195"/>
      <c r="V633" s="195"/>
      <c r="W633" s="195"/>
      <c r="X633" s="195"/>
      <c r="Y633" s="195"/>
      <c r="Z633" s="195"/>
      <c r="AA633" s="195"/>
      <c r="AB633" s="195"/>
      <c r="AC633" s="195"/>
      <c r="AD633" s="195"/>
      <c r="AE633" s="195"/>
      <c r="AR633" s="210"/>
      <c r="AT633" s="210"/>
      <c r="AU633" s="210"/>
      <c r="AY633" s="211"/>
      <c r="BE633" s="212"/>
      <c r="BF633" s="212"/>
      <c r="BG633" s="212"/>
      <c r="BH633" s="212"/>
      <c r="BI633" s="212"/>
      <c r="BJ633" s="211"/>
      <c r="BK633" s="212"/>
      <c r="BL633" s="211"/>
      <c r="BM633" s="210"/>
    </row>
    <row r="634" spans="1:65" s="2" customFormat="1" ht="24.2" customHeight="1">
      <c r="A634" s="29"/>
      <c r="B634" s="152"/>
      <c r="C634" s="153" t="s">
        <v>685</v>
      </c>
      <c r="D634" s="153" t="s">
        <v>181</v>
      </c>
      <c r="E634" s="154" t="s">
        <v>686</v>
      </c>
      <c r="F634" s="155" t="s">
        <v>687</v>
      </c>
      <c r="G634" s="156" t="s">
        <v>293</v>
      </c>
      <c r="H634" s="157">
        <v>7.2</v>
      </c>
      <c r="I634" s="158"/>
      <c r="J634" s="159">
        <v>0</v>
      </c>
      <c r="K634" s="160"/>
      <c r="L634" s="30"/>
      <c r="M634" s="161" t="s">
        <v>1</v>
      </c>
      <c r="N634" s="162" t="s">
        <v>35</v>
      </c>
      <c r="O634" s="58"/>
      <c r="P634" s="163">
        <f t="shared" si="55"/>
        <v>0</v>
      </c>
      <c r="Q634" s="163">
        <v>0</v>
      </c>
      <c r="R634" s="163">
        <f t="shared" si="56"/>
        <v>0</v>
      </c>
      <c r="S634" s="163">
        <v>1.3500000000000001E-3</v>
      </c>
      <c r="T634" s="164">
        <f t="shared" si="57"/>
        <v>9.7200000000000012E-3</v>
      </c>
      <c r="U634" s="29"/>
      <c r="V634" s="29"/>
      <c r="W634" s="29"/>
      <c r="X634" s="29"/>
      <c r="Y634" s="29"/>
      <c r="Z634" s="29"/>
      <c r="AA634" s="29"/>
      <c r="AB634" s="29"/>
      <c r="AC634" s="29"/>
      <c r="AD634" s="29"/>
      <c r="AE634" s="29"/>
      <c r="AR634" s="165" t="s">
        <v>213</v>
      </c>
      <c r="AT634" s="165" t="s">
        <v>181</v>
      </c>
      <c r="AU634" s="165" t="s">
        <v>82</v>
      </c>
      <c r="AY634" s="14" t="s">
        <v>179</v>
      </c>
      <c r="BE634" s="166">
        <f t="shared" si="58"/>
        <v>0</v>
      </c>
      <c r="BF634" s="166">
        <f t="shared" si="59"/>
        <v>0</v>
      </c>
      <c r="BG634" s="166">
        <f t="shared" si="60"/>
        <v>0</v>
      </c>
      <c r="BH634" s="166">
        <f t="shared" si="61"/>
        <v>0</v>
      </c>
      <c r="BI634" s="166">
        <f t="shared" si="62"/>
        <v>0</v>
      </c>
      <c r="BJ634" s="14" t="s">
        <v>82</v>
      </c>
      <c r="BK634" s="166">
        <f t="shared" si="63"/>
        <v>0</v>
      </c>
      <c r="BL634" s="14" t="s">
        <v>213</v>
      </c>
      <c r="BM634" s="165" t="s">
        <v>688</v>
      </c>
    </row>
    <row r="635" spans="1:65" s="209" customFormat="1" ht="12">
      <c r="A635" s="195"/>
      <c r="B635" s="196"/>
      <c r="C635" s="197"/>
      <c r="D635" s="197"/>
      <c r="E635" s="198"/>
      <c r="F635" s="184" t="s">
        <v>3079</v>
      </c>
      <c r="G635" s="185"/>
      <c r="H635" s="192">
        <f>3*2.4</f>
        <v>7.1999999999999993</v>
      </c>
      <c r="I635" s="194"/>
      <c r="J635" s="194"/>
      <c r="K635" s="202"/>
      <c r="L635" s="203"/>
      <c r="M635" s="204"/>
      <c r="N635" s="205"/>
      <c r="O635" s="206"/>
      <c r="P635" s="207"/>
      <c r="Q635" s="207"/>
      <c r="R635" s="207"/>
      <c r="S635" s="207"/>
      <c r="T635" s="208"/>
      <c r="U635" s="195"/>
      <c r="V635" s="195"/>
      <c r="W635" s="195"/>
      <c r="X635" s="195"/>
      <c r="Y635" s="195"/>
      <c r="Z635" s="195"/>
      <c r="AA635" s="195"/>
      <c r="AB635" s="195"/>
      <c r="AC635" s="195"/>
      <c r="AD635" s="195"/>
      <c r="AE635" s="195"/>
      <c r="AR635" s="210"/>
      <c r="AT635" s="210"/>
      <c r="AU635" s="210"/>
      <c r="AY635" s="211"/>
      <c r="BE635" s="212"/>
      <c r="BF635" s="212"/>
      <c r="BG635" s="212"/>
      <c r="BH635" s="212"/>
      <c r="BI635" s="212"/>
      <c r="BJ635" s="211"/>
      <c r="BK635" s="212"/>
      <c r="BL635" s="211"/>
      <c r="BM635" s="210"/>
    </row>
    <row r="636" spans="1:65" s="209" customFormat="1" ht="12">
      <c r="A636" s="195"/>
      <c r="B636" s="196"/>
      <c r="C636" s="197"/>
      <c r="D636" s="197"/>
      <c r="E636" s="198"/>
      <c r="F636" s="184" t="s">
        <v>3080</v>
      </c>
      <c r="G636" s="185"/>
      <c r="H636" s="192">
        <f>1*1.2</f>
        <v>1.2</v>
      </c>
      <c r="I636" s="194"/>
      <c r="J636" s="194"/>
      <c r="K636" s="202"/>
      <c r="L636" s="203"/>
      <c r="M636" s="204"/>
      <c r="N636" s="205"/>
      <c r="O636" s="206"/>
      <c r="P636" s="207"/>
      <c r="Q636" s="207"/>
      <c r="R636" s="207"/>
      <c r="S636" s="207"/>
      <c r="T636" s="208"/>
      <c r="U636" s="195"/>
      <c r="V636" s="195"/>
      <c r="W636" s="195"/>
      <c r="X636" s="195"/>
      <c r="Y636" s="195"/>
      <c r="Z636" s="195"/>
      <c r="AA636" s="195"/>
      <c r="AB636" s="195"/>
      <c r="AC636" s="195"/>
      <c r="AD636" s="195"/>
      <c r="AE636" s="195"/>
      <c r="AR636" s="210"/>
      <c r="AT636" s="210"/>
      <c r="AU636" s="210"/>
      <c r="AY636" s="211"/>
      <c r="BE636" s="212"/>
      <c r="BF636" s="212"/>
      <c r="BG636" s="212"/>
      <c r="BH636" s="212"/>
      <c r="BI636" s="212"/>
      <c r="BJ636" s="211"/>
      <c r="BK636" s="212"/>
      <c r="BL636" s="211"/>
      <c r="BM636" s="210"/>
    </row>
    <row r="637" spans="1:65" s="209" customFormat="1" ht="12">
      <c r="A637" s="195"/>
      <c r="B637" s="196"/>
      <c r="C637" s="197"/>
      <c r="D637" s="197"/>
      <c r="E637" s="198"/>
      <c r="F637" s="184" t="s">
        <v>3074</v>
      </c>
      <c r="G637" s="185"/>
      <c r="H637" s="192">
        <f>10*1.2</f>
        <v>12</v>
      </c>
      <c r="I637" s="194"/>
      <c r="J637" s="194"/>
      <c r="K637" s="202"/>
      <c r="L637" s="203"/>
      <c r="M637" s="204"/>
      <c r="N637" s="205"/>
      <c r="O637" s="206"/>
      <c r="P637" s="207"/>
      <c r="Q637" s="207"/>
      <c r="R637" s="207"/>
      <c r="S637" s="207"/>
      <c r="T637" s="208"/>
      <c r="U637" s="195"/>
      <c r="V637" s="195"/>
      <c r="W637" s="195"/>
      <c r="X637" s="195"/>
      <c r="Y637" s="195"/>
      <c r="Z637" s="195"/>
      <c r="AA637" s="195"/>
      <c r="AB637" s="195"/>
      <c r="AC637" s="195"/>
      <c r="AD637" s="195"/>
      <c r="AE637" s="195"/>
      <c r="AR637" s="210"/>
      <c r="AT637" s="210"/>
      <c r="AU637" s="210"/>
      <c r="AY637" s="211"/>
      <c r="BE637" s="212"/>
      <c r="BF637" s="212"/>
      <c r="BG637" s="212"/>
      <c r="BH637" s="212"/>
      <c r="BI637" s="212"/>
      <c r="BJ637" s="211"/>
      <c r="BK637" s="212"/>
      <c r="BL637" s="211"/>
      <c r="BM637" s="210"/>
    </row>
    <row r="638" spans="1:65" s="209" customFormat="1" ht="12">
      <c r="A638" s="195"/>
      <c r="B638" s="196"/>
      <c r="C638" s="197"/>
      <c r="D638" s="197"/>
      <c r="E638" s="198"/>
      <c r="F638" s="184" t="s">
        <v>3076</v>
      </c>
      <c r="G638" s="185"/>
      <c r="H638" s="192">
        <f>8*0.6</f>
        <v>4.8</v>
      </c>
      <c r="I638" s="194"/>
      <c r="J638" s="194"/>
      <c r="K638" s="202"/>
      <c r="L638" s="203"/>
      <c r="M638" s="204"/>
      <c r="N638" s="205"/>
      <c r="O638" s="206"/>
      <c r="P638" s="207"/>
      <c r="Q638" s="207"/>
      <c r="R638" s="207"/>
      <c r="S638" s="207"/>
      <c r="T638" s="208"/>
      <c r="U638" s="195"/>
      <c r="V638" s="195"/>
      <c r="W638" s="195"/>
      <c r="X638" s="195"/>
      <c r="Y638" s="195"/>
      <c r="Z638" s="195"/>
      <c r="AA638" s="195"/>
      <c r="AB638" s="195"/>
      <c r="AC638" s="195"/>
      <c r="AD638" s="195"/>
      <c r="AE638" s="195"/>
      <c r="AR638" s="210"/>
      <c r="AT638" s="210"/>
      <c r="AU638" s="210"/>
      <c r="AY638" s="211"/>
      <c r="BE638" s="212"/>
      <c r="BF638" s="212"/>
      <c r="BG638" s="212"/>
      <c r="BH638" s="212"/>
      <c r="BI638" s="212"/>
      <c r="BJ638" s="211"/>
      <c r="BK638" s="212"/>
      <c r="BL638" s="211"/>
      <c r="BM638" s="210"/>
    </row>
    <row r="639" spans="1:65" s="209" customFormat="1" ht="12">
      <c r="A639" s="195"/>
      <c r="B639" s="196"/>
      <c r="C639" s="197"/>
      <c r="D639" s="197"/>
      <c r="E639" s="198"/>
      <c r="F639" s="184" t="s">
        <v>3077</v>
      </c>
      <c r="G639" s="185"/>
      <c r="H639" s="192">
        <f>11*1.2</f>
        <v>13.2</v>
      </c>
      <c r="I639" s="194"/>
      <c r="J639" s="194"/>
      <c r="K639" s="202"/>
      <c r="L639" s="203"/>
      <c r="M639" s="204"/>
      <c r="N639" s="205"/>
      <c r="O639" s="206"/>
      <c r="P639" s="207"/>
      <c r="Q639" s="207"/>
      <c r="R639" s="207"/>
      <c r="S639" s="207"/>
      <c r="T639" s="208"/>
      <c r="U639" s="195"/>
      <c r="V639" s="195"/>
      <c r="W639" s="195"/>
      <c r="X639" s="195"/>
      <c r="Y639" s="195"/>
      <c r="Z639" s="195"/>
      <c r="AA639" s="195"/>
      <c r="AB639" s="195"/>
      <c r="AC639" s="195"/>
      <c r="AD639" s="195"/>
      <c r="AE639" s="195"/>
      <c r="AR639" s="210"/>
      <c r="AT639" s="210"/>
      <c r="AU639" s="210"/>
      <c r="AY639" s="211"/>
      <c r="BE639" s="212"/>
      <c r="BF639" s="212"/>
      <c r="BG639" s="212"/>
      <c r="BH639" s="212"/>
      <c r="BI639" s="212"/>
      <c r="BJ639" s="211"/>
      <c r="BK639" s="212"/>
      <c r="BL639" s="211"/>
      <c r="BM639" s="210"/>
    </row>
    <row r="640" spans="1:65" s="209" customFormat="1" ht="12">
      <c r="A640" s="195"/>
      <c r="B640" s="196"/>
      <c r="C640" s="197"/>
      <c r="D640" s="197"/>
      <c r="E640" s="198"/>
      <c r="F640" s="184" t="s">
        <v>3078</v>
      </c>
      <c r="G640" s="185"/>
      <c r="H640" s="192">
        <f>5*0.6</f>
        <v>3</v>
      </c>
      <c r="I640" s="194"/>
      <c r="J640" s="194"/>
      <c r="K640" s="202"/>
      <c r="L640" s="203"/>
      <c r="M640" s="204"/>
      <c r="N640" s="205"/>
      <c r="O640" s="206"/>
      <c r="P640" s="207"/>
      <c r="Q640" s="207"/>
      <c r="R640" s="207"/>
      <c r="S640" s="207"/>
      <c r="T640" s="208"/>
      <c r="U640" s="195"/>
      <c r="V640" s="195"/>
      <c r="W640" s="195"/>
      <c r="X640" s="195"/>
      <c r="Y640" s="195"/>
      <c r="Z640" s="195"/>
      <c r="AA640" s="195"/>
      <c r="AB640" s="195"/>
      <c r="AC640" s="195"/>
      <c r="AD640" s="195"/>
      <c r="AE640" s="195"/>
      <c r="AR640" s="210"/>
      <c r="AT640" s="210"/>
      <c r="AU640" s="210"/>
      <c r="AY640" s="211"/>
      <c r="BE640" s="212"/>
      <c r="BF640" s="212"/>
      <c r="BG640" s="212"/>
      <c r="BH640" s="212"/>
      <c r="BI640" s="212"/>
      <c r="BJ640" s="211"/>
      <c r="BK640" s="212"/>
      <c r="BL640" s="211"/>
      <c r="BM640" s="210"/>
    </row>
    <row r="641" spans="1:65" s="209" customFormat="1" ht="12">
      <c r="A641" s="195"/>
      <c r="B641" s="196"/>
      <c r="C641" s="197"/>
      <c r="D641" s="197"/>
      <c r="E641" s="198"/>
      <c r="F641" s="187" t="s">
        <v>2983</v>
      </c>
      <c r="G641" s="188"/>
      <c r="H641" s="189">
        <f>SUM(H635:H635)</f>
        <v>7.1999999999999993</v>
      </c>
      <c r="I641" s="194"/>
      <c r="J641" s="194"/>
      <c r="K641" s="202"/>
      <c r="L641" s="203"/>
      <c r="M641" s="204"/>
      <c r="N641" s="205"/>
      <c r="O641" s="206"/>
      <c r="P641" s="207"/>
      <c r="Q641" s="207"/>
      <c r="R641" s="207"/>
      <c r="S641" s="207"/>
      <c r="T641" s="208"/>
      <c r="U641" s="195"/>
      <c r="V641" s="195"/>
      <c r="W641" s="195"/>
      <c r="X641" s="195"/>
      <c r="Y641" s="195"/>
      <c r="Z641" s="195"/>
      <c r="AA641" s="195"/>
      <c r="AB641" s="195"/>
      <c r="AC641" s="195"/>
      <c r="AD641" s="195"/>
      <c r="AE641" s="195"/>
      <c r="AR641" s="210"/>
      <c r="AT641" s="210"/>
      <c r="AU641" s="210"/>
      <c r="AY641" s="211"/>
      <c r="BE641" s="212"/>
      <c r="BF641" s="212"/>
      <c r="BG641" s="212"/>
      <c r="BH641" s="212"/>
      <c r="BI641" s="212"/>
      <c r="BJ641" s="211"/>
      <c r="BK641" s="212"/>
      <c r="BL641" s="211"/>
      <c r="BM641" s="210"/>
    </row>
    <row r="642" spans="1:65" s="2" customFormat="1" ht="24.2" customHeight="1">
      <c r="A642" s="29"/>
      <c r="B642" s="152"/>
      <c r="C642" s="153" t="s">
        <v>442</v>
      </c>
      <c r="D642" s="153" t="s">
        <v>181</v>
      </c>
      <c r="E642" s="154" t="s">
        <v>689</v>
      </c>
      <c r="F642" s="155" t="s">
        <v>690</v>
      </c>
      <c r="G642" s="156" t="s">
        <v>293</v>
      </c>
      <c r="H642" s="157">
        <v>143.84</v>
      </c>
      <c r="I642" s="158"/>
      <c r="J642" s="159">
        <v>0</v>
      </c>
      <c r="K642" s="160"/>
      <c r="L642" s="30"/>
      <c r="M642" s="161" t="s">
        <v>1</v>
      </c>
      <c r="N642" s="162" t="s">
        <v>35</v>
      </c>
      <c r="O642" s="58"/>
      <c r="P642" s="163">
        <f t="shared" si="55"/>
        <v>0</v>
      </c>
      <c r="Q642" s="163">
        <v>0</v>
      </c>
      <c r="R642" s="163">
        <f t="shared" si="56"/>
        <v>0</v>
      </c>
      <c r="S642" s="163">
        <v>2.3E-3</v>
      </c>
      <c r="T642" s="164">
        <f t="shared" si="57"/>
        <v>0.33083200000000001</v>
      </c>
      <c r="U642" s="29"/>
      <c r="V642" s="29"/>
      <c r="W642" s="29"/>
      <c r="X642" s="29"/>
      <c r="Y642" s="29"/>
      <c r="Z642" s="29"/>
      <c r="AA642" s="29"/>
      <c r="AB642" s="29"/>
      <c r="AC642" s="29"/>
      <c r="AD642" s="29"/>
      <c r="AE642" s="29"/>
      <c r="AR642" s="165" t="s">
        <v>213</v>
      </c>
      <c r="AT642" s="165" t="s">
        <v>181</v>
      </c>
      <c r="AU642" s="165" t="s">
        <v>82</v>
      </c>
      <c r="AY642" s="14" t="s">
        <v>179</v>
      </c>
      <c r="BE642" s="166">
        <f t="shared" si="58"/>
        <v>0</v>
      </c>
      <c r="BF642" s="166">
        <f t="shared" si="59"/>
        <v>0</v>
      </c>
      <c r="BG642" s="166">
        <f t="shared" si="60"/>
        <v>0</v>
      </c>
      <c r="BH642" s="166">
        <f t="shared" si="61"/>
        <v>0</v>
      </c>
      <c r="BI642" s="166">
        <f t="shared" si="62"/>
        <v>0</v>
      </c>
      <c r="BJ642" s="14" t="s">
        <v>82</v>
      </c>
      <c r="BK642" s="166">
        <f t="shared" si="63"/>
        <v>0</v>
      </c>
      <c r="BL642" s="14" t="s">
        <v>213</v>
      </c>
      <c r="BM642" s="165" t="s">
        <v>691</v>
      </c>
    </row>
    <row r="643" spans="1:65" s="209" customFormat="1" ht="12">
      <c r="A643" s="195"/>
      <c r="B643" s="196"/>
      <c r="C643" s="197"/>
      <c r="D643" s="197"/>
      <c r="E643" s="198"/>
      <c r="F643" s="184" t="s">
        <v>3158</v>
      </c>
      <c r="G643" s="185"/>
      <c r="H643" s="192">
        <f>2*1.42</f>
        <v>2.84</v>
      </c>
      <c r="I643" s="194"/>
      <c r="J643" s="194"/>
      <c r="K643" s="202"/>
      <c r="L643" s="203"/>
      <c r="M643" s="204"/>
      <c r="N643" s="205"/>
      <c r="O643" s="206"/>
      <c r="P643" s="207"/>
      <c r="Q643" s="207"/>
      <c r="R643" s="207"/>
      <c r="S643" s="207"/>
      <c r="T643" s="208"/>
      <c r="U643" s="195"/>
      <c r="V643" s="195"/>
      <c r="W643" s="195"/>
      <c r="X643" s="195"/>
      <c r="Y643" s="195"/>
      <c r="Z643" s="195"/>
      <c r="AA643" s="195"/>
      <c r="AB643" s="195"/>
      <c r="AC643" s="195"/>
      <c r="AD643" s="195"/>
      <c r="AE643" s="195"/>
      <c r="AR643" s="210"/>
      <c r="AT643" s="210"/>
      <c r="AU643" s="210"/>
      <c r="AY643" s="211"/>
      <c r="BE643" s="212"/>
      <c r="BF643" s="212"/>
      <c r="BG643" s="212"/>
      <c r="BH643" s="212"/>
      <c r="BI643" s="212"/>
      <c r="BJ643" s="211"/>
      <c r="BK643" s="212"/>
      <c r="BL643" s="211"/>
      <c r="BM643" s="210"/>
    </row>
    <row r="644" spans="1:65" s="209" customFormat="1" ht="12">
      <c r="A644" s="195"/>
      <c r="B644" s="196"/>
      <c r="C644" s="197"/>
      <c r="D644" s="197"/>
      <c r="E644" s="198"/>
      <c r="F644" s="184" t="s">
        <v>3159</v>
      </c>
      <c r="G644" s="185"/>
      <c r="H644" s="192">
        <v>141</v>
      </c>
      <c r="I644" s="194"/>
      <c r="J644" s="194"/>
      <c r="K644" s="202"/>
      <c r="L644" s="203"/>
      <c r="M644" s="204"/>
      <c r="N644" s="205"/>
      <c r="O644" s="206"/>
      <c r="P644" s="207"/>
      <c r="Q644" s="207"/>
      <c r="R644" s="207"/>
      <c r="S644" s="207"/>
      <c r="T644" s="208"/>
      <c r="U644" s="195"/>
      <c r="V644" s="195"/>
      <c r="W644" s="195"/>
      <c r="X644" s="195"/>
      <c r="Y644" s="195"/>
      <c r="Z644" s="195"/>
      <c r="AA644" s="195"/>
      <c r="AB644" s="195"/>
      <c r="AC644" s="195"/>
      <c r="AD644" s="195"/>
      <c r="AE644" s="195"/>
      <c r="AR644" s="210"/>
      <c r="AT644" s="210"/>
      <c r="AU644" s="210"/>
      <c r="AY644" s="211"/>
      <c r="BE644" s="212"/>
      <c r="BF644" s="212"/>
      <c r="BG644" s="212"/>
      <c r="BH644" s="212"/>
      <c r="BI644" s="212"/>
      <c r="BJ644" s="211"/>
      <c r="BK644" s="212"/>
      <c r="BL644" s="211"/>
      <c r="BM644" s="210"/>
    </row>
    <row r="645" spans="1:65" s="209" customFormat="1" ht="12">
      <c r="A645" s="195"/>
      <c r="B645" s="196"/>
      <c r="C645" s="197"/>
      <c r="D645" s="197"/>
      <c r="E645" s="198"/>
      <c r="F645" s="187" t="s">
        <v>2983</v>
      </c>
      <c r="G645" s="188"/>
      <c r="H645" s="189">
        <f>SUM(H643:H644)</f>
        <v>143.84</v>
      </c>
      <c r="I645" s="194"/>
      <c r="J645" s="194"/>
      <c r="K645" s="202"/>
      <c r="L645" s="203"/>
      <c r="M645" s="204"/>
      <c r="N645" s="205"/>
      <c r="O645" s="206"/>
      <c r="P645" s="207"/>
      <c r="Q645" s="207"/>
      <c r="R645" s="207"/>
      <c r="S645" s="207"/>
      <c r="T645" s="208"/>
      <c r="U645" s="195"/>
      <c r="V645" s="195"/>
      <c r="W645" s="195"/>
      <c r="X645" s="195"/>
      <c r="Y645" s="195"/>
      <c r="Z645" s="195"/>
      <c r="AA645" s="195"/>
      <c r="AB645" s="195"/>
      <c r="AC645" s="195"/>
      <c r="AD645" s="195"/>
      <c r="AE645" s="195"/>
      <c r="AR645" s="210"/>
      <c r="AT645" s="210"/>
      <c r="AU645" s="210"/>
      <c r="AY645" s="211"/>
      <c r="BE645" s="212"/>
      <c r="BF645" s="212"/>
      <c r="BG645" s="212"/>
      <c r="BH645" s="212"/>
      <c r="BI645" s="212"/>
      <c r="BJ645" s="211"/>
      <c r="BK645" s="212"/>
      <c r="BL645" s="211"/>
      <c r="BM645" s="210"/>
    </row>
    <row r="646" spans="1:65" s="2" customFormat="1" ht="24.2" customHeight="1">
      <c r="A646" s="29"/>
      <c r="B646" s="152"/>
      <c r="C646" s="153" t="s">
        <v>692</v>
      </c>
      <c r="D646" s="153" t="s">
        <v>181</v>
      </c>
      <c r="E646" s="154" t="s">
        <v>693</v>
      </c>
      <c r="F646" s="155" t="s">
        <v>694</v>
      </c>
      <c r="G646" s="156" t="s">
        <v>585</v>
      </c>
      <c r="H646" s="178"/>
      <c r="I646" s="158"/>
      <c r="J646" s="159">
        <v>0</v>
      </c>
      <c r="K646" s="160"/>
      <c r="L646" s="30"/>
      <c r="M646" s="161" t="s">
        <v>1</v>
      </c>
      <c r="N646" s="162" t="s">
        <v>35</v>
      </c>
      <c r="O646" s="58"/>
      <c r="P646" s="163">
        <f t="shared" si="55"/>
        <v>0</v>
      </c>
      <c r="Q646" s="163">
        <v>0</v>
      </c>
      <c r="R646" s="163">
        <f t="shared" si="56"/>
        <v>0</v>
      </c>
      <c r="S646" s="163">
        <v>0</v>
      </c>
      <c r="T646" s="164">
        <f t="shared" si="57"/>
        <v>0</v>
      </c>
      <c r="U646" s="29"/>
      <c r="V646" s="29"/>
      <c r="W646" s="29"/>
      <c r="X646" s="29"/>
      <c r="Y646" s="29"/>
      <c r="Z646" s="29"/>
      <c r="AA646" s="29"/>
      <c r="AB646" s="29"/>
      <c r="AC646" s="29"/>
      <c r="AD646" s="29"/>
      <c r="AE646" s="29"/>
      <c r="AR646" s="165" t="s">
        <v>213</v>
      </c>
      <c r="AT646" s="165" t="s">
        <v>181</v>
      </c>
      <c r="AU646" s="165" t="s">
        <v>82</v>
      </c>
      <c r="AY646" s="14" t="s">
        <v>179</v>
      </c>
      <c r="BE646" s="166">
        <f t="shared" si="58"/>
        <v>0</v>
      </c>
      <c r="BF646" s="166">
        <f t="shared" si="59"/>
        <v>0</v>
      </c>
      <c r="BG646" s="166">
        <f t="shared" si="60"/>
        <v>0</v>
      </c>
      <c r="BH646" s="166">
        <f t="shared" si="61"/>
        <v>0</v>
      </c>
      <c r="BI646" s="166">
        <f t="shared" si="62"/>
        <v>0</v>
      </c>
      <c r="BJ646" s="14" t="s">
        <v>82</v>
      </c>
      <c r="BK646" s="166">
        <f t="shared" si="63"/>
        <v>0</v>
      </c>
      <c r="BL646" s="14" t="s">
        <v>213</v>
      </c>
      <c r="BM646" s="165" t="s">
        <v>695</v>
      </c>
    </row>
    <row r="647" spans="1:65" s="12" customFormat="1" ht="22.9" customHeight="1">
      <c r="B647" s="139"/>
      <c r="D647" s="140" t="s">
        <v>68</v>
      </c>
      <c r="E647" s="150" t="s">
        <v>696</v>
      </c>
      <c r="F647" s="150" t="s">
        <v>697</v>
      </c>
      <c r="I647" s="142"/>
      <c r="J647" s="151">
        <v>0</v>
      </c>
      <c r="L647" s="139"/>
      <c r="M647" s="144"/>
      <c r="N647" s="145"/>
      <c r="O647" s="145"/>
      <c r="P647" s="146">
        <f>SUM(P648:P664)</f>
        <v>0</v>
      </c>
      <c r="Q647" s="145"/>
      <c r="R647" s="146">
        <f>SUM(R648:R664)</f>
        <v>0</v>
      </c>
      <c r="S647" s="145"/>
      <c r="T647" s="147">
        <f>SUM(T648:T664)</f>
        <v>0</v>
      </c>
      <c r="AR647" s="140" t="s">
        <v>82</v>
      </c>
      <c r="AT647" s="148" t="s">
        <v>68</v>
      </c>
      <c r="AU647" s="148" t="s">
        <v>76</v>
      </c>
      <c r="AY647" s="140" t="s">
        <v>179</v>
      </c>
      <c r="BK647" s="149">
        <f>SUM(BK648:BK664)</f>
        <v>0</v>
      </c>
    </row>
    <row r="648" spans="1:65" s="2" customFormat="1" ht="33" customHeight="1">
      <c r="A648" s="29"/>
      <c r="B648" s="152"/>
      <c r="C648" s="153" t="s">
        <v>446</v>
      </c>
      <c r="D648" s="153" t="s">
        <v>181</v>
      </c>
      <c r="E648" s="154" t="s">
        <v>698</v>
      </c>
      <c r="F648" s="155" t="s">
        <v>699</v>
      </c>
      <c r="G648" s="156" t="s">
        <v>217</v>
      </c>
      <c r="H648" s="157">
        <v>7</v>
      </c>
      <c r="I648" s="158"/>
      <c r="J648" s="159">
        <v>0</v>
      </c>
      <c r="K648" s="160"/>
      <c r="L648" s="30"/>
      <c r="M648" s="161" t="s">
        <v>1</v>
      </c>
      <c r="N648" s="162" t="s">
        <v>35</v>
      </c>
      <c r="O648" s="58"/>
      <c r="P648" s="163">
        <f t="shared" ref="P648:P664" si="64">O648*H648</f>
        <v>0</v>
      </c>
      <c r="Q648" s="163">
        <v>0</v>
      </c>
      <c r="R648" s="163">
        <f t="shared" ref="R648:R664" si="65">Q648*H648</f>
        <v>0</v>
      </c>
      <c r="S648" s="163">
        <v>0</v>
      </c>
      <c r="T648" s="164">
        <f t="shared" ref="T648:T664" si="66">S648*H648</f>
        <v>0</v>
      </c>
      <c r="U648" s="29"/>
      <c r="V648" s="29"/>
      <c r="W648" s="29"/>
      <c r="X648" s="29"/>
      <c r="Y648" s="29"/>
      <c r="Z648" s="29"/>
      <c r="AA648" s="29"/>
      <c r="AB648" s="29"/>
      <c r="AC648" s="29"/>
      <c r="AD648" s="29"/>
      <c r="AE648" s="29"/>
      <c r="AR648" s="165" t="s">
        <v>213</v>
      </c>
      <c r="AT648" s="165" t="s">
        <v>181</v>
      </c>
      <c r="AU648" s="165" t="s">
        <v>82</v>
      </c>
      <c r="AY648" s="14" t="s">
        <v>179</v>
      </c>
      <c r="BE648" s="166">
        <f t="shared" ref="BE648:BE664" si="67">IF(N648="základná",J648,0)</f>
        <v>0</v>
      </c>
      <c r="BF648" s="166">
        <f t="shared" ref="BF648:BF664" si="68">IF(N648="znížená",J648,0)</f>
        <v>0</v>
      </c>
      <c r="BG648" s="166">
        <f t="shared" ref="BG648:BG664" si="69">IF(N648="zákl. prenesená",J648,0)</f>
        <v>0</v>
      </c>
      <c r="BH648" s="166">
        <f t="shared" ref="BH648:BH664" si="70">IF(N648="zníž. prenesená",J648,0)</f>
        <v>0</v>
      </c>
      <c r="BI648" s="166">
        <f t="shared" ref="BI648:BI664" si="71">IF(N648="nulová",J648,0)</f>
        <v>0</v>
      </c>
      <c r="BJ648" s="14" t="s">
        <v>82</v>
      </c>
      <c r="BK648" s="166">
        <f t="shared" ref="BK648:BK664" si="72">ROUND(I648*H648,2)</f>
        <v>0</v>
      </c>
      <c r="BL648" s="14" t="s">
        <v>213</v>
      </c>
      <c r="BM648" s="165" t="s">
        <v>700</v>
      </c>
    </row>
    <row r="649" spans="1:65" s="209" customFormat="1" ht="12">
      <c r="A649" s="195"/>
      <c r="B649" s="196"/>
      <c r="C649" s="197"/>
      <c r="D649" s="197"/>
      <c r="E649" s="198"/>
      <c r="F649" s="184" t="s">
        <v>3160</v>
      </c>
      <c r="G649" s="226"/>
      <c r="H649" s="186">
        <v>1</v>
      </c>
      <c r="I649" s="194"/>
      <c r="J649" s="194"/>
      <c r="K649" s="202"/>
      <c r="L649" s="203"/>
      <c r="M649" s="204"/>
      <c r="N649" s="205"/>
      <c r="O649" s="206"/>
      <c r="P649" s="207"/>
      <c r="Q649" s="207"/>
      <c r="R649" s="207"/>
      <c r="S649" s="207"/>
      <c r="T649" s="208"/>
      <c r="U649" s="195"/>
      <c r="V649" s="195"/>
      <c r="W649" s="195"/>
      <c r="X649" s="195"/>
      <c r="Y649" s="195"/>
      <c r="Z649" s="195"/>
      <c r="AA649" s="195"/>
      <c r="AB649" s="195"/>
      <c r="AC649" s="195"/>
      <c r="AD649" s="195"/>
      <c r="AE649" s="195"/>
      <c r="AR649" s="210"/>
      <c r="AT649" s="210"/>
      <c r="AU649" s="210"/>
      <c r="AY649" s="211"/>
      <c r="BE649" s="212"/>
      <c r="BF649" s="212"/>
      <c r="BG649" s="212"/>
      <c r="BH649" s="212"/>
      <c r="BI649" s="212"/>
      <c r="BJ649" s="211"/>
      <c r="BK649" s="212"/>
      <c r="BL649" s="211"/>
      <c r="BM649" s="210"/>
    </row>
    <row r="650" spans="1:65" s="209" customFormat="1" ht="12">
      <c r="A650" s="195"/>
      <c r="B650" s="196"/>
      <c r="C650" s="197"/>
      <c r="D650" s="197"/>
      <c r="E650" s="198"/>
      <c r="F650" s="184" t="s">
        <v>3161</v>
      </c>
      <c r="G650" s="226"/>
      <c r="H650" s="186">
        <v>1</v>
      </c>
      <c r="I650" s="194"/>
      <c r="J650" s="194"/>
      <c r="K650" s="202"/>
      <c r="L650" s="203"/>
      <c r="M650" s="204"/>
      <c r="N650" s="205"/>
      <c r="O650" s="206"/>
      <c r="P650" s="207"/>
      <c r="Q650" s="207"/>
      <c r="R650" s="207"/>
      <c r="S650" s="207"/>
      <c r="T650" s="208"/>
      <c r="U650" s="195"/>
      <c r="V650" s="195"/>
      <c r="W650" s="195"/>
      <c r="X650" s="195"/>
      <c r="Y650" s="195"/>
      <c r="Z650" s="195"/>
      <c r="AA650" s="195"/>
      <c r="AB650" s="195"/>
      <c r="AC650" s="195"/>
      <c r="AD650" s="195"/>
      <c r="AE650" s="195"/>
      <c r="AR650" s="210"/>
      <c r="AT650" s="210"/>
      <c r="AU650" s="210"/>
      <c r="AY650" s="211"/>
      <c r="BE650" s="212"/>
      <c r="BF650" s="212"/>
      <c r="BG650" s="212"/>
      <c r="BH650" s="212"/>
      <c r="BI650" s="212"/>
      <c r="BJ650" s="211"/>
      <c r="BK650" s="212"/>
      <c r="BL650" s="211"/>
      <c r="BM650" s="210"/>
    </row>
    <row r="651" spans="1:65" s="209" customFormat="1" ht="12">
      <c r="A651" s="195"/>
      <c r="B651" s="196"/>
      <c r="C651" s="197"/>
      <c r="D651" s="197"/>
      <c r="E651" s="198"/>
      <c r="F651" s="184" t="s">
        <v>3162</v>
      </c>
      <c r="G651" s="226"/>
      <c r="H651" s="186">
        <v>4</v>
      </c>
      <c r="I651" s="194"/>
      <c r="J651" s="194"/>
      <c r="K651" s="202"/>
      <c r="L651" s="203"/>
      <c r="M651" s="204"/>
      <c r="N651" s="205"/>
      <c r="O651" s="206"/>
      <c r="P651" s="207"/>
      <c r="Q651" s="207"/>
      <c r="R651" s="207"/>
      <c r="S651" s="207"/>
      <c r="T651" s="208"/>
      <c r="U651" s="195"/>
      <c r="V651" s="195"/>
      <c r="W651" s="195"/>
      <c r="X651" s="195"/>
      <c r="Y651" s="195"/>
      <c r="Z651" s="195"/>
      <c r="AA651" s="195"/>
      <c r="AB651" s="195"/>
      <c r="AC651" s="195"/>
      <c r="AD651" s="195"/>
      <c r="AE651" s="195"/>
      <c r="AR651" s="210"/>
      <c r="AT651" s="210"/>
      <c r="AU651" s="210"/>
      <c r="AY651" s="211"/>
      <c r="BE651" s="212"/>
      <c r="BF651" s="212"/>
      <c r="BG651" s="212"/>
      <c r="BH651" s="212"/>
      <c r="BI651" s="212"/>
      <c r="BJ651" s="211"/>
      <c r="BK651" s="212"/>
      <c r="BL651" s="211"/>
      <c r="BM651" s="210"/>
    </row>
    <row r="652" spans="1:65" s="209" customFormat="1" ht="12">
      <c r="A652" s="195"/>
      <c r="B652" s="196"/>
      <c r="C652" s="197"/>
      <c r="D652" s="197"/>
      <c r="E652" s="198"/>
      <c r="F652" s="184" t="s">
        <v>3163</v>
      </c>
      <c r="G652" s="226"/>
      <c r="H652" s="186">
        <v>1</v>
      </c>
      <c r="I652" s="194"/>
      <c r="J652" s="194"/>
      <c r="K652" s="202"/>
      <c r="L652" s="203"/>
      <c r="M652" s="204"/>
      <c r="N652" s="205"/>
      <c r="O652" s="206"/>
      <c r="P652" s="207"/>
      <c r="Q652" s="207"/>
      <c r="R652" s="207"/>
      <c r="S652" s="207"/>
      <c r="T652" s="208"/>
      <c r="U652" s="195"/>
      <c r="V652" s="195"/>
      <c r="W652" s="195"/>
      <c r="X652" s="195"/>
      <c r="Y652" s="195"/>
      <c r="Z652" s="195"/>
      <c r="AA652" s="195"/>
      <c r="AB652" s="195"/>
      <c r="AC652" s="195"/>
      <c r="AD652" s="195"/>
      <c r="AE652" s="195"/>
      <c r="AR652" s="210"/>
      <c r="AT652" s="210"/>
      <c r="AU652" s="210"/>
      <c r="AY652" s="211"/>
      <c r="BE652" s="212"/>
      <c r="BF652" s="212"/>
      <c r="BG652" s="212"/>
      <c r="BH652" s="212"/>
      <c r="BI652" s="212"/>
      <c r="BJ652" s="211"/>
      <c r="BK652" s="212"/>
      <c r="BL652" s="211"/>
      <c r="BM652" s="210"/>
    </row>
    <row r="653" spans="1:65" s="209" customFormat="1" ht="12">
      <c r="A653" s="195"/>
      <c r="B653" s="196"/>
      <c r="C653" s="197"/>
      <c r="D653" s="197"/>
      <c r="E653" s="198"/>
      <c r="F653" s="187" t="s">
        <v>2983</v>
      </c>
      <c r="G653" s="188"/>
      <c r="H653" s="189">
        <f>SUM(H649:H652)</f>
        <v>7</v>
      </c>
      <c r="I653" s="194"/>
      <c r="J653" s="194"/>
      <c r="K653" s="202"/>
      <c r="L653" s="203"/>
      <c r="M653" s="204"/>
      <c r="N653" s="205"/>
      <c r="O653" s="206"/>
      <c r="P653" s="207"/>
      <c r="Q653" s="207"/>
      <c r="R653" s="207"/>
      <c r="S653" s="207"/>
      <c r="T653" s="208"/>
      <c r="U653" s="195"/>
      <c r="V653" s="195"/>
      <c r="W653" s="195"/>
      <c r="X653" s="195"/>
      <c r="Y653" s="195"/>
      <c r="Z653" s="195"/>
      <c r="AA653" s="195"/>
      <c r="AB653" s="195"/>
      <c r="AC653" s="195"/>
      <c r="AD653" s="195"/>
      <c r="AE653" s="195"/>
      <c r="AR653" s="210"/>
      <c r="AT653" s="210"/>
      <c r="AU653" s="210"/>
      <c r="AY653" s="211"/>
      <c r="BE653" s="212"/>
      <c r="BF653" s="212"/>
      <c r="BG653" s="212"/>
      <c r="BH653" s="212"/>
      <c r="BI653" s="212"/>
      <c r="BJ653" s="211"/>
      <c r="BK653" s="212"/>
      <c r="BL653" s="211"/>
      <c r="BM653" s="210"/>
    </row>
    <row r="654" spans="1:65" s="2" customFormat="1" ht="76.349999999999994" customHeight="1">
      <c r="A654" s="29"/>
      <c r="B654" s="152"/>
      <c r="C654" s="167" t="s">
        <v>701</v>
      </c>
      <c r="D654" s="167" t="s">
        <v>202</v>
      </c>
      <c r="E654" s="168" t="s">
        <v>702</v>
      </c>
      <c r="F654" s="169" t="s">
        <v>703</v>
      </c>
      <c r="G654" s="170" t="s">
        <v>217</v>
      </c>
      <c r="H654" s="171">
        <v>1</v>
      </c>
      <c r="I654" s="172"/>
      <c r="J654" s="173">
        <v>0</v>
      </c>
      <c r="K654" s="174"/>
      <c r="L654" s="175"/>
      <c r="M654" s="176" t="s">
        <v>1</v>
      </c>
      <c r="N654" s="177" t="s">
        <v>35</v>
      </c>
      <c r="O654" s="58"/>
      <c r="P654" s="163">
        <f t="shared" si="64"/>
        <v>0</v>
      </c>
      <c r="Q654" s="163">
        <v>0</v>
      </c>
      <c r="R654" s="163">
        <f t="shared" si="65"/>
        <v>0</v>
      </c>
      <c r="S654" s="163">
        <v>0</v>
      </c>
      <c r="T654" s="164">
        <f t="shared" si="66"/>
        <v>0</v>
      </c>
      <c r="U654" s="29"/>
      <c r="V654" s="29"/>
      <c r="W654" s="29"/>
      <c r="X654" s="29"/>
      <c r="Y654" s="29"/>
      <c r="Z654" s="29"/>
      <c r="AA654" s="29"/>
      <c r="AB654" s="29"/>
      <c r="AC654" s="29"/>
      <c r="AD654" s="29"/>
      <c r="AE654" s="29"/>
      <c r="AR654" s="165" t="s">
        <v>242</v>
      </c>
      <c r="AT654" s="165" t="s">
        <v>202</v>
      </c>
      <c r="AU654" s="165" t="s">
        <v>82</v>
      </c>
      <c r="AY654" s="14" t="s">
        <v>179</v>
      </c>
      <c r="BE654" s="166">
        <f t="shared" si="67"/>
        <v>0</v>
      </c>
      <c r="BF654" s="166">
        <f t="shared" si="68"/>
        <v>0</v>
      </c>
      <c r="BG654" s="166">
        <f t="shared" si="69"/>
        <v>0</v>
      </c>
      <c r="BH654" s="166">
        <f t="shared" si="70"/>
        <v>0</v>
      </c>
      <c r="BI654" s="166">
        <f t="shared" si="71"/>
        <v>0</v>
      </c>
      <c r="BJ654" s="14" t="s">
        <v>82</v>
      </c>
      <c r="BK654" s="166">
        <f t="shared" si="72"/>
        <v>0</v>
      </c>
      <c r="BL654" s="14" t="s">
        <v>213</v>
      </c>
      <c r="BM654" s="165" t="s">
        <v>704</v>
      </c>
    </row>
    <row r="655" spans="1:65" s="2" customFormat="1" ht="76.349999999999994" customHeight="1">
      <c r="A655" s="29"/>
      <c r="B655" s="152"/>
      <c r="C655" s="167" t="s">
        <v>449</v>
      </c>
      <c r="D655" s="167" t="s">
        <v>202</v>
      </c>
      <c r="E655" s="168" t="s">
        <v>705</v>
      </c>
      <c r="F655" s="169" t="s">
        <v>706</v>
      </c>
      <c r="G655" s="170" t="s">
        <v>217</v>
      </c>
      <c r="H655" s="171">
        <v>1</v>
      </c>
      <c r="I655" s="172"/>
      <c r="J655" s="173">
        <v>0</v>
      </c>
      <c r="K655" s="174"/>
      <c r="L655" s="175"/>
      <c r="M655" s="176" t="s">
        <v>1</v>
      </c>
      <c r="N655" s="177" t="s">
        <v>35</v>
      </c>
      <c r="O655" s="58"/>
      <c r="P655" s="163">
        <f t="shared" si="64"/>
        <v>0</v>
      </c>
      <c r="Q655" s="163">
        <v>0</v>
      </c>
      <c r="R655" s="163">
        <f t="shared" si="65"/>
        <v>0</v>
      </c>
      <c r="S655" s="163">
        <v>0</v>
      </c>
      <c r="T655" s="164">
        <f t="shared" si="66"/>
        <v>0</v>
      </c>
      <c r="U655" s="29"/>
      <c r="V655" s="29"/>
      <c r="W655" s="29"/>
      <c r="X655" s="29"/>
      <c r="Y655" s="29"/>
      <c r="Z655" s="29"/>
      <c r="AA655" s="29"/>
      <c r="AB655" s="29"/>
      <c r="AC655" s="29"/>
      <c r="AD655" s="29"/>
      <c r="AE655" s="29"/>
      <c r="AR655" s="165" t="s">
        <v>242</v>
      </c>
      <c r="AT655" s="165" t="s">
        <v>202</v>
      </c>
      <c r="AU655" s="165" t="s">
        <v>82</v>
      </c>
      <c r="AY655" s="14" t="s">
        <v>179</v>
      </c>
      <c r="BE655" s="166">
        <f t="shared" si="67"/>
        <v>0</v>
      </c>
      <c r="BF655" s="166">
        <f t="shared" si="68"/>
        <v>0</v>
      </c>
      <c r="BG655" s="166">
        <f t="shared" si="69"/>
        <v>0</v>
      </c>
      <c r="BH655" s="166">
        <f t="shared" si="70"/>
        <v>0</v>
      </c>
      <c r="BI655" s="166">
        <f t="shared" si="71"/>
        <v>0</v>
      </c>
      <c r="BJ655" s="14" t="s">
        <v>82</v>
      </c>
      <c r="BK655" s="166">
        <f t="shared" si="72"/>
        <v>0</v>
      </c>
      <c r="BL655" s="14" t="s">
        <v>213</v>
      </c>
      <c r="BM655" s="165" t="s">
        <v>707</v>
      </c>
    </row>
    <row r="656" spans="1:65" s="2" customFormat="1" ht="76.349999999999994" customHeight="1">
      <c r="A656" s="29"/>
      <c r="B656" s="152"/>
      <c r="C656" s="167" t="s">
        <v>708</v>
      </c>
      <c r="D656" s="167" t="s">
        <v>202</v>
      </c>
      <c r="E656" s="168" t="s">
        <v>709</v>
      </c>
      <c r="F656" s="169" t="s">
        <v>710</v>
      </c>
      <c r="G656" s="170" t="s">
        <v>217</v>
      </c>
      <c r="H656" s="171">
        <v>4</v>
      </c>
      <c r="I656" s="172"/>
      <c r="J656" s="173">
        <v>0</v>
      </c>
      <c r="K656" s="174"/>
      <c r="L656" s="175"/>
      <c r="M656" s="176" t="s">
        <v>1</v>
      </c>
      <c r="N656" s="177" t="s">
        <v>35</v>
      </c>
      <c r="O656" s="58"/>
      <c r="P656" s="163">
        <f t="shared" si="64"/>
        <v>0</v>
      </c>
      <c r="Q656" s="163">
        <v>0</v>
      </c>
      <c r="R656" s="163">
        <f t="shared" si="65"/>
        <v>0</v>
      </c>
      <c r="S656" s="163">
        <v>0</v>
      </c>
      <c r="T656" s="164">
        <f t="shared" si="66"/>
        <v>0</v>
      </c>
      <c r="U656" s="29"/>
      <c r="V656" s="29"/>
      <c r="W656" s="29"/>
      <c r="X656" s="29"/>
      <c r="Y656" s="29"/>
      <c r="Z656" s="29"/>
      <c r="AA656" s="29"/>
      <c r="AB656" s="29"/>
      <c r="AC656" s="29"/>
      <c r="AD656" s="29"/>
      <c r="AE656" s="29"/>
      <c r="AR656" s="165" t="s">
        <v>242</v>
      </c>
      <c r="AT656" s="165" t="s">
        <v>202</v>
      </c>
      <c r="AU656" s="165" t="s">
        <v>82</v>
      </c>
      <c r="AY656" s="14" t="s">
        <v>179</v>
      </c>
      <c r="BE656" s="166">
        <f t="shared" si="67"/>
        <v>0</v>
      </c>
      <c r="BF656" s="166">
        <f t="shared" si="68"/>
        <v>0</v>
      </c>
      <c r="BG656" s="166">
        <f t="shared" si="69"/>
        <v>0</v>
      </c>
      <c r="BH656" s="166">
        <f t="shared" si="70"/>
        <v>0</v>
      </c>
      <c r="BI656" s="166">
        <f t="shared" si="71"/>
        <v>0</v>
      </c>
      <c r="BJ656" s="14" t="s">
        <v>82</v>
      </c>
      <c r="BK656" s="166">
        <f t="shared" si="72"/>
        <v>0</v>
      </c>
      <c r="BL656" s="14" t="s">
        <v>213</v>
      </c>
      <c r="BM656" s="165" t="s">
        <v>711</v>
      </c>
    </row>
    <row r="657" spans="1:65" s="2" customFormat="1" ht="76.349999999999994" customHeight="1">
      <c r="A657" s="29"/>
      <c r="B657" s="152"/>
      <c r="C657" s="167" t="s">
        <v>453</v>
      </c>
      <c r="D657" s="167" t="s">
        <v>202</v>
      </c>
      <c r="E657" s="168" t="s">
        <v>712</v>
      </c>
      <c r="F657" s="169" t="s">
        <v>713</v>
      </c>
      <c r="G657" s="170" t="s">
        <v>217</v>
      </c>
      <c r="H657" s="171">
        <v>1</v>
      </c>
      <c r="I657" s="172"/>
      <c r="J657" s="173">
        <v>0</v>
      </c>
      <c r="K657" s="174"/>
      <c r="L657" s="175"/>
      <c r="M657" s="176" t="s">
        <v>1</v>
      </c>
      <c r="N657" s="177" t="s">
        <v>35</v>
      </c>
      <c r="O657" s="58"/>
      <c r="P657" s="163">
        <f t="shared" si="64"/>
        <v>0</v>
      </c>
      <c r="Q657" s="163">
        <v>0</v>
      </c>
      <c r="R657" s="163">
        <f t="shared" si="65"/>
        <v>0</v>
      </c>
      <c r="S657" s="163">
        <v>0</v>
      </c>
      <c r="T657" s="164">
        <f t="shared" si="66"/>
        <v>0</v>
      </c>
      <c r="U657" s="29"/>
      <c r="V657" s="29"/>
      <c r="W657" s="29"/>
      <c r="X657" s="29"/>
      <c r="Y657" s="29"/>
      <c r="Z657" s="29"/>
      <c r="AA657" s="29"/>
      <c r="AB657" s="29"/>
      <c r="AC657" s="29"/>
      <c r="AD657" s="29"/>
      <c r="AE657" s="29"/>
      <c r="AR657" s="165" t="s">
        <v>242</v>
      </c>
      <c r="AT657" s="165" t="s">
        <v>202</v>
      </c>
      <c r="AU657" s="165" t="s">
        <v>82</v>
      </c>
      <c r="AY657" s="14" t="s">
        <v>179</v>
      </c>
      <c r="BE657" s="166">
        <f t="shared" si="67"/>
        <v>0</v>
      </c>
      <c r="BF657" s="166">
        <f t="shared" si="68"/>
        <v>0</v>
      </c>
      <c r="BG657" s="166">
        <f t="shared" si="69"/>
        <v>0</v>
      </c>
      <c r="BH657" s="166">
        <f t="shared" si="70"/>
        <v>0</v>
      </c>
      <c r="BI657" s="166">
        <f t="shared" si="71"/>
        <v>0</v>
      </c>
      <c r="BJ657" s="14" t="s">
        <v>82</v>
      </c>
      <c r="BK657" s="166">
        <f t="shared" si="72"/>
        <v>0</v>
      </c>
      <c r="BL657" s="14" t="s">
        <v>213</v>
      </c>
      <c r="BM657" s="165" t="s">
        <v>714</v>
      </c>
    </row>
    <row r="658" spans="1:65" s="2" customFormat="1" ht="21.75" customHeight="1">
      <c r="A658" s="29"/>
      <c r="B658" s="152"/>
      <c r="C658" s="153" t="s">
        <v>715</v>
      </c>
      <c r="D658" s="153" t="s">
        <v>181</v>
      </c>
      <c r="E658" s="154" t="s">
        <v>716</v>
      </c>
      <c r="F658" s="155" t="s">
        <v>717</v>
      </c>
      <c r="G658" s="156" t="s">
        <v>293</v>
      </c>
      <c r="H658" s="157">
        <v>21</v>
      </c>
      <c r="I658" s="158"/>
      <c r="J658" s="159">
        <v>0</v>
      </c>
      <c r="K658" s="160"/>
      <c r="L658" s="30"/>
      <c r="M658" s="161" t="s">
        <v>1</v>
      </c>
      <c r="N658" s="162" t="s">
        <v>35</v>
      </c>
      <c r="O658" s="58"/>
      <c r="P658" s="163">
        <f t="shared" si="64"/>
        <v>0</v>
      </c>
      <c r="Q658" s="163">
        <v>0</v>
      </c>
      <c r="R658" s="163">
        <f t="shared" si="65"/>
        <v>0</v>
      </c>
      <c r="S658" s="163">
        <v>0</v>
      </c>
      <c r="T658" s="164">
        <f t="shared" si="66"/>
        <v>0</v>
      </c>
      <c r="U658" s="29"/>
      <c r="V658" s="29"/>
      <c r="W658" s="29"/>
      <c r="X658" s="29"/>
      <c r="Y658" s="29"/>
      <c r="Z658" s="29"/>
      <c r="AA658" s="29"/>
      <c r="AB658" s="29"/>
      <c r="AC658" s="29"/>
      <c r="AD658" s="29"/>
      <c r="AE658" s="29"/>
      <c r="AR658" s="165" t="s">
        <v>213</v>
      </c>
      <c r="AT658" s="165" t="s">
        <v>181</v>
      </c>
      <c r="AU658" s="165" t="s">
        <v>82</v>
      </c>
      <c r="AY658" s="14" t="s">
        <v>179</v>
      </c>
      <c r="BE658" s="166">
        <f t="shared" si="67"/>
        <v>0</v>
      </c>
      <c r="BF658" s="166">
        <f t="shared" si="68"/>
        <v>0</v>
      </c>
      <c r="BG658" s="166">
        <f t="shared" si="69"/>
        <v>0</v>
      </c>
      <c r="BH658" s="166">
        <f t="shared" si="70"/>
        <v>0</v>
      </c>
      <c r="BI658" s="166">
        <f t="shared" si="71"/>
        <v>0</v>
      </c>
      <c r="BJ658" s="14" t="s">
        <v>82</v>
      </c>
      <c r="BK658" s="166">
        <f t="shared" si="72"/>
        <v>0</v>
      </c>
      <c r="BL658" s="14" t="s">
        <v>213</v>
      </c>
      <c r="BM658" s="165" t="s">
        <v>718</v>
      </c>
    </row>
    <row r="659" spans="1:65" s="209" customFormat="1" ht="12">
      <c r="A659" s="195"/>
      <c r="B659" s="196"/>
      <c r="C659" s="197"/>
      <c r="D659" s="197"/>
      <c r="E659" s="198"/>
      <c r="F659" s="184" t="s">
        <v>3164</v>
      </c>
      <c r="G659" s="226"/>
      <c r="H659" s="186">
        <f>4*2*(1.2+0.9)</f>
        <v>16.8</v>
      </c>
      <c r="I659" s="194"/>
      <c r="J659" s="194"/>
      <c r="K659" s="202"/>
      <c r="L659" s="203"/>
      <c r="M659" s="204"/>
      <c r="N659" s="205"/>
      <c r="O659" s="206"/>
      <c r="P659" s="207"/>
      <c r="Q659" s="207"/>
      <c r="R659" s="207"/>
      <c r="S659" s="207"/>
      <c r="T659" s="208"/>
      <c r="U659" s="195"/>
      <c r="V659" s="195"/>
      <c r="W659" s="195"/>
      <c r="X659" s="195"/>
      <c r="Y659" s="195"/>
      <c r="Z659" s="195"/>
      <c r="AA659" s="195"/>
      <c r="AB659" s="195"/>
      <c r="AC659" s="195"/>
      <c r="AD659" s="195"/>
      <c r="AE659" s="195"/>
      <c r="AR659" s="210"/>
      <c r="AT659" s="210"/>
      <c r="AU659" s="210"/>
      <c r="AY659" s="211"/>
      <c r="BE659" s="212"/>
      <c r="BF659" s="212"/>
      <c r="BG659" s="212"/>
      <c r="BH659" s="212"/>
      <c r="BI659" s="212"/>
      <c r="BJ659" s="211"/>
      <c r="BK659" s="212"/>
      <c r="BL659" s="211"/>
      <c r="BM659" s="210"/>
    </row>
    <row r="660" spans="1:65" s="209" customFormat="1" ht="12">
      <c r="A660" s="195"/>
      <c r="B660" s="196"/>
      <c r="C660" s="197"/>
      <c r="D660" s="197"/>
      <c r="E660" s="198"/>
      <c r="F660" s="184" t="s">
        <v>3165</v>
      </c>
      <c r="G660" s="226"/>
      <c r="H660" s="186">
        <f>1*2*(1.2+0.9)</f>
        <v>4.2</v>
      </c>
      <c r="I660" s="194"/>
      <c r="J660" s="194"/>
      <c r="K660" s="202"/>
      <c r="L660" s="203"/>
      <c r="M660" s="204"/>
      <c r="N660" s="205"/>
      <c r="O660" s="206"/>
      <c r="P660" s="207"/>
      <c r="Q660" s="207"/>
      <c r="R660" s="207"/>
      <c r="S660" s="207"/>
      <c r="T660" s="208"/>
      <c r="U660" s="195"/>
      <c r="V660" s="195"/>
      <c r="W660" s="195"/>
      <c r="X660" s="195"/>
      <c r="Y660" s="195"/>
      <c r="Z660" s="195"/>
      <c r="AA660" s="195"/>
      <c r="AB660" s="195"/>
      <c r="AC660" s="195"/>
      <c r="AD660" s="195"/>
      <c r="AE660" s="195"/>
      <c r="AR660" s="210"/>
      <c r="AT660" s="210"/>
      <c r="AU660" s="210"/>
      <c r="AY660" s="211"/>
      <c r="BE660" s="212"/>
      <c r="BF660" s="212"/>
      <c r="BG660" s="212"/>
      <c r="BH660" s="212"/>
      <c r="BI660" s="212"/>
      <c r="BJ660" s="211"/>
      <c r="BK660" s="212"/>
      <c r="BL660" s="211"/>
      <c r="BM660" s="210"/>
    </row>
    <row r="661" spans="1:65" s="209" customFormat="1" ht="12">
      <c r="A661" s="195"/>
      <c r="B661" s="196"/>
      <c r="C661" s="197"/>
      <c r="D661" s="197"/>
      <c r="E661" s="198"/>
      <c r="F661" s="187" t="s">
        <v>2983</v>
      </c>
      <c r="G661" s="188"/>
      <c r="H661" s="189">
        <f>SUM(H659:H660)</f>
        <v>21</v>
      </c>
      <c r="I661" s="194"/>
      <c r="J661" s="194"/>
      <c r="K661" s="202"/>
      <c r="L661" s="203"/>
      <c r="M661" s="204"/>
      <c r="N661" s="205"/>
      <c r="O661" s="206"/>
      <c r="P661" s="207"/>
      <c r="Q661" s="207"/>
      <c r="R661" s="207"/>
      <c r="S661" s="207"/>
      <c r="T661" s="208"/>
      <c r="U661" s="195"/>
      <c r="V661" s="195"/>
      <c r="W661" s="195"/>
      <c r="X661" s="195"/>
      <c r="Y661" s="195"/>
      <c r="Z661" s="195"/>
      <c r="AA661" s="195"/>
      <c r="AB661" s="195"/>
      <c r="AC661" s="195"/>
      <c r="AD661" s="195"/>
      <c r="AE661" s="195"/>
      <c r="AR661" s="210"/>
      <c r="AT661" s="210"/>
      <c r="AU661" s="210"/>
      <c r="AY661" s="211"/>
      <c r="BE661" s="212"/>
      <c r="BF661" s="212"/>
      <c r="BG661" s="212"/>
      <c r="BH661" s="212"/>
      <c r="BI661" s="212"/>
      <c r="BJ661" s="211"/>
      <c r="BK661" s="212"/>
      <c r="BL661" s="211"/>
      <c r="BM661" s="210"/>
    </row>
    <row r="662" spans="1:65" s="2" customFormat="1" ht="55.5" customHeight="1">
      <c r="A662" s="29"/>
      <c r="B662" s="152"/>
      <c r="C662" s="167" t="s">
        <v>456</v>
      </c>
      <c r="D662" s="167" t="s">
        <v>202</v>
      </c>
      <c r="E662" s="168" t="s">
        <v>719</v>
      </c>
      <c r="F662" s="169" t="s">
        <v>720</v>
      </c>
      <c r="G662" s="170" t="s">
        <v>217</v>
      </c>
      <c r="H662" s="171">
        <v>4</v>
      </c>
      <c r="I662" s="172"/>
      <c r="J662" s="173">
        <v>0</v>
      </c>
      <c r="K662" s="174"/>
      <c r="L662" s="175"/>
      <c r="M662" s="176" t="s">
        <v>1</v>
      </c>
      <c r="N662" s="177" t="s">
        <v>35</v>
      </c>
      <c r="O662" s="58"/>
      <c r="P662" s="163">
        <f t="shared" si="64"/>
        <v>0</v>
      </c>
      <c r="Q662" s="163">
        <v>0</v>
      </c>
      <c r="R662" s="163">
        <f t="shared" si="65"/>
        <v>0</v>
      </c>
      <c r="S662" s="163">
        <v>0</v>
      </c>
      <c r="T662" s="164">
        <f t="shared" si="66"/>
        <v>0</v>
      </c>
      <c r="U662" s="29"/>
      <c r="V662" s="29"/>
      <c r="W662" s="29"/>
      <c r="X662" s="29"/>
      <c r="Y662" s="29"/>
      <c r="Z662" s="29"/>
      <c r="AA662" s="29"/>
      <c r="AB662" s="29"/>
      <c r="AC662" s="29"/>
      <c r="AD662" s="29"/>
      <c r="AE662" s="29"/>
      <c r="AR662" s="165" t="s">
        <v>242</v>
      </c>
      <c r="AT662" s="165" t="s">
        <v>202</v>
      </c>
      <c r="AU662" s="165" t="s">
        <v>82</v>
      </c>
      <c r="AY662" s="14" t="s">
        <v>179</v>
      </c>
      <c r="BE662" s="166">
        <f t="shared" si="67"/>
        <v>0</v>
      </c>
      <c r="BF662" s="166">
        <f t="shared" si="68"/>
        <v>0</v>
      </c>
      <c r="BG662" s="166">
        <f t="shared" si="69"/>
        <v>0</v>
      </c>
      <c r="BH662" s="166">
        <f t="shared" si="70"/>
        <v>0</v>
      </c>
      <c r="BI662" s="166">
        <f t="shared" si="71"/>
        <v>0</v>
      </c>
      <c r="BJ662" s="14" t="s">
        <v>82</v>
      </c>
      <c r="BK662" s="166">
        <f t="shared" si="72"/>
        <v>0</v>
      </c>
      <c r="BL662" s="14" t="s">
        <v>213</v>
      </c>
      <c r="BM662" s="165" t="s">
        <v>721</v>
      </c>
    </row>
    <row r="663" spans="1:65" s="2" customFormat="1" ht="66.75" customHeight="1">
      <c r="A663" s="29"/>
      <c r="B663" s="152"/>
      <c r="C663" s="167" t="s">
        <v>722</v>
      </c>
      <c r="D663" s="167" t="s">
        <v>202</v>
      </c>
      <c r="E663" s="168" t="s">
        <v>723</v>
      </c>
      <c r="F663" s="169" t="s">
        <v>724</v>
      </c>
      <c r="G663" s="170" t="s">
        <v>217</v>
      </c>
      <c r="H663" s="171">
        <v>1</v>
      </c>
      <c r="I663" s="172"/>
      <c r="J663" s="173">
        <v>0</v>
      </c>
      <c r="K663" s="174"/>
      <c r="L663" s="175"/>
      <c r="M663" s="176" t="s">
        <v>1</v>
      </c>
      <c r="N663" s="177" t="s">
        <v>35</v>
      </c>
      <c r="O663" s="58"/>
      <c r="P663" s="163">
        <f t="shared" si="64"/>
        <v>0</v>
      </c>
      <c r="Q663" s="163">
        <v>0</v>
      </c>
      <c r="R663" s="163">
        <f t="shared" si="65"/>
        <v>0</v>
      </c>
      <c r="S663" s="163">
        <v>0</v>
      </c>
      <c r="T663" s="164">
        <f t="shared" si="66"/>
        <v>0</v>
      </c>
      <c r="U663" s="29"/>
      <c r="V663" s="29"/>
      <c r="W663" s="29"/>
      <c r="X663" s="29"/>
      <c r="Y663" s="29"/>
      <c r="Z663" s="29"/>
      <c r="AA663" s="29"/>
      <c r="AB663" s="29"/>
      <c r="AC663" s="29"/>
      <c r="AD663" s="29"/>
      <c r="AE663" s="29"/>
      <c r="AR663" s="165" t="s">
        <v>242</v>
      </c>
      <c r="AT663" s="165" t="s">
        <v>202</v>
      </c>
      <c r="AU663" s="165" t="s">
        <v>82</v>
      </c>
      <c r="AY663" s="14" t="s">
        <v>179</v>
      </c>
      <c r="BE663" s="166">
        <f t="shared" si="67"/>
        <v>0</v>
      </c>
      <c r="BF663" s="166">
        <f t="shared" si="68"/>
        <v>0</v>
      </c>
      <c r="BG663" s="166">
        <f t="shared" si="69"/>
        <v>0</v>
      </c>
      <c r="BH663" s="166">
        <f t="shared" si="70"/>
        <v>0</v>
      </c>
      <c r="BI663" s="166">
        <f t="shared" si="71"/>
        <v>0</v>
      </c>
      <c r="BJ663" s="14" t="s">
        <v>82</v>
      </c>
      <c r="BK663" s="166">
        <f t="shared" si="72"/>
        <v>0</v>
      </c>
      <c r="BL663" s="14" t="s">
        <v>213</v>
      </c>
      <c r="BM663" s="165" t="s">
        <v>725</v>
      </c>
    </row>
    <row r="664" spans="1:65" s="2" customFormat="1" ht="24.2" customHeight="1">
      <c r="A664" s="29"/>
      <c r="B664" s="152"/>
      <c r="C664" s="153" t="s">
        <v>460</v>
      </c>
      <c r="D664" s="153" t="s">
        <v>181</v>
      </c>
      <c r="E664" s="154" t="s">
        <v>726</v>
      </c>
      <c r="F664" s="155" t="s">
        <v>727</v>
      </c>
      <c r="G664" s="156" t="s">
        <v>585</v>
      </c>
      <c r="H664" s="178"/>
      <c r="I664" s="158"/>
      <c r="J664" s="159">
        <v>0</v>
      </c>
      <c r="K664" s="160"/>
      <c r="L664" s="30"/>
      <c r="M664" s="161" t="s">
        <v>1</v>
      </c>
      <c r="N664" s="162" t="s">
        <v>35</v>
      </c>
      <c r="O664" s="58"/>
      <c r="P664" s="163">
        <f t="shared" si="64"/>
        <v>0</v>
      </c>
      <c r="Q664" s="163">
        <v>0</v>
      </c>
      <c r="R664" s="163">
        <f t="shared" si="65"/>
        <v>0</v>
      </c>
      <c r="S664" s="163">
        <v>0</v>
      </c>
      <c r="T664" s="164">
        <f t="shared" si="66"/>
        <v>0</v>
      </c>
      <c r="U664" s="29"/>
      <c r="V664" s="29"/>
      <c r="W664" s="29"/>
      <c r="X664" s="29"/>
      <c r="Y664" s="29"/>
      <c r="Z664" s="29"/>
      <c r="AA664" s="29"/>
      <c r="AB664" s="29"/>
      <c r="AC664" s="29"/>
      <c r="AD664" s="29"/>
      <c r="AE664" s="29"/>
      <c r="AR664" s="165" t="s">
        <v>213</v>
      </c>
      <c r="AT664" s="165" t="s">
        <v>181</v>
      </c>
      <c r="AU664" s="165" t="s">
        <v>82</v>
      </c>
      <c r="AY664" s="14" t="s">
        <v>179</v>
      </c>
      <c r="BE664" s="166">
        <f t="shared" si="67"/>
        <v>0</v>
      </c>
      <c r="BF664" s="166">
        <f t="shared" si="68"/>
        <v>0</v>
      </c>
      <c r="BG664" s="166">
        <f t="shared" si="69"/>
        <v>0</v>
      </c>
      <c r="BH664" s="166">
        <f t="shared" si="70"/>
        <v>0</v>
      </c>
      <c r="BI664" s="166">
        <f t="shared" si="71"/>
        <v>0</v>
      </c>
      <c r="BJ664" s="14" t="s">
        <v>82</v>
      </c>
      <c r="BK664" s="166">
        <f t="shared" si="72"/>
        <v>0</v>
      </c>
      <c r="BL664" s="14" t="s">
        <v>213</v>
      </c>
      <c r="BM664" s="165" t="s">
        <v>728</v>
      </c>
    </row>
    <row r="665" spans="1:65" s="12" customFormat="1" ht="22.9" customHeight="1">
      <c r="B665" s="139"/>
      <c r="D665" s="140" t="s">
        <v>68</v>
      </c>
      <c r="E665" s="150" t="s">
        <v>729</v>
      </c>
      <c r="F665" s="150" t="s">
        <v>730</v>
      </c>
      <c r="I665" s="142"/>
      <c r="J665" s="151">
        <v>0</v>
      </c>
      <c r="L665" s="139"/>
      <c r="M665" s="144"/>
      <c r="N665" s="145"/>
      <c r="O665" s="145"/>
      <c r="P665" s="146">
        <f>SUM(P666:P799)</f>
        <v>0</v>
      </c>
      <c r="Q665" s="145"/>
      <c r="R665" s="146">
        <f>SUM(R666:R799)</f>
        <v>1.0880091678999999</v>
      </c>
      <c r="S665" s="145"/>
      <c r="T665" s="147">
        <f>SUM(T666:T799)</f>
        <v>5.7649100000000004</v>
      </c>
      <c r="AR665" s="140" t="s">
        <v>82</v>
      </c>
      <c r="AT665" s="148" t="s">
        <v>68</v>
      </c>
      <c r="AU665" s="148" t="s">
        <v>76</v>
      </c>
      <c r="AY665" s="140" t="s">
        <v>179</v>
      </c>
      <c r="BK665" s="149">
        <f>SUM(BK666:BK799)</f>
        <v>0</v>
      </c>
    </row>
    <row r="666" spans="1:65" s="2" customFormat="1" ht="24.2" customHeight="1">
      <c r="A666" s="29"/>
      <c r="B666" s="152"/>
      <c r="C666" s="153" t="s">
        <v>731</v>
      </c>
      <c r="D666" s="153" t="s">
        <v>181</v>
      </c>
      <c r="E666" s="154" t="s">
        <v>3166</v>
      </c>
      <c r="F666" s="155" t="s">
        <v>732</v>
      </c>
      <c r="G666" s="156" t="s">
        <v>184</v>
      </c>
      <c r="H666" s="157">
        <v>185.5</v>
      </c>
      <c r="I666" s="158"/>
      <c r="J666" s="159">
        <v>0</v>
      </c>
      <c r="K666" s="160"/>
      <c r="L666" s="30"/>
      <c r="M666" s="161" t="s">
        <v>1</v>
      </c>
      <c r="N666" s="162" t="s">
        <v>35</v>
      </c>
      <c r="O666" s="58"/>
      <c r="P666" s="163">
        <f t="shared" ref="P666:P799" si="73">O666*H666</f>
        <v>0</v>
      </c>
      <c r="Q666" s="163">
        <v>0</v>
      </c>
      <c r="R666" s="163">
        <f t="shared" ref="R666:R799" si="74">Q666*H666</f>
        <v>0</v>
      </c>
      <c r="S666" s="163">
        <v>8.9999999999999993E-3</v>
      </c>
      <c r="T666" s="164">
        <f t="shared" ref="T666:T799" si="75">S666*H666</f>
        <v>1.6695</v>
      </c>
      <c r="U666" s="29"/>
      <c r="V666" s="29"/>
      <c r="W666" s="29"/>
      <c r="X666" s="29"/>
      <c r="Y666" s="29"/>
      <c r="Z666" s="29"/>
      <c r="AA666" s="29"/>
      <c r="AB666" s="29"/>
      <c r="AC666" s="29"/>
      <c r="AD666" s="29"/>
      <c r="AE666" s="29"/>
      <c r="AR666" s="165" t="s">
        <v>213</v>
      </c>
      <c r="AT666" s="165" t="s">
        <v>181</v>
      </c>
      <c r="AU666" s="165" t="s">
        <v>82</v>
      </c>
      <c r="AY666" s="14" t="s">
        <v>179</v>
      </c>
      <c r="BE666" s="166">
        <f t="shared" ref="BE666:BE799" si="76">IF(N666="základná",J666,0)</f>
        <v>0</v>
      </c>
      <c r="BF666" s="166">
        <f t="shared" ref="BF666:BF799" si="77">IF(N666="znížená",J666,0)</f>
        <v>0</v>
      </c>
      <c r="BG666" s="166">
        <f t="shared" ref="BG666:BG799" si="78">IF(N666="zákl. prenesená",J666,0)</f>
        <v>0</v>
      </c>
      <c r="BH666" s="166">
        <f t="shared" ref="BH666:BH799" si="79">IF(N666="zníž. prenesená",J666,0)</f>
        <v>0</v>
      </c>
      <c r="BI666" s="166">
        <f t="shared" ref="BI666:BI799" si="80">IF(N666="nulová",J666,0)</f>
        <v>0</v>
      </c>
      <c r="BJ666" s="14" t="s">
        <v>82</v>
      </c>
      <c r="BK666" s="166">
        <f t="shared" ref="BK666:BK799" si="81">ROUND(I666*H666,2)</f>
        <v>0</v>
      </c>
      <c r="BL666" s="14" t="s">
        <v>213</v>
      </c>
      <c r="BM666" s="165" t="s">
        <v>733</v>
      </c>
    </row>
    <row r="667" spans="1:65" s="209" customFormat="1" ht="12">
      <c r="A667" s="195"/>
      <c r="B667" s="196"/>
      <c r="C667" s="197"/>
      <c r="D667" s="197"/>
      <c r="E667" s="198"/>
      <c r="F667" s="199" t="s">
        <v>3167</v>
      </c>
      <c r="G667" s="222"/>
      <c r="H667" s="214"/>
      <c r="I667" s="194"/>
      <c r="J667" s="194"/>
      <c r="K667" s="202"/>
      <c r="L667" s="203"/>
      <c r="M667" s="204"/>
      <c r="N667" s="205"/>
      <c r="O667" s="206"/>
      <c r="P667" s="207"/>
      <c r="Q667" s="207"/>
      <c r="R667" s="207"/>
      <c r="S667" s="207"/>
      <c r="T667" s="208"/>
      <c r="U667" s="195"/>
      <c r="V667" s="195"/>
      <c r="W667" s="195"/>
      <c r="X667" s="195"/>
      <c r="Y667" s="195"/>
      <c r="Z667" s="195"/>
      <c r="AA667" s="195"/>
      <c r="AB667" s="195"/>
      <c r="AC667" s="195"/>
      <c r="AD667" s="195"/>
      <c r="AE667" s="195"/>
      <c r="AR667" s="210"/>
      <c r="AT667" s="210"/>
      <c r="AU667" s="210"/>
      <c r="AY667" s="211"/>
      <c r="BE667" s="212"/>
      <c r="BF667" s="212"/>
      <c r="BG667" s="212"/>
      <c r="BH667" s="212"/>
      <c r="BI667" s="212"/>
      <c r="BJ667" s="211"/>
      <c r="BK667" s="212"/>
      <c r="BL667" s="211"/>
      <c r="BM667" s="210"/>
    </row>
    <row r="668" spans="1:65" s="209" customFormat="1" ht="12">
      <c r="A668" s="195"/>
      <c r="B668" s="196"/>
      <c r="C668" s="197"/>
      <c r="D668" s="197"/>
      <c r="E668" s="198"/>
      <c r="F668" s="213" t="s">
        <v>3168</v>
      </c>
      <c r="G668" s="222"/>
      <c r="H668" s="214">
        <f>13.7+2.7+16.4</f>
        <v>32.799999999999997</v>
      </c>
      <c r="I668" s="194"/>
      <c r="J668" s="194"/>
      <c r="K668" s="202"/>
      <c r="L668" s="203"/>
      <c r="M668" s="204"/>
      <c r="N668" s="205"/>
      <c r="O668" s="206"/>
      <c r="P668" s="207"/>
      <c r="Q668" s="207"/>
      <c r="R668" s="207"/>
      <c r="S668" s="207"/>
      <c r="T668" s="208"/>
      <c r="U668" s="195"/>
      <c r="V668" s="195"/>
      <c r="W668" s="195"/>
      <c r="X668" s="195"/>
      <c r="Y668" s="195"/>
      <c r="Z668" s="195"/>
      <c r="AA668" s="195"/>
      <c r="AB668" s="195"/>
      <c r="AC668" s="195"/>
      <c r="AD668" s="195"/>
      <c r="AE668" s="195"/>
      <c r="AR668" s="210"/>
      <c r="AT668" s="210"/>
      <c r="AU668" s="210"/>
      <c r="AY668" s="211"/>
      <c r="BE668" s="212"/>
      <c r="BF668" s="212"/>
      <c r="BG668" s="212"/>
      <c r="BH668" s="212"/>
      <c r="BI668" s="212"/>
      <c r="BJ668" s="211"/>
      <c r="BK668" s="212"/>
      <c r="BL668" s="211"/>
      <c r="BM668" s="210"/>
    </row>
    <row r="669" spans="1:65" s="209" customFormat="1" ht="12">
      <c r="A669" s="195"/>
      <c r="B669" s="196"/>
      <c r="C669" s="197"/>
      <c r="D669" s="197"/>
      <c r="E669" s="198"/>
      <c r="F669" s="213" t="s">
        <v>3169</v>
      </c>
      <c r="G669" s="222"/>
      <c r="H669" s="214">
        <f>35.4+9.7+45.1</f>
        <v>90.199999999999989</v>
      </c>
      <c r="I669" s="194"/>
      <c r="J669" s="194"/>
      <c r="K669" s="202"/>
      <c r="L669" s="203"/>
      <c r="M669" s="204"/>
      <c r="N669" s="205"/>
      <c r="O669" s="206"/>
      <c r="P669" s="207"/>
      <c r="Q669" s="207"/>
      <c r="R669" s="207"/>
      <c r="S669" s="207"/>
      <c r="T669" s="208"/>
      <c r="U669" s="195"/>
      <c r="V669" s="195"/>
      <c r="W669" s="195"/>
      <c r="X669" s="195"/>
      <c r="Y669" s="195"/>
      <c r="Z669" s="195"/>
      <c r="AA669" s="195"/>
      <c r="AB669" s="195"/>
      <c r="AC669" s="195"/>
      <c r="AD669" s="195"/>
      <c r="AE669" s="195"/>
      <c r="AR669" s="210"/>
      <c r="AT669" s="210"/>
      <c r="AU669" s="210"/>
      <c r="AY669" s="211"/>
      <c r="BE669" s="212"/>
      <c r="BF669" s="212"/>
      <c r="BG669" s="212"/>
      <c r="BH669" s="212"/>
      <c r="BI669" s="212"/>
      <c r="BJ669" s="211"/>
      <c r="BK669" s="212"/>
      <c r="BL669" s="211"/>
      <c r="BM669" s="210"/>
    </row>
    <row r="670" spans="1:65" s="209" customFormat="1" ht="12">
      <c r="A670" s="195"/>
      <c r="B670" s="196"/>
      <c r="C670" s="197"/>
      <c r="D670" s="197"/>
      <c r="E670" s="198"/>
      <c r="F670" s="213" t="s">
        <v>3170</v>
      </c>
      <c r="G670" s="222"/>
      <c r="H670" s="214">
        <f>31+24.5+6.5</f>
        <v>62</v>
      </c>
      <c r="I670" s="194"/>
      <c r="J670" s="194"/>
      <c r="K670" s="202"/>
      <c r="L670" s="203"/>
      <c r="M670" s="204"/>
      <c r="N670" s="205"/>
      <c r="O670" s="206"/>
      <c r="P670" s="207"/>
      <c r="Q670" s="207"/>
      <c r="R670" s="207"/>
      <c r="S670" s="207"/>
      <c r="T670" s="208"/>
      <c r="U670" s="195"/>
      <c r="V670" s="195"/>
      <c r="W670" s="195"/>
      <c r="X670" s="195"/>
      <c r="Y670" s="195"/>
      <c r="Z670" s="195"/>
      <c r="AA670" s="195"/>
      <c r="AB670" s="195"/>
      <c r="AC670" s="195"/>
      <c r="AD670" s="195"/>
      <c r="AE670" s="195"/>
      <c r="AR670" s="210"/>
      <c r="AT670" s="210"/>
      <c r="AU670" s="210"/>
      <c r="AY670" s="211"/>
      <c r="BE670" s="212"/>
      <c r="BF670" s="212"/>
      <c r="BG670" s="212"/>
      <c r="BH670" s="212"/>
      <c r="BI670" s="212"/>
      <c r="BJ670" s="211"/>
      <c r="BK670" s="212"/>
      <c r="BL670" s="211"/>
      <c r="BM670" s="210"/>
    </row>
    <row r="671" spans="1:65" s="209" customFormat="1" ht="12">
      <c r="A671" s="195"/>
      <c r="B671" s="196"/>
      <c r="C671" s="197"/>
      <c r="D671" s="197"/>
      <c r="E671" s="198"/>
      <c r="F671" s="215" t="s">
        <v>2983</v>
      </c>
      <c r="G671" s="216"/>
      <c r="H671" s="217">
        <f>SUM(H667:H670)</f>
        <v>185</v>
      </c>
      <c r="I671" s="194"/>
      <c r="J671" s="194"/>
      <c r="K671" s="202"/>
      <c r="L671" s="203"/>
      <c r="M671" s="204"/>
      <c r="N671" s="205"/>
      <c r="O671" s="206"/>
      <c r="P671" s="207"/>
      <c r="Q671" s="207"/>
      <c r="R671" s="207"/>
      <c r="S671" s="207"/>
      <c r="T671" s="208"/>
      <c r="U671" s="195"/>
      <c r="V671" s="195"/>
      <c r="W671" s="195"/>
      <c r="X671" s="195"/>
      <c r="Y671" s="195"/>
      <c r="Z671" s="195"/>
      <c r="AA671" s="195"/>
      <c r="AB671" s="195"/>
      <c r="AC671" s="195"/>
      <c r="AD671" s="195"/>
      <c r="AE671" s="195"/>
      <c r="AR671" s="210"/>
      <c r="AT671" s="210"/>
      <c r="AU671" s="210"/>
      <c r="AY671" s="211"/>
      <c r="BE671" s="212"/>
      <c r="BF671" s="212"/>
      <c r="BG671" s="212"/>
      <c r="BH671" s="212"/>
      <c r="BI671" s="212"/>
      <c r="BJ671" s="211"/>
      <c r="BK671" s="212"/>
      <c r="BL671" s="211"/>
      <c r="BM671" s="210"/>
    </row>
    <row r="672" spans="1:65" s="2" customFormat="1" ht="16.5" customHeight="1">
      <c r="A672" s="29"/>
      <c r="B672" s="152"/>
      <c r="C672" s="153" t="s">
        <v>463</v>
      </c>
      <c r="D672" s="153" t="s">
        <v>181</v>
      </c>
      <c r="E672" s="154" t="s">
        <v>734</v>
      </c>
      <c r="F672" s="155" t="s">
        <v>735</v>
      </c>
      <c r="G672" s="156" t="s">
        <v>184</v>
      </c>
      <c r="H672" s="157">
        <v>156.1</v>
      </c>
      <c r="I672" s="158"/>
      <c r="J672" s="159">
        <v>0</v>
      </c>
      <c r="K672" s="160"/>
      <c r="L672" s="30"/>
      <c r="M672" s="161" t="s">
        <v>1</v>
      </c>
      <c r="N672" s="162" t="s">
        <v>35</v>
      </c>
      <c r="O672" s="58"/>
      <c r="P672" s="163">
        <f t="shared" si="73"/>
        <v>0</v>
      </c>
      <c r="Q672" s="163">
        <v>8.5473000000000005E-4</v>
      </c>
      <c r="R672" s="163">
        <f t="shared" si="74"/>
        <v>0.13342335299999999</v>
      </c>
      <c r="S672" s="163">
        <v>0</v>
      </c>
      <c r="T672" s="164">
        <f t="shared" si="75"/>
        <v>0</v>
      </c>
      <c r="U672" s="29"/>
      <c r="V672" s="29"/>
      <c r="W672" s="29"/>
      <c r="X672" s="29"/>
      <c r="Y672" s="29"/>
      <c r="Z672" s="29"/>
      <c r="AA672" s="29"/>
      <c r="AB672" s="29"/>
      <c r="AC672" s="29"/>
      <c r="AD672" s="29"/>
      <c r="AE672" s="29"/>
      <c r="AR672" s="165" t="s">
        <v>213</v>
      </c>
      <c r="AT672" s="165" t="s">
        <v>181</v>
      </c>
      <c r="AU672" s="165" t="s">
        <v>82</v>
      </c>
      <c r="AY672" s="14" t="s">
        <v>179</v>
      </c>
      <c r="BE672" s="166">
        <f t="shared" si="76"/>
        <v>0</v>
      </c>
      <c r="BF672" s="166">
        <f t="shared" si="77"/>
        <v>0</v>
      </c>
      <c r="BG672" s="166">
        <f t="shared" si="78"/>
        <v>0</v>
      </c>
      <c r="BH672" s="166">
        <f t="shared" si="79"/>
        <v>0</v>
      </c>
      <c r="BI672" s="166">
        <f t="shared" si="80"/>
        <v>0</v>
      </c>
      <c r="BJ672" s="14" t="s">
        <v>82</v>
      </c>
      <c r="BK672" s="166">
        <f t="shared" si="81"/>
        <v>0</v>
      </c>
      <c r="BL672" s="14" t="s">
        <v>213</v>
      </c>
      <c r="BM672" s="165" t="s">
        <v>736</v>
      </c>
    </row>
    <row r="673" spans="1:65" s="209" customFormat="1" ht="12">
      <c r="A673" s="195"/>
      <c r="B673" s="196"/>
      <c r="C673" s="197"/>
      <c r="D673" s="197"/>
      <c r="E673" s="198"/>
      <c r="F673" s="199" t="s">
        <v>3171</v>
      </c>
      <c r="G673" s="222"/>
      <c r="H673" s="214"/>
      <c r="I673" s="194"/>
      <c r="J673" s="194"/>
      <c r="K673" s="202"/>
      <c r="L673" s="203"/>
      <c r="M673" s="204"/>
      <c r="N673" s="205"/>
      <c r="O673" s="206"/>
      <c r="P673" s="207"/>
      <c r="Q673" s="207"/>
      <c r="R673" s="207"/>
      <c r="S673" s="207"/>
      <c r="T673" s="208"/>
      <c r="U673" s="195"/>
      <c r="V673" s="195"/>
      <c r="W673" s="195"/>
      <c r="X673" s="195"/>
      <c r="Y673" s="195"/>
      <c r="Z673" s="195"/>
      <c r="AA673" s="195"/>
      <c r="AB673" s="195"/>
      <c r="AC673" s="195"/>
      <c r="AD673" s="195"/>
      <c r="AE673" s="195"/>
      <c r="AR673" s="210"/>
      <c r="AT673" s="210"/>
      <c r="AU673" s="210"/>
      <c r="AY673" s="211"/>
      <c r="BE673" s="212"/>
      <c r="BF673" s="212"/>
      <c r="BG673" s="212"/>
      <c r="BH673" s="212"/>
      <c r="BI673" s="212"/>
      <c r="BJ673" s="211"/>
      <c r="BK673" s="212"/>
      <c r="BL673" s="211"/>
      <c r="BM673" s="210"/>
    </row>
    <row r="674" spans="1:65" s="209" customFormat="1" ht="12">
      <c r="A674" s="195"/>
      <c r="B674" s="196"/>
      <c r="C674" s="197"/>
      <c r="D674" s="197"/>
      <c r="E674" s="198"/>
      <c r="F674" s="213" t="s">
        <v>3172</v>
      </c>
      <c r="G674" s="222"/>
      <c r="H674" s="214">
        <v>50</v>
      </c>
      <c r="I674" s="194"/>
      <c r="J674" s="194"/>
      <c r="K674" s="202"/>
      <c r="L674" s="203"/>
      <c r="M674" s="204"/>
      <c r="N674" s="205"/>
      <c r="O674" s="206"/>
      <c r="P674" s="207"/>
      <c r="Q674" s="207"/>
      <c r="R674" s="207"/>
      <c r="S674" s="207"/>
      <c r="T674" s="208"/>
      <c r="U674" s="195"/>
      <c r="V674" s="195"/>
      <c r="W674" s="195"/>
      <c r="X674" s="195"/>
      <c r="Y674" s="195"/>
      <c r="Z674" s="195"/>
      <c r="AA674" s="195"/>
      <c r="AB674" s="195"/>
      <c r="AC674" s="195"/>
      <c r="AD674" s="195"/>
      <c r="AE674" s="195"/>
      <c r="AR674" s="210"/>
      <c r="AT674" s="210"/>
      <c r="AU674" s="210"/>
      <c r="AY674" s="211"/>
      <c r="BE674" s="212"/>
      <c r="BF674" s="212"/>
      <c r="BG674" s="212"/>
      <c r="BH674" s="212"/>
      <c r="BI674" s="212"/>
      <c r="BJ674" s="211"/>
      <c r="BK674" s="212"/>
      <c r="BL674" s="211"/>
      <c r="BM674" s="210"/>
    </row>
    <row r="675" spans="1:65" s="209" customFormat="1" ht="12">
      <c r="A675" s="195"/>
      <c r="B675" s="196"/>
      <c r="C675" s="197"/>
      <c r="D675" s="197"/>
      <c r="E675" s="198"/>
      <c r="F675" s="213" t="s">
        <v>3173</v>
      </c>
      <c r="G675" s="222"/>
      <c r="H675" s="214">
        <v>106.1</v>
      </c>
      <c r="I675" s="194"/>
      <c r="J675" s="194"/>
      <c r="K675" s="202"/>
      <c r="L675" s="203"/>
      <c r="M675" s="204"/>
      <c r="N675" s="205"/>
      <c r="O675" s="206"/>
      <c r="P675" s="207"/>
      <c r="Q675" s="207"/>
      <c r="R675" s="207"/>
      <c r="S675" s="207"/>
      <c r="T675" s="208"/>
      <c r="U675" s="195"/>
      <c r="V675" s="195"/>
      <c r="W675" s="195"/>
      <c r="X675" s="195"/>
      <c r="Y675" s="195"/>
      <c r="Z675" s="195"/>
      <c r="AA675" s="195"/>
      <c r="AB675" s="195"/>
      <c r="AC675" s="195"/>
      <c r="AD675" s="195"/>
      <c r="AE675" s="195"/>
      <c r="AR675" s="210"/>
      <c r="AT675" s="210"/>
      <c r="AU675" s="210"/>
      <c r="AY675" s="211"/>
      <c r="BE675" s="212"/>
      <c r="BF675" s="212"/>
      <c r="BG675" s="212"/>
      <c r="BH675" s="212"/>
      <c r="BI675" s="212"/>
      <c r="BJ675" s="211"/>
      <c r="BK675" s="212"/>
      <c r="BL675" s="211"/>
      <c r="BM675" s="210"/>
    </row>
    <row r="676" spans="1:65" s="209" customFormat="1" ht="12">
      <c r="A676" s="195"/>
      <c r="B676" s="196"/>
      <c r="C676" s="197"/>
      <c r="D676" s="197"/>
      <c r="E676" s="198"/>
      <c r="F676" s="215" t="s">
        <v>2983</v>
      </c>
      <c r="G676" s="216"/>
      <c r="H676" s="217">
        <v>156.1</v>
      </c>
      <c r="I676" s="194"/>
      <c r="J676" s="194"/>
      <c r="K676" s="202"/>
      <c r="L676" s="203"/>
      <c r="M676" s="204"/>
      <c r="N676" s="205"/>
      <c r="O676" s="206"/>
      <c r="P676" s="207"/>
      <c r="Q676" s="207"/>
      <c r="R676" s="207"/>
      <c r="S676" s="207"/>
      <c r="T676" s="208"/>
      <c r="U676" s="195"/>
      <c r="V676" s="195"/>
      <c r="W676" s="195"/>
      <c r="X676" s="195"/>
      <c r="Y676" s="195"/>
      <c r="Z676" s="195"/>
      <c r="AA676" s="195"/>
      <c r="AB676" s="195"/>
      <c r="AC676" s="195"/>
      <c r="AD676" s="195"/>
      <c r="AE676" s="195"/>
      <c r="AR676" s="210"/>
      <c r="AT676" s="210"/>
      <c r="AU676" s="210"/>
      <c r="AY676" s="211"/>
      <c r="BE676" s="212"/>
      <c r="BF676" s="212"/>
      <c r="BG676" s="212"/>
      <c r="BH676" s="212"/>
      <c r="BI676" s="212"/>
      <c r="BJ676" s="211"/>
      <c r="BK676" s="212"/>
      <c r="BL676" s="211"/>
      <c r="BM676" s="210"/>
    </row>
    <row r="677" spans="1:65" s="2" customFormat="1" ht="24.2" customHeight="1">
      <c r="A677" s="29"/>
      <c r="B677" s="152"/>
      <c r="C677" s="167" t="s">
        <v>737</v>
      </c>
      <c r="D677" s="167" t="s">
        <v>202</v>
      </c>
      <c r="E677" s="168" t="s">
        <v>738</v>
      </c>
      <c r="F677" s="169" t="s">
        <v>739</v>
      </c>
      <c r="G677" s="170" t="s">
        <v>184</v>
      </c>
      <c r="H677" s="171">
        <v>111.405</v>
      </c>
      <c r="I677" s="172"/>
      <c r="J677" s="173">
        <v>0</v>
      </c>
      <c r="K677" s="174"/>
      <c r="L677" s="175"/>
      <c r="M677" s="176" t="s">
        <v>1</v>
      </c>
      <c r="N677" s="177" t="s">
        <v>35</v>
      </c>
      <c r="O677" s="58"/>
      <c r="P677" s="163">
        <f t="shared" si="73"/>
        <v>0</v>
      </c>
      <c r="Q677" s="163">
        <v>6.2599999999999999E-3</v>
      </c>
      <c r="R677" s="163">
        <f t="shared" si="74"/>
        <v>0.69739530000000005</v>
      </c>
      <c r="S677" s="163">
        <v>0</v>
      </c>
      <c r="T677" s="164">
        <f t="shared" si="75"/>
        <v>0</v>
      </c>
      <c r="U677" s="29"/>
      <c r="V677" s="29"/>
      <c r="W677" s="29"/>
      <c r="X677" s="29"/>
      <c r="Y677" s="29"/>
      <c r="Z677" s="29"/>
      <c r="AA677" s="29"/>
      <c r="AB677" s="29"/>
      <c r="AC677" s="29"/>
      <c r="AD677" s="29"/>
      <c r="AE677" s="29"/>
      <c r="AR677" s="165" t="s">
        <v>242</v>
      </c>
      <c r="AT677" s="165" t="s">
        <v>202</v>
      </c>
      <c r="AU677" s="165" t="s">
        <v>82</v>
      </c>
      <c r="AY677" s="14" t="s">
        <v>179</v>
      </c>
      <c r="BE677" s="166">
        <f t="shared" si="76"/>
        <v>0</v>
      </c>
      <c r="BF677" s="166">
        <f t="shared" si="77"/>
        <v>0</v>
      </c>
      <c r="BG677" s="166">
        <f t="shared" si="78"/>
        <v>0</v>
      </c>
      <c r="BH677" s="166">
        <f t="shared" si="79"/>
        <v>0</v>
      </c>
      <c r="BI677" s="166">
        <f t="shared" si="80"/>
        <v>0</v>
      </c>
      <c r="BJ677" s="14" t="s">
        <v>82</v>
      </c>
      <c r="BK677" s="166">
        <f t="shared" si="81"/>
        <v>0</v>
      </c>
      <c r="BL677" s="14" t="s">
        <v>213</v>
      </c>
      <c r="BM677" s="165" t="s">
        <v>740</v>
      </c>
    </row>
    <row r="678" spans="1:65" s="209" customFormat="1" ht="12">
      <c r="A678" s="195"/>
      <c r="B678" s="196"/>
      <c r="C678" s="197"/>
      <c r="D678" s="197"/>
      <c r="E678" s="198"/>
      <c r="F678" s="199" t="s">
        <v>3171</v>
      </c>
      <c r="G678" s="222"/>
      <c r="H678" s="214"/>
      <c r="I678" s="194"/>
      <c r="J678" s="194"/>
      <c r="K678" s="202"/>
      <c r="L678" s="203"/>
      <c r="M678" s="204"/>
      <c r="N678" s="205"/>
      <c r="O678" s="206"/>
      <c r="P678" s="207"/>
      <c r="Q678" s="207"/>
      <c r="R678" s="207"/>
      <c r="S678" s="207"/>
      <c r="T678" s="208"/>
      <c r="U678" s="195"/>
      <c r="V678" s="195"/>
      <c r="W678" s="195"/>
      <c r="X678" s="195"/>
      <c r="Y678" s="195"/>
      <c r="Z678" s="195"/>
      <c r="AA678" s="195"/>
      <c r="AB678" s="195"/>
      <c r="AC678" s="195"/>
      <c r="AD678" s="195"/>
      <c r="AE678" s="195"/>
      <c r="AR678" s="210"/>
      <c r="AT678" s="210"/>
      <c r="AU678" s="210"/>
      <c r="AY678" s="211"/>
      <c r="BE678" s="212"/>
      <c r="BF678" s="212"/>
      <c r="BG678" s="212"/>
      <c r="BH678" s="212"/>
      <c r="BI678" s="212"/>
      <c r="BJ678" s="211"/>
      <c r="BK678" s="212"/>
      <c r="BL678" s="211"/>
      <c r="BM678" s="210"/>
    </row>
    <row r="679" spans="1:65" s="209" customFormat="1" ht="12">
      <c r="A679" s="195"/>
      <c r="B679" s="196"/>
      <c r="C679" s="197"/>
      <c r="D679" s="197"/>
      <c r="E679" s="198"/>
      <c r="F679" s="213" t="s">
        <v>3172</v>
      </c>
      <c r="G679" s="222"/>
      <c r="H679" s="214">
        <v>50</v>
      </c>
      <c r="I679" s="194"/>
      <c r="J679" s="194"/>
      <c r="K679" s="202"/>
      <c r="L679" s="203"/>
      <c r="M679" s="204"/>
      <c r="N679" s="205"/>
      <c r="O679" s="206"/>
      <c r="P679" s="207"/>
      <c r="Q679" s="207"/>
      <c r="R679" s="207"/>
      <c r="S679" s="207"/>
      <c r="T679" s="208"/>
      <c r="U679" s="195"/>
      <c r="V679" s="195"/>
      <c r="W679" s="195"/>
      <c r="X679" s="195"/>
      <c r="Y679" s="195"/>
      <c r="Z679" s="195"/>
      <c r="AA679" s="195"/>
      <c r="AB679" s="195"/>
      <c r="AC679" s="195"/>
      <c r="AD679" s="195"/>
      <c r="AE679" s="195"/>
      <c r="AR679" s="210"/>
      <c r="AT679" s="210"/>
      <c r="AU679" s="210"/>
      <c r="AY679" s="211"/>
      <c r="BE679" s="212"/>
      <c r="BF679" s="212"/>
      <c r="BG679" s="212"/>
      <c r="BH679" s="212"/>
      <c r="BI679" s="212"/>
      <c r="BJ679" s="211"/>
      <c r="BK679" s="212"/>
      <c r="BL679" s="211"/>
      <c r="BM679" s="210"/>
    </row>
    <row r="680" spans="1:65" s="209" customFormat="1" ht="12">
      <c r="A680" s="195"/>
      <c r="B680" s="196"/>
      <c r="C680" s="197"/>
      <c r="D680" s="197"/>
      <c r="E680" s="198"/>
      <c r="F680" s="213" t="s">
        <v>3173</v>
      </c>
      <c r="G680" s="222"/>
      <c r="H680" s="214">
        <v>106.1</v>
      </c>
      <c r="I680" s="194"/>
      <c r="J680" s="194"/>
      <c r="K680" s="202"/>
      <c r="L680" s="203"/>
      <c r="M680" s="204"/>
      <c r="N680" s="205"/>
      <c r="O680" s="206"/>
      <c r="P680" s="207"/>
      <c r="Q680" s="207"/>
      <c r="R680" s="207"/>
      <c r="S680" s="207"/>
      <c r="T680" s="208"/>
      <c r="U680" s="195"/>
      <c r="V680" s="195"/>
      <c r="W680" s="195"/>
      <c r="X680" s="195"/>
      <c r="Y680" s="195"/>
      <c r="Z680" s="195"/>
      <c r="AA680" s="195"/>
      <c r="AB680" s="195"/>
      <c r="AC680" s="195"/>
      <c r="AD680" s="195"/>
      <c r="AE680" s="195"/>
      <c r="AR680" s="210"/>
      <c r="AT680" s="210"/>
      <c r="AU680" s="210"/>
      <c r="AY680" s="211"/>
      <c r="BE680" s="212"/>
      <c r="BF680" s="212"/>
      <c r="BG680" s="212"/>
      <c r="BH680" s="212"/>
      <c r="BI680" s="212"/>
      <c r="BJ680" s="211"/>
      <c r="BK680" s="212"/>
      <c r="BL680" s="211"/>
      <c r="BM680" s="210"/>
    </row>
    <row r="681" spans="1:65" s="209" customFormat="1" ht="12">
      <c r="A681" s="195"/>
      <c r="B681" s="196"/>
      <c r="C681" s="197"/>
      <c r="D681" s="197"/>
      <c r="E681" s="198"/>
      <c r="F681" s="215" t="s">
        <v>2983</v>
      </c>
      <c r="G681" s="216"/>
      <c r="H681" s="217">
        <f>SUM(H678:H680)</f>
        <v>156.1</v>
      </c>
      <c r="I681" s="194"/>
      <c r="J681" s="194"/>
      <c r="K681" s="202"/>
      <c r="L681" s="203"/>
      <c r="M681" s="204"/>
      <c r="N681" s="205"/>
      <c r="O681" s="206"/>
      <c r="P681" s="207"/>
      <c r="Q681" s="207"/>
      <c r="R681" s="207"/>
      <c r="S681" s="207"/>
      <c r="T681" s="208"/>
      <c r="U681" s="195"/>
      <c r="V681" s="195"/>
      <c r="W681" s="195"/>
      <c r="X681" s="195"/>
      <c r="Y681" s="195"/>
      <c r="Z681" s="195"/>
      <c r="AA681" s="195"/>
      <c r="AB681" s="195"/>
      <c r="AC681" s="195"/>
      <c r="AD681" s="195"/>
      <c r="AE681" s="195"/>
      <c r="AR681" s="210"/>
      <c r="AT681" s="210"/>
      <c r="AU681" s="210"/>
      <c r="AY681" s="211"/>
      <c r="BE681" s="212"/>
      <c r="BF681" s="212"/>
      <c r="BG681" s="212"/>
      <c r="BH681" s="212"/>
      <c r="BI681" s="212"/>
      <c r="BJ681" s="211"/>
      <c r="BK681" s="212"/>
      <c r="BL681" s="211"/>
      <c r="BM681" s="210"/>
    </row>
    <row r="682" spans="1:65" s="2" customFormat="1" ht="24.2" customHeight="1">
      <c r="A682" s="29"/>
      <c r="B682" s="152"/>
      <c r="C682" s="153" t="s">
        <v>467</v>
      </c>
      <c r="D682" s="153" t="s">
        <v>181</v>
      </c>
      <c r="E682" s="154" t="s">
        <v>741</v>
      </c>
      <c r="F682" s="155" t="s">
        <v>742</v>
      </c>
      <c r="G682" s="156" t="s">
        <v>293</v>
      </c>
      <c r="H682" s="157">
        <v>4</v>
      </c>
      <c r="I682" s="158"/>
      <c r="J682" s="159">
        <v>0</v>
      </c>
      <c r="K682" s="160"/>
      <c r="L682" s="30"/>
      <c r="M682" s="161" t="s">
        <v>1</v>
      </c>
      <c r="N682" s="162" t="s">
        <v>35</v>
      </c>
      <c r="O682" s="58"/>
      <c r="P682" s="163">
        <f t="shared" si="73"/>
        <v>0</v>
      </c>
      <c r="Q682" s="163">
        <v>0</v>
      </c>
      <c r="R682" s="163">
        <f t="shared" si="74"/>
        <v>0</v>
      </c>
      <c r="S682" s="163">
        <v>0</v>
      </c>
      <c r="T682" s="164">
        <f t="shared" si="75"/>
        <v>0</v>
      </c>
      <c r="U682" s="29"/>
      <c r="V682" s="29"/>
      <c r="W682" s="29"/>
      <c r="X682" s="29"/>
      <c r="Y682" s="29"/>
      <c r="Z682" s="29"/>
      <c r="AA682" s="29"/>
      <c r="AB682" s="29"/>
      <c r="AC682" s="29"/>
      <c r="AD682" s="29"/>
      <c r="AE682" s="29"/>
      <c r="AR682" s="165" t="s">
        <v>213</v>
      </c>
      <c r="AT682" s="165" t="s">
        <v>181</v>
      </c>
      <c r="AU682" s="165" t="s">
        <v>82</v>
      </c>
      <c r="AY682" s="14" t="s">
        <v>179</v>
      </c>
      <c r="BE682" s="166">
        <f t="shared" si="76"/>
        <v>0</v>
      </c>
      <c r="BF682" s="166">
        <f t="shared" si="77"/>
        <v>0</v>
      </c>
      <c r="BG682" s="166">
        <f t="shared" si="78"/>
        <v>0</v>
      </c>
      <c r="BH682" s="166">
        <f t="shared" si="79"/>
        <v>0</v>
      </c>
      <c r="BI682" s="166">
        <f t="shared" si="80"/>
        <v>0</v>
      </c>
      <c r="BJ682" s="14" t="s">
        <v>82</v>
      </c>
      <c r="BK682" s="166">
        <f t="shared" si="81"/>
        <v>0</v>
      </c>
      <c r="BL682" s="14" t="s">
        <v>213</v>
      </c>
      <c r="BM682" s="165" t="s">
        <v>743</v>
      </c>
    </row>
    <row r="683" spans="1:65" s="209" customFormat="1" ht="12">
      <c r="A683" s="195"/>
      <c r="B683" s="196"/>
      <c r="C683" s="197"/>
      <c r="D683" s="197"/>
      <c r="E683" s="198"/>
      <c r="F683" s="190" t="s">
        <v>3174</v>
      </c>
      <c r="G683" s="191"/>
      <c r="H683" s="245">
        <v>4</v>
      </c>
      <c r="I683" s="194"/>
      <c r="J683" s="194"/>
      <c r="K683" s="202"/>
      <c r="L683" s="203"/>
      <c r="M683" s="204"/>
      <c r="N683" s="205"/>
      <c r="O683" s="206"/>
      <c r="P683" s="207"/>
      <c r="Q683" s="207"/>
      <c r="R683" s="207"/>
      <c r="S683" s="207"/>
      <c r="T683" s="208"/>
      <c r="U683" s="195"/>
      <c r="V683" s="195"/>
      <c r="W683" s="195"/>
      <c r="X683" s="195"/>
      <c r="Y683" s="195"/>
      <c r="Z683" s="195"/>
      <c r="AA683" s="195"/>
      <c r="AB683" s="195"/>
      <c r="AC683" s="195"/>
      <c r="AD683" s="195"/>
      <c r="AE683" s="195"/>
      <c r="AR683" s="210"/>
      <c r="AT683" s="210"/>
      <c r="AU683" s="210"/>
      <c r="AY683" s="211"/>
      <c r="BE683" s="212"/>
      <c r="BF683" s="212"/>
      <c r="BG683" s="212"/>
      <c r="BH683" s="212"/>
      <c r="BI683" s="212"/>
      <c r="BJ683" s="211"/>
      <c r="BK683" s="212"/>
      <c r="BL683" s="211"/>
      <c r="BM683" s="210"/>
    </row>
    <row r="684" spans="1:65" s="209" customFormat="1" ht="12">
      <c r="A684" s="195"/>
      <c r="B684" s="196"/>
      <c r="C684" s="197"/>
      <c r="D684" s="197"/>
      <c r="E684" s="198"/>
      <c r="F684" s="187" t="s">
        <v>2983</v>
      </c>
      <c r="G684" s="188"/>
      <c r="H684" s="189">
        <f>SUM(H683:H683)</f>
        <v>4</v>
      </c>
      <c r="I684" s="194"/>
      <c r="J684" s="194"/>
      <c r="K684" s="202"/>
      <c r="L684" s="203"/>
      <c r="M684" s="204"/>
      <c r="N684" s="205"/>
      <c r="O684" s="206"/>
      <c r="P684" s="207"/>
      <c r="Q684" s="207"/>
      <c r="R684" s="207"/>
      <c r="S684" s="207"/>
      <c r="T684" s="208"/>
      <c r="U684" s="195"/>
      <c r="V684" s="195"/>
      <c r="W684" s="195"/>
      <c r="X684" s="195"/>
      <c r="Y684" s="195"/>
      <c r="Z684" s="195"/>
      <c r="AA684" s="195"/>
      <c r="AB684" s="195"/>
      <c r="AC684" s="195"/>
      <c r="AD684" s="195"/>
      <c r="AE684" s="195"/>
      <c r="AR684" s="210"/>
      <c r="AT684" s="210"/>
      <c r="AU684" s="210"/>
      <c r="AY684" s="211"/>
      <c r="BE684" s="212"/>
      <c r="BF684" s="212"/>
      <c r="BG684" s="212"/>
      <c r="BH684" s="212"/>
      <c r="BI684" s="212"/>
      <c r="BJ684" s="211"/>
      <c r="BK684" s="212"/>
      <c r="BL684" s="211"/>
      <c r="BM684" s="210"/>
    </row>
    <row r="685" spans="1:65" s="2" customFormat="1" ht="24.2" customHeight="1">
      <c r="A685" s="29"/>
      <c r="B685" s="152"/>
      <c r="C685" s="153" t="s">
        <v>744</v>
      </c>
      <c r="D685" s="153" t="s">
        <v>181</v>
      </c>
      <c r="E685" s="154" t="s">
        <v>745</v>
      </c>
      <c r="F685" s="155" t="s">
        <v>746</v>
      </c>
      <c r="G685" s="156" t="s">
        <v>293</v>
      </c>
      <c r="H685" s="157">
        <v>169.7</v>
      </c>
      <c r="I685" s="158"/>
      <c r="J685" s="159">
        <v>0</v>
      </c>
      <c r="K685" s="160"/>
      <c r="L685" s="30"/>
      <c r="M685" s="161" t="s">
        <v>1</v>
      </c>
      <c r="N685" s="162" t="s">
        <v>35</v>
      </c>
      <c r="O685" s="58"/>
      <c r="P685" s="163">
        <f t="shared" si="73"/>
        <v>0</v>
      </c>
      <c r="Q685" s="163">
        <v>0</v>
      </c>
      <c r="R685" s="163">
        <f t="shared" si="74"/>
        <v>0</v>
      </c>
      <c r="S685" s="163">
        <v>0</v>
      </c>
      <c r="T685" s="164">
        <f t="shared" si="75"/>
        <v>0</v>
      </c>
      <c r="U685" s="29"/>
      <c r="V685" s="29"/>
      <c r="W685" s="29"/>
      <c r="X685" s="29"/>
      <c r="Y685" s="29"/>
      <c r="Z685" s="29"/>
      <c r="AA685" s="29"/>
      <c r="AB685" s="29"/>
      <c r="AC685" s="29"/>
      <c r="AD685" s="29"/>
      <c r="AE685" s="29"/>
      <c r="AR685" s="165" t="s">
        <v>213</v>
      </c>
      <c r="AT685" s="165" t="s">
        <v>181</v>
      </c>
      <c r="AU685" s="165" t="s">
        <v>82</v>
      </c>
      <c r="AY685" s="14" t="s">
        <v>179</v>
      </c>
      <c r="BE685" s="166">
        <f t="shared" si="76"/>
        <v>0</v>
      </c>
      <c r="BF685" s="166">
        <f t="shared" si="77"/>
        <v>0</v>
      </c>
      <c r="BG685" s="166">
        <f t="shared" si="78"/>
        <v>0</v>
      </c>
      <c r="BH685" s="166">
        <f t="shared" si="79"/>
        <v>0</v>
      </c>
      <c r="BI685" s="166">
        <f t="shared" si="80"/>
        <v>0</v>
      </c>
      <c r="BJ685" s="14" t="s">
        <v>82</v>
      </c>
      <c r="BK685" s="166">
        <f t="shared" si="81"/>
        <v>0</v>
      </c>
      <c r="BL685" s="14" t="s">
        <v>213</v>
      </c>
      <c r="BM685" s="165" t="s">
        <v>747</v>
      </c>
    </row>
    <row r="686" spans="1:65" s="209" customFormat="1" ht="12">
      <c r="A686" s="195"/>
      <c r="B686" s="196"/>
      <c r="C686" s="197"/>
      <c r="D686" s="197"/>
      <c r="E686" s="198"/>
      <c r="F686" s="213" t="s">
        <v>3175</v>
      </c>
      <c r="G686" s="222"/>
      <c r="H686" s="214">
        <f>2*(0.6+0.6)*1</f>
        <v>2.4</v>
      </c>
      <c r="I686" s="194"/>
      <c r="J686" s="194"/>
      <c r="K686" s="202"/>
      <c r="L686" s="203"/>
      <c r="M686" s="204"/>
      <c r="N686" s="205"/>
      <c r="O686" s="206"/>
      <c r="P686" s="207"/>
      <c r="Q686" s="207"/>
      <c r="R686" s="207"/>
      <c r="S686" s="207"/>
      <c r="T686" s="208"/>
      <c r="U686" s="195"/>
      <c r="V686" s="195"/>
      <c r="W686" s="195"/>
      <c r="X686" s="195"/>
      <c r="Y686" s="195"/>
      <c r="Z686" s="195"/>
      <c r="AA686" s="195"/>
      <c r="AB686" s="195"/>
      <c r="AC686" s="195"/>
      <c r="AD686" s="195"/>
      <c r="AE686" s="195"/>
      <c r="AR686" s="210"/>
      <c r="AT686" s="210"/>
      <c r="AU686" s="210"/>
      <c r="AY686" s="211"/>
      <c r="BE686" s="212"/>
      <c r="BF686" s="212"/>
      <c r="BG686" s="212"/>
      <c r="BH686" s="212"/>
      <c r="BI686" s="212"/>
      <c r="BJ686" s="211"/>
      <c r="BK686" s="212"/>
      <c r="BL686" s="211"/>
      <c r="BM686" s="210"/>
    </row>
    <row r="687" spans="1:65" s="209" customFormat="1" ht="12">
      <c r="A687" s="195"/>
      <c r="B687" s="196"/>
      <c r="C687" s="197"/>
      <c r="D687" s="197"/>
      <c r="E687" s="198"/>
      <c r="F687" s="213" t="s">
        <v>3176</v>
      </c>
      <c r="G687" s="222"/>
      <c r="H687" s="214">
        <f>2*(0.6+0.6)*6</f>
        <v>14.399999999999999</v>
      </c>
      <c r="I687" s="194"/>
      <c r="J687" s="194"/>
      <c r="K687" s="202"/>
      <c r="L687" s="203"/>
      <c r="M687" s="204"/>
      <c r="N687" s="205"/>
      <c r="O687" s="206"/>
      <c r="P687" s="207"/>
      <c r="Q687" s="207"/>
      <c r="R687" s="207"/>
      <c r="S687" s="207"/>
      <c r="T687" s="208"/>
      <c r="U687" s="195"/>
      <c r="V687" s="195"/>
      <c r="W687" s="195"/>
      <c r="X687" s="195"/>
      <c r="Y687" s="195"/>
      <c r="Z687" s="195"/>
      <c r="AA687" s="195"/>
      <c r="AB687" s="195"/>
      <c r="AC687" s="195"/>
      <c r="AD687" s="195"/>
      <c r="AE687" s="195"/>
      <c r="AR687" s="210"/>
      <c r="AT687" s="210"/>
      <c r="AU687" s="210"/>
      <c r="AY687" s="211"/>
      <c r="BE687" s="212"/>
      <c r="BF687" s="212"/>
      <c r="BG687" s="212"/>
      <c r="BH687" s="212"/>
      <c r="BI687" s="212"/>
      <c r="BJ687" s="211"/>
      <c r="BK687" s="212"/>
      <c r="BL687" s="211"/>
      <c r="BM687" s="210"/>
    </row>
    <row r="688" spans="1:65" s="209" customFormat="1" ht="12">
      <c r="A688" s="195"/>
      <c r="B688" s="196"/>
      <c r="C688" s="197"/>
      <c r="D688" s="197"/>
      <c r="E688" s="198"/>
      <c r="F688" s="213" t="s">
        <v>3177</v>
      </c>
      <c r="G688" s="222"/>
      <c r="H688" s="214">
        <f>2*(1.2+1.2)*1</f>
        <v>4.8</v>
      </c>
      <c r="I688" s="194"/>
      <c r="J688" s="194"/>
      <c r="K688" s="202"/>
      <c r="L688" s="203"/>
      <c r="M688" s="204"/>
      <c r="N688" s="205"/>
      <c r="O688" s="206"/>
      <c r="P688" s="207"/>
      <c r="Q688" s="207"/>
      <c r="R688" s="207"/>
      <c r="S688" s="207"/>
      <c r="T688" s="208"/>
      <c r="U688" s="195"/>
      <c r="V688" s="195"/>
      <c r="W688" s="195"/>
      <c r="X688" s="195"/>
      <c r="Y688" s="195"/>
      <c r="Z688" s="195"/>
      <c r="AA688" s="195"/>
      <c r="AB688" s="195"/>
      <c r="AC688" s="195"/>
      <c r="AD688" s="195"/>
      <c r="AE688" s="195"/>
      <c r="AR688" s="210"/>
      <c r="AT688" s="210"/>
      <c r="AU688" s="210"/>
      <c r="AY688" s="211"/>
      <c r="BE688" s="212"/>
      <c r="BF688" s="212"/>
      <c r="BG688" s="212"/>
      <c r="BH688" s="212"/>
      <c r="BI688" s="212"/>
      <c r="BJ688" s="211"/>
      <c r="BK688" s="212"/>
      <c r="BL688" s="211"/>
      <c r="BM688" s="210"/>
    </row>
    <row r="689" spans="1:65" s="209" customFormat="1" ht="12">
      <c r="A689" s="195"/>
      <c r="B689" s="196"/>
      <c r="C689" s="197"/>
      <c r="D689" s="197"/>
      <c r="E689" s="198"/>
      <c r="F689" s="213" t="s">
        <v>3178</v>
      </c>
      <c r="G689" s="222"/>
      <c r="H689" s="214">
        <f>2*(2.4+1.2)*6</f>
        <v>43.199999999999996</v>
      </c>
      <c r="I689" s="194"/>
      <c r="J689" s="194"/>
      <c r="K689" s="202"/>
      <c r="L689" s="203"/>
      <c r="M689" s="204"/>
      <c r="N689" s="205"/>
      <c r="O689" s="206"/>
      <c r="P689" s="207"/>
      <c r="Q689" s="207"/>
      <c r="R689" s="207"/>
      <c r="S689" s="207"/>
      <c r="T689" s="208"/>
      <c r="U689" s="195"/>
      <c r="V689" s="195"/>
      <c r="W689" s="195"/>
      <c r="X689" s="195"/>
      <c r="Y689" s="195"/>
      <c r="Z689" s="195"/>
      <c r="AA689" s="195"/>
      <c r="AB689" s="195"/>
      <c r="AC689" s="195"/>
      <c r="AD689" s="195"/>
      <c r="AE689" s="195"/>
      <c r="AR689" s="210"/>
      <c r="AT689" s="210"/>
      <c r="AU689" s="210"/>
      <c r="AY689" s="211"/>
      <c r="BE689" s="212"/>
      <c r="BF689" s="212"/>
      <c r="BG689" s="212"/>
      <c r="BH689" s="212"/>
      <c r="BI689" s="212"/>
      <c r="BJ689" s="211"/>
      <c r="BK689" s="212"/>
      <c r="BL689" s="211"/>
      <c r="BM689" s="210"/>
    </row>
    <row r="690" spans="1:65" s="209" customFormat="1" ht="12">
      <c r="A690" s="195"/>
      <c r="B690" s="196"/>
      <c r="C690" s="197"/>
      <c r="D690" s="197"/>
      <c r="E690" s="198"/>
      <c r="F690" s="213" t="s">
        <v>3179</v>
      </c>
      <c r="G690" s="222"/>
      <c r="H690" s="214">
        <f>2*(2.4+1.2)*6</f>
        <v>43.199999999999996</v>
      </c>
      <c r="I690" s="194"/>
      <c r="J690" s="194"/>
      <c r="K690" s="202"/>
      <c r="L690" s="203"/>
      <c r="M690" s="204"/>
      <c r="N690" s="205"/>
      <c r="O690" s="206"/>
      <c r="P690" s="207"/>
      <c r="Q690" s="207"/>
      <c r="R690" s="207"/>
      <c r="S690" s="207"/>
      <c r="T690" s="208"/>
      <c r="U690" s="195"/>
      <c r="V690" s="195"/>
      <c r="W690" s="195"/>
      <c r="X690" s="195"/>
      <c r="Y690" s="195"/>
      <c r="Z690" s="195"/>
      <c r="AA690" s="195"/>
      <c r="AB690" s="195"/>
      <c r="AC690" s="195"/>
      <c r="AD690" s="195"/>
      <c r="AE690" s="195"/>
      <c r="AR690" s="210"/>
      <c r="AT690" s="210"/>
      <c r="AU690" s="210"/>
      <c r="AY690" s="211"/>
      <c r="BE690" s="212"/>
      <c r="BF690" s="212"/>
      <c r="BG690" s="212"/>
      <c r="BH690" s="212"/>
      <c r="BI690" s="212"/>
      <c r="BJ690" s="211"/>
      <c r="BK690" s="212"/>
      <c r="BL690" s="211"/>
      <c r="BM690" s="210"/>
    </row>
    <row r="691" spans="1:65" s="209" customFormat="1" ht="12">
      <c r="A691" s="195"/>
      <c r="B691" s="196"/>
      <c r="C691" s="197"/>
      <c r="D691" s="197"/>
      <c r="E691" s="198"/>
      <c r="F691" s="213" t="s">
        <v>3180</v>
      </c>
      <c r="G691" s="222"/>
      <c r="H691" s="214">
        <f>2*(2.2+1.2)*1</f>
        <v>6.8000000000000007</v>
      </c>
      <c r="I691" s="194"/>
      <c r="J691" s="194"/>
      <c r="K691" s="202"/>
      <c r="L691" s="203"/>
      <c r="M691" s="204"/>
      <c r="N691" s="205"/>
      <c r="O691" s="206"/>
      <c r="P691" s="207"/>
      <c r="Q691" s="207"/>
      <c r="R691" s="207"/>
      <c r="S691" s="207"/>
      <c r="T691" s="208"/>
      <c r="U691" s="195"/>
      <c r="V691" s="195"/>
      <c r="W691" s="195"/>
      <c r="X691" s="195"/>
      <c r="Y691" s="195"/>
      <c r="Z691" s="195"/>
      <c r="AA691" s="195"/>
      <c r="AB691" s="195"/>
      <c r="AC691" s="195"/>
      <c r="AD691" s="195"/>
      <c r="AE691" s="195"/>
      <c r="AR691" s="210"/>
      <c r="AT691" s="210"/>
      <c r="AU691" s="210"/>
      <c r="AY691" s="211"/>
      <c r="BE691" s="212"/>
      <c r="BF691" s="212"/>
      <c r="BG691" s="212"/>
      <c r="BH691" s="212"/>
      <c r="BI691" s="212"/>
      <c r="BJ691" s="211"/>
      <c r="BK691" s="212"/>
      <c r="BL691" s="211"/>
      <c r="BM691" s="210"/>
    </row>
    <row r="692" spans="1:65" s="209" customFormat="1" ht="12">
      <c r="A692" s="195"/>
      <c r="B692" s="196"/>
      <c r="C692" s="197"/>
      <c r="D692" s="197"/>
      <c r="E692" s="198"/>
      <c r="F692" s="213" t="s">
        <v>3181</v>
      </c>
      <c r="G692" s="222"/>
      <c r="H692" s="214">
        <f>2*(1.2+1.2)*5</f>
        <v>24</v>
      </c>
      <c r="I692" s="194"/>
      <c r="J692" s="194"/>
      <c r="K692" s="202"/>
      <c r="L692" s="203"/>
      <c r="M692" s="204"/>
      <c r="N692" s="205"/>
      <c r="O692" s="206"/>
      <c r="P692" s="207"/>
      <c r="Q692" s="207"/>
      <c r="R692" s="207"/>
      <c r="S692" s="207"/>
      <c r="T692" s="208"/>
      <c r="U692" s="195"/>
      <c r="V692" s="195"/>
      <c r="W692" s="195"/>
      <c r="X692" s="195"/>
      <c r="Y692" s="195"/>
      <c r="Z692" s="195"/>
      <c r="AA692" s="195"/>
      <c r="AB692" s="195"/>
      <c r="AC692" s="195"/>
      <c r="AD692" s="195"/>
      <c r="AE692" s="195"/>
      <c r="AR692" s="210"/>
      <c r="AT692" s="210"/>
      <c r="AU692" s="210"/>
      <c r="AY692" s="211"/>
      <c r="BE692" s="212"/>
      <c r="BF692" s="212"/>
      <c r="BG692" s="212"/>
      <c r="BH692" s="212"/>
      <c r="BI692" s="212"/>
      <c r="BJ692" s="211"/>
      <c r="BK692" s="212"/>
      <c r="BL692" s="211"/>
      <c r="BM692" s="210"/>
    </row>
    <row r="693" spans="1:65" s="209" customFormat="1" ht="12">
      <c r="A693" s="195"/>
      <c r="B693" s="196"/>
      <c r="C693" s="197"/>
      <c r="D693" s="197"/>
      <c r="E693" s="198"/>
      <c r="F693" s="213" t="s">
        <v>3182</v>
      </c>
      <c r="G693" s="222"/>
      <c r="H693" s="214">
        <f>2*(1.2+0.95)*3</f>
        <v>12.899999999999999</v>
      </c>
      <c r="I693" s="194"/>
      <c r="J693" s="194"/>
      <c r="K693" s="202"/>
      <c r="L693" s="203"/>
      <c r="M693" s="204"/>
      <c r="N693" s="205"/>
      <c r="O693" s="206"/>
      <c r="P693" s="207"/>
      <c r="Q693" s="207"/>
      <c r="R693" s="207"/>
      <c r="S693" s="207"/>
      <c r="T693" s="208"/>
      <c r="U693" s="195"/>
      <c r="V693" s="195"/>
      <c r="W693" s="195"/>
      <c r="X693" s="195"/>
      <c r="Y693" s="195"/>
      <c r="Z693" s="195"/>
      <c r="AA693" s="195"/>
      <c r="AB693" s="195"/>
      <c r="AC693" s="195"/>
      <c r="AD693" s="195"/>
      <c r="AE693" s="195"/>
      <c r="AR693" s="210"/>
      <c r="AT693" s="210"/>
      <c r="AU693" s="210"/>
      <c r="AY693" s="211"/>
      <c r="BE693" s="212"/>
      <c r="BF693" s="212"/>
      <c r="BG693" s="212"/>
      <c r="BH693" s="212"/>
      <c r="BI693" s="212"/>
      <c r="BJ693" s="211"/>
      <c r="BK693" s="212"/>
      <c r="BL693" s="211"/>
      <c r="BM693" s="210"/>
    </row>
    <row r="694" spans="1:65" s="209" customFormat="1" ht="12">
      <c r="A694" s="195"/>
      <c r="B694" s="196"/>
      <c r="C694" s="197"/>
      <c r="D694" s="197"/>
      <c r="E694" s="198"/>
      <c r="F694" s="213" t="s">
        <v>3183</v>
      </c>
      <c r="G694" s="222"/>
      <c r="H694" s="214">
        <f>2*(1.2+0.6)*2</f>
        <v>7.1999999999999993</v>
      </c>
      <c r="I694" s="194"/>
      <c r="J694" s="194"/>
      <c r="K694" s="202"/>
      <c r="L694" s="203"/>
      <c r="M694" s="204"/>
      <c r="N694" s="205"/>
      <c r="O694" s="206"/>
      <c r="P694" s="207"/>
      <c r="Q694" s="207"/>
      <c r="R694" s="207"/>
      <c r="S694" s="207"/>
      <c r="T694" s="208"/>
      <c r="U694" s="195"/>
      <c r="V694" s="195"/>
      <c r="W694" s="195"/>
      <c r="X694" s="195"/>
      <c r="Y694" s="195"/>
      <c r="Z694" s="195"/>
      <c r="AA694" s="195"/>
      <c r="AB694" s="195"/>
      <c r="AC694" s="195"/>
      <c r="AD694" s="195"/>
      <c r="AE694" s="195"/>
      <c r="AR694" s="210"/>
      <c r="AT694" s="210"/>
      <c r="AU694" s="210"/>
      <c r="AY694" s="211"/>
      <c r="BE694" s="212"/>
      <c r="BF694" s="212"/>
      <c r="BG694" s="212"/>
      <c r="BH694" s="212"/>
      <c r="BI694" s="212"/>
      <c r="BJ694" s="211"/>
      <c r="BK694" s="212"/>
      <c r="BL694" s="211"/>
      <c r="BM694" s="210"/>
    </row>
    <row r="695" spans="1:65" s="209" customFormat="1" ht="12">
      <c r="A695" s="195"/>
      <c r="B695" s="196"/>
      <c r="C695" s="197"/>
      <c r="D695" s="197"/>
      <c r="E695" s="198"/>
      <c r="F695" s="213" t="s">
        <v>3184</v>
      </c>
      <c r="G695" s="222"/>
      <c r="H695" s="214">
        <f>2*(1.2+0.6)*3</f>
        <v>10.799999999999999</v>
      </c>
      <c r="I695" s="194"/>
      <c r="J695" s="194"/>
      <c r="K695" s="202"/>
      <c r="L695" s="203"/>
      <c r="M695" s="204"/>
      <c r="N695" s="205"/>
      <c r="O695" s="206"/>
      <c r="P695" s="207"/>
      <c r="Q695" s="207"/>
      <c r="R695" s="207"/>
      <c r="S695" s="207"/>
      <c r="T695" s="208"/>
      <c r="U695" s="195"/>
      <c r="V695" s="195"/>
      <c r="W695" s="195"/>
      <c r="X695" s="195"/>
      <c r="Y695" s="195"/>
      <c r="Z695" s="195"/>
      <c r="AA695" s="195"/>
      <c r="AB695" s="195"/>
      <c r="AC695" s="195"/>
      <c r="AD695" s="195"/>
      <c r="AE695" s="195"/>
      <c r="AR695" s="210"/>
      <c r="AT695" s="210"/>
      <c r="AU695" s="210"/>
      <c r="AY695" s="211"/>
      <c r="BE695" s="212"/>
      <c r="BF695" s="212"/>
      <c r="BG695" s="212"/>
      <c r="BH695" s="212"/>
      <c r="BI695" s="212"/>
      <c r="BJ695" s="211"/>
      <c r="BK695" s="212"/>
      <c r="BL695" s="211"/>
      <c r="BM695" s="210"/>
    </row>
    <row r="696" spans="1:65" s="209" customFormat="1" ht="12">
      <c r="A696" s="195"/>
      <c r="B696" s="196"/>
      <c r="C696" s="197"/>
      <c r="D696" s="197"/>
      <c r="E696" s="198"/>
      <c r="F696" s="215" t="s">
        <v>2983</v>
      </c>
      <c r="G696" s="216"/>
      <c r="H696" s="217">
        <f>SUM(H686:H695)</f>
        <v>169.70000000000002</v>
      </c>
      <c r="I696" s="194"/>
      <c r="J696" s="194"/>
      <c r="K696" s="202"/>
      <c r="L696" s="203"/>
      <c r="M696" s="204"/>
      <c r="N696" s="205"/>
      <c r="O696" s="206"/>
      <c r="P696" s="207"/>
      <c r="Q696" s="207"/>
      <c r="R696" s="207"/>
      <c r="S696" s="207"/>
      <c r="T696" s="208"/>
      <c r="U696" s="195"/>
      <c r="V696" s="195"/>
      <c r="W696" s="195"/>
      <c r="X696" s="195"/>
      <c r="Y696" s="195"/>
      <c r="Z696" s="195"/>
      <c r="AA696" s="195"/>
      <c r="AB696" s="195"/>
      <c r="AC696" s="195"/>
      <c r="AD696" s="195"/>
      <c r="AE696" s="195"/>
      <c r="AR696" s="210"/>
      <c r="AT696" s="210"/>
      <c r="AU696" s="210"/>
      <c r="AY696" s="211"/>
      <c r="BE696" s="212"/>
      <c r="BF696" s="212"/>
      <c r="BG696" s="212"/>
      <c r="BH696" s="212"/>
      <c r="BI696" s="212"/>
      <c r="BJ696" s="211"/>
      <c r="BK696" s="212"/>
      <c r="BL696" s="211"/>
      <c r="BM696" s="210"/>
    </row>
    <row r="697" spans="1:65" s="2" customFormat="1" ht="66.75" customHeight="1">
      <c r="A697" s="29"/>
      <c r="B697" s="152"/>
      <c r="C697" s="167" t="s">
        <v>470</v>
      </c>
      <c r="D697" s="167" t="s">
        <v>202</v>
      </c>
      <c r="E697" s="168" t="s">
        <v>748</v>
      </c>
      <c r="F697" s="169" t="s">
        <v>749</v>
      </c>
      <c r="G697" s="170" t="s">
        <v>217</v>
      </c>
      <c r="H697" s="171">
        <v>1</v>
      </c>
      <c r="I697" s="172"/>
      <c r="J697" s="173">
        <v>0</v>
      </c>
      <c r="K697" s="174"/>
      <c r="L697" s="175"/>
      <c r="M697" s="176" t="s">
        <v>1</v>
      </c>
      <c r="N697" s="177" t="s">
        <v>35</v>
      </c>
      <c r="O697" s="58"/>
      <c r="P697" s="163">
        <f t="shared" si="73"/>
        <v>0</v>
      </c>
      <c r="Q697" s="163">
        <v>0</v>
      </c>
      <c r="R697" s="163">
        <f t="shared" si="74"/>
        <v>0</v>
      </c>
      <c r="S697" s="163">
        <v>0</v>
      </c>
      <c r="T697" s="164">
        <f t="shared" si="75"/>
        <v>0</v>
      </c>
      <c r="U697" s="29"/>
      <c r="V697" s="29"/>
      <c r="W697" s="29"/>
      <c r="X697" s="29"/>
      <c r="Y697" s="29"/>
      <c r="Z697" s="29"/>
      <c r="AA697" s="29"/>
      <c r="AB697" s="29"/>
      <c r="AC697" s="29"/>
      <c r="AD697" s="29"/>
      <c r="AE697" s="29"/>
      <c r="AR697" s="165" t="s">
        <v>242</v>
      </c>
      <c r="AT697" s="165" t="s">
        <v>202</v>
      </c>
      <c r="AU697" s="165" t="s">
        <v>82</v>
      </c>
      <c r="AY697" s="14" t="s">
        <v>179</v>
      </c>
      <c r="BE697" s="166">
        <f t="shared" si="76"/>
        <v>0</v>
      </c>
      <c r="BF697" s="166">
        <f t="shared" si="77"/>
        <v>0</v>
      </c>
      <c r="BG697" s="166">
        <f t="shared" si="78"/>
        <v>0</v>
      </c>
      <c r="BH697" s="166">
        <f t="shared" si="79"/>
        <v>0</v>
      </c>
      <c r="BI697" s="166">
        <f t="shared" si="80"/>
        <v>0</v>
      </c>
      <c r="BJ697" s="14" t="s">
        <v>82</v>
      </c>
      <c r="BK697" s="166">
        <f t="shared" si="81"/>
        <v>0</v>
      </c>
      <c r="BL697" s="14" t="s">
        <v>213</v>
      </c>
      <c r="BM697" s="165" t="s">
        <v>750</v>
      </c>
    </row>
    <row r="698" spans="1:65" s="2" customFormat="1" ht="76.349999999999994" customHeight="1">
      <c r="A698" s="29"/>
      <c r="B698" s="152"/>
      <c r="C698" s="167" t="s">
        <v>751</v>
      </c>
      <c r="D698" s="167" t="s">
        <v>202</v>
      </c>
      <c r="E698" s="168" t="s">
        <v>752</v>
      </c>
      <c r="F698" s="169" t="s">
        <v>753</v>
      </c>
      <c r="G698" s="170" t="s">
        <v>217</v>
      </c>
      <c r="H698" s="171">
        <v>6</v>
      </c>
      <c r="I698" s="172"/>
      <c r="J698" s="173">
        <v>0</v>
      </c>
      <c r="K698" s="174"/>
      <c r="L698" s="175"/>
      <c r="M698" s="176" t="s">
        <v>1</v>
      </c>
      <c r="N698" s="177" t="s">
        <v>35</v>
      </c>
      <c r="O698" s="58"/>
      <c r="P698" s="163">
        <f t="shared" si="73"/>
        <v>0</v>
      </c>
      <c r="Q698" s="163">
        <v>0</v>
      </c>
      <c r="R698" s="163">
        <f t="shared" si="74"/>
        <v>0</v>
      </c>
      <c r="S698" s="163">
        <v>0</v>
      </c>
      <c r="T698" s="164">
        <f t="shared" si="75"/>
        <v>0</v>
      </c>
      <c r="U698" s="29"/>
      <c r="V698" s="29"/>
      <c r="W698" s="29"/>
      <c r="X698" s="29"/>
      <c r="Y698" s="29"/>
      <c r="Z698" s="29"/>
      <c r="AA698" s="29"/>
      <c r="AB698" s="29"/>
      <c r="AC698" s="29"/>
      <c r="AD698" s="29"/>
      <c r="AE698" s="29"/>
      <c r="AR698" s="165" t="s">
        <v>242</v>
      </c>
      <c r="AT698" s="165" t="s">
        <v>202</v>
      </c>
      <c r="AU698" s="165" t="s">
        <v>82</v>
      </c>
      <c r="AY698" s="14" t="s">
        <v>179</v>
      </c>
      <c r="BE698" s="166">
        <f t="shared" si="76"/>
        <v>0</v>
      </c>
      <c r="BF698" s="166">
        <f t="shared" si="77"/>
        <v>0</v>
      </c>
      <c r="BG698" s="166">
        <f t="shared" si="78"/>
        <v>0</v>
      </c>
      <c r="BH698" s="166">
        <f t="shared" si="79"/>
        <v>0</v>
      </c>
      <c r="BI698" s="166">
        <f t="shared" si="80"/>
        <v>0</v>
      </c>
      <c r="BJ698" s="14" t="s">
        <v>82</v>
      </c>
      <c r="BK698" s="166">
        <f t="shared" si="81"/>
        <v>0</v>
      </c>
      <c r="BL698" s="14" t="s">
        <v>213</v>
      </c>
      <c r="BM698" s="165" t="s">
        <v>754</v>
      </c>
    </row>
    <row r="699" spans="1:65" s="2" customFormat="1" ht="76.349999999999994" customHeight="1">
      <c r="A699" s="29"/>
      <c r="B699" s="152"/>
      <c r="C699" s="167" t="s">
        <v>474</v>
      </c>
      <c r="D699" s="167" t="s">
        <v>202</v>
      </c>
      <c r="E699" s="168" t="s">
        <v>755</v>
      </c>
      <c r="F699" s="169" t="s">
        <v>756</v>
      </c>
      <c r="G699" s="170" t="s">
        <v>217</v>
      </c>
      <c r="H699" s="171">
        <v>1</v>
      </c>
      <c r="I699" s="172"/>
      <c r="J699" s="173">
        <v>0</v>
      </c>
      <c r="K699" s="174"/>
      <c r="L699" s="175"/>
      <c r="M699" s="176" t="s">
        <v>1</v>
      </c>
      <c r="N699" s="177" t="s">
        <v>35</v>
      </c>
      <c r="O699" s="58"/>
      <c r="P699" s="163">
        <f t="shared" si="73"/>
        <v>0</v>
      </c>
      <c r="Q699" s="163">
        <v>0</v>
      </c>
      <c r="R699" s="163">
        <f t="shared" si="74"/>
        <v>0</v>
      </c>
      <c r="S699" s="163">
        <v>0</v>
      </c>
      <c r="T699" s="164">
        <f t="shared" si="75"/>
        <v>0</v>
      </c>
      <c r="U699" s="29"/>
      <c r="V699" s="29"/>
      <c r="W699" s="29"/>
      <c r="X699" s="29"/>
      <c r="Y699" s="29"/>
      <c r="Z699" s="29"/>
      <c r="AA699" s="29"/>
      <c r="AB699" s="29"/>
      <c r="AC699" s="29"/>
      <c r="AD699" s="29"/>
      <c r="AE699" s="29"/>
      <c r="AR699" s="165" t="s">
        <v>242</v>
      </c>
      <c r="AT699" s="165" t="s">
        <v>202</v>
      </c>
      <c r="AU699" s="165" t="s">
        <v>82</v>
      </c>
      <c r="AY699" s="14" t="s">
        <v>179</v>
      </c>
      <c r="BE699" s="166">
        <f t="shared" si="76"/>
        <v>0</v>
      </c>
      <c r="BF699" s="166">
        <f t="shared" si="77"/>
        <v>0</v>
      </c>
      <c r="BG699" s="166">
        <f t="shared" si="78"/>
        <v>0</v>
      </c>
      <c r="BH699" s="166">
        <f t="shared" si="79"/>
        <v>0</v>
      </c>
      <c r="BI699" s="166">
        <f t="shared" si="80"/>
        <v>0</v>
      </c>
      <c r="BJ699" s="14" t="s">
        <v>82</v>
      </c>
      <c r="BK699" s="166">
        <f t="shared" si="81"/>
        <v>0</v>
      </c>
      <c r="BL699" s="14" t="s">
        <v>213</v>
      </c>
      <c r="BM699" s="165" t="s">
        <v>757</v>
      </c>
    </row>
    <row r="700" spans="1:65" s="2" customFormat="1" ht="66.75" customHeight="1">
      <c r="A700" s="29"/>
      <c r="B700" s="152"/>
      <c r="C700" s="167" t="s">
        <v>758</v>
      </c>
      <c r="D700" s="167" t="s">
        <v>202</v>
      </c>
      <c r="E700" s="168" t="s">
        <v>759</v>
      </c>
      <c r="F700" s="169" t="s">
        <v>760</v>
      </c>
      <c r="G700" s="170" t="s">
        <v>217</v>
      </c>
      <c r="H700" s="171">
        <v>6</v>
      </c>
      <c r="I700" s="172"/>
      <c r="J700" s="173">
        <v>0</v>
      </c>
      <c r="K700" s="174"/>
      <c r="L700" s="175"/>
      <c r="M700" s="176" t="s">
        <v>1</v>
      </c>
      <c r="N700" s="177" t="s">
        <v>35</v>
      </c>
      <c r="O700" s="58"/>
      <c r="P700" s="163">
        <f t="shared" si="73"/>
        <v>0</v>
      </c>
      <c r="Q700" s="163">
        <v>0</v>
      </c>
      <c r="R700" s="163">
        <f t="shared" si="74"/>
        <v>0</v>
      </c>
      <c r="S700" s="163">
        <v>0</v>
      </c>
      <c r="T700" s="164">
        <f t="shared" si="75"/>
        <v>0</v>
      </c>
      <c r="U700" s="29"/>
      <c r="V700" s="29"/>
      <c r="W700" s="29"/>
      <c r="X700" s="29"/>
      <c r="Y700" s="29"/>
      <c r="Z700" s="29"/>
      <c r="AA700" s="29"/>
      <c r="AB700" s="29"/>
      <c r="AC700" s="29"/>
      <c r="AD700" s="29"/>
      <c r="AE700" s="29"/>
      <c r="AR700" s="165" t="s">
        <v>242</v>
      </c>
      <c r="AT700" s="165" t="s">
        <v>202</v>
      </c>
      <c r="AU700" s="165" t="s">
        <v>82</v>
      </c>
      <c r="AY700" s="14" t="s">
        <v>179</v>
      </c>
      <c r="BE700" s="166">
        <f t="shared" si="76"/>
        <v>0</v>
      </c>
      <c r="BF700" s="166">
        <f t="shared" si="77"/>
        <v>0</v>
      </c>
      <c r="BG700" s="166">
        <f t="shared" si="78"/>
        <v>0</v>
      </c>
      <c r="BH700" s="166">
        <f t="shared" si="79"/>
        <v>0</v>
      </c>
      <c r="BI700" s="166">
        <f t="shared" si="80"/>
        <v>0</v>
      </c>
      <c r="BJ700" s="14" t="s">
        <v>82</v>
      </c>
      <c r="BK700" s="166">
        <f t="shared" si="81"/>
        <v>0</v>
      </c>
      <c r="BL700" s="14" t="s">
        <v>213</v>
      </c>
      <c r="BM700" s="165" t="s">
        <v>761</v>
      </c>
    </row>
    <row r="701" spans="1:65" s="2" customFormat="1" ht="76.349999999999994" customHeight="1">
      <c r="A701" s="29"/>
      <c r="B701" s="152"/>
      <c r="C701" s="167" t="s">
        <v>478</v>
      </c>
      <c r="D701" s="167" t="s">
        <v>202</v>
      </c>
      <c r="E701" s="168" t="s">
        <v>762</v>
      </c>
      <c r="F701" s="169" t="s">
        <v>763</v>
      </c>
      <c r="G701" s="170" t="s">
        <v>217</v>
      </c>
      <c r="H701" s="171">
        <v>6</v>
      </c>
      <c r="I701" s="172"/>
      <c r="J701" s="173">
        <v>0</v>
      </c>
      <c r="K701" s="174"/>
      <c r="L701" s="175"/>
      <c r="M701" s="176" t="s">
        <v>1</v>
      </c>
      <c r="N701" s="177" t="s">
        <v>35</v>
      </c>
      <c r="O701" s="58"/>
      <c r="P701" s="163">
        <f t="shared" si="73"/>
        <v>0</v>
      </c>
      <c r="Q701" s="163">
        <v>0</v>
      </c>
      <c r="R701" s="163">
        <f t="shared" si="74"/>
        <v>0</v>
      </c>
      <c r="S701" s="163">
        <v>0</v>
      </c>
      <c r="T701" s="164">
        <f t="shared" si="75"/>
        <v>0</v>
      </c>
      <c r="U701" s="29"/>
      <c r="V701" s="29"/>
      <c r="W701" s="29"/>
      <c r="X701" s="29"/>
      <c r="Y701" s="29"/>
      <c r="Z701" s="29"/>
      <c r="AA701" s="29"/>
      <c r="AB701" s="29"/>
      <c r="AC701" s="29"/>
      <c r="AD701" s="29"/>
      <c r="AE701" s="29"/>
      <c r="AR701" s="165" t="s">
        <v>242</v>
      </c>
      <c r="AT701" s="165" t="s">
        <v>202</v>
      </c>
      <c r="AU701" s="165" t="s">
        <v>82</v>
      </c>
      <c r="AY701" s="14" t="s">
        <v>179</v>
      </c>
      <c r="BE701" s="166">
        <f t="shared" si="76"/>
        <v>0</v>
      </c>
      <c r="BF701" s="166">
        <f t="shared" si="77"/>
        <v>0</v>
      </c>
      <c r="BG701" s="166">
        <f t="shared" si="78"/>
        <v>0</v>
      </c>
      <c r="BH701" s="166">
        <f t="shared" si="79"/>
        <v>0</v>
      </c>
      <c r="BI701" s="166">
        <f t="shared" si="80"/>
        <v>0</v>
      </c>
      <c r="BJ701" s="14" t="s">
        <v>82</v>
      </c>
      <c r="BK701" s="166">
        <f t="shared" si="81"/>
        <v>0</v>
      </c>
      <c r="BL701" s="14" t="s">
        <v>213</v>
      </c>
      <c r="BM701" s="165" t="s">
        <v>764</v>
      </c>
    </row>
    <row r="702" spans="1:65" s="2" customFormat="1" ht="76.349999999999994" customHeight="1">
      <c r="A702" s="29"/>
      <c r="B702" s="152"/>
      <c r="C702" s="167" t="s">
        <v>765</v>
      </c>
      <c r="D702" s="167" t="s">
        <v>202</v>
      </c>
      <c r="E702" s="168" t="s">
        <v>766</v>
      </c>
      <c r="F702" s="169" t="s">
        <v>767</v>
      </c>
      <c r="G702" s="170" t="s">
        <v>217</v>
      </c>
      <c r="H702" s="171">
        <v>1</v>
      </c>
      <c r="I702" s="172"/>
      <c r="J702" s="173">
        <v>0</v>
      </c>
      <c r="K702" s="174"/>
      <c r="L702" s="175"/>
      <c r="M702" s="176" t="s">
        <v>1</v>
      </c>
      <c r="N702" s="177" t="s">
        <v>35</v>
      </c>
      <c r="O702" s="58"/>
      <c r="P702" s="163">
        <f t="shared" si="73"/>
        <v>0</v>
      </c>
      <c r="Q702" s="163">
        <v>0</v>
      </c>
      <c r="R702" s="163">
        <f t="shared" si="74"/>
        <v>0</v>
      </c>
      <c r="S702" s="163">
        <v>0</v>
      </c>
      <c r="T702" s="164">
        <f t="shared" si="75"/>
        <v>0</v>
      </c>
      <c r="U702" s="29"/>
      <c r="V702" s="29"/>
      <c r="W702" s="29"/>
      <c r="X702" s="29"/>
      <c r="Y702" s="29"/>
      <c r="Z702" s="29"/>
      <c r="AA702" s="29"/>
      <c r="AB702" s="29"/>
      <c r="AC702" s="29"/>
      <c r="AD702" s="29"/>
      <c r="AE702" s="29"/>
      <c r="AR702" s="165" t="s">
        <v>242</v>
      </c>
      <c r="AT702" s="165" t="s">
        <v>202</v>
      </c>
      <c r="AU702" s="165" t="s">
        <v>82</v>
      </c>
      <c r="AY702" s="14" t="s">
        <v>179</v>
      </c>
      <c r="BE702" s="166">
        <f t="shared" si="76"/>
        <v>0</v>
      </c>
      <c r="BF702" s="166">
        <f t="shared" si="77"/>
        <v>0</v>
      </c>
      <c r="BG702" s="166">
        <f t="shared" si="78"/>
        <v>0</v>
      </c>
      <c r="BH702" s="166">
        <f t="shared" si="79"/>
        <v>0</v>
      </c>
      <c r="BI702" s="166">
        <f t="shared" si="80"/>
        <v>0</v>
      </c>
      <c r="BJ702" s="14" t="s">
        <v>82</v>
      </c>
      <c r="BK702" s="166">
        <f t="shared" si="81"/>
        <v>0</v>
      </c>
      <c r="BL702" s="14" t="s">
        <v>213</v>
      </c>
      <c r="BM702" s="165" t="s">
        <v>768</v>
      </c>
    </row>
    <row r="703" spans="1:65" s="2" customFormat="1" ht="66.75" customHeight="1">
      <c r="A703" s="29"/>
      <c r="B703" s="152"/>
      <c r="C703" s="167" t="s">
        <v>482</v>
      </c>
      <c r="D703" s="167" t="s">
        <v>202</v>
      </c>
      <c r="E703" s="168" t="s">
        <v>769</v>
      </c>
      <c r="F703" s="169" t="s">
        <v>770</v>
      </c>
      <c r="G703" s="170" t="s">
        <v>217</v>
      </c>
      <c r="H703" s="171">
        <v>5</v>
      </c>
      <c r="I703" s="172"/>
      <c r="J703" s="173">
        <v>0</v>
      </c>
      <c r="K703" s="174"/>
      <c r="L703" s="175"/>
      <c r="M703" s="176" t="s">
        <v>1</v>
      </c>
      <c r="N703" s="177" t="s">
        <v>35</v>
      </c>
      <c r="O703" s="58"/>
      <c r="P703" s="163">
        <f t="shared" si="73"/>
        <v>0</v>
      </c>
      <c r="Q703" s="163">
        <v>0</v>
      </c>
      <c r="R703" s="163">
        <f t="shared" si="74"/>
        <v>0</v>
      </c>
      <c r="S703" s="163">
        <v>0</v>
      </c>
      <c r="T703" s="164">
        <f t="shared" si="75"/>
        <v>0</v>
      </c>
      <c r="U703" s="29"/>
      <c r="V703" s="29"/>
      <c r="W703" s="29"/>
      <c r="X703" s="29"/>
      <c r="Y703" s="29"/>
      <c r="Z703" s="29"/>
      <c r="AA703" s="29"/>
      <c r="AB703" s="29"/>
      <c r="AC703" s="29"/>
      <c r="AD703" s="29"/>
      <c r="AE703" s="29"/>
      <c r="AR703" s="165" t="s">
        <v>242</v>
      </c>
      <c r="AT703" s="165" t="s">
        <v>202</v>
      </c>
      <c r="AU703" s="165" t="s">
        <v>82</v>
      </c>
      <c r="AY703" s="14" t="s">
        <v>179</v>
      </c>
      <c r="BE703" s="166">
        <f t="shared" si="76"/>
        <v>0</v>
      </c>
      <c r="BF703" s="166">
        <f t="shared" si="77"/>
        <v>0</v>
      </c>
      <c r="BG703" s="166">
        <f t="shared" si="78"/>
        <v>0</v>
      </c>
      <c r="BH703" s="166">
        <f t="shared" si="79"/>
        <v>0</v>
      </c>
      <c r="BI703" s="166">
        <f t="shared" si="80"/>
        <v>0</v>
      </c>
      <c r="BJ703" s="14" t="s">
        <v>82</v>
      </c>
      <c r="BK703" s="166">
        <f t="shared" si="81"/>
        <v>0</v>
      </c>
      <c r="BL703" s="14" t="s">
        <v>213</v>
      </c>
      <c r="BM703" s="165" t="s">
        <v>771</v>
      </c>
    </row>
    <row r="704" spans="1:65" s="2" customFormat="1" ht="76.349999999999994" customHeight="1">
      <c r="A704" s="29"/>
      <c r="B704" s="152"/>
      <c r="C704" s="167" t="s">
        <v>772</v>
      </c>
      <c r="D704" s="167" t="s">
        <v>202</v>
      </c>
      <c r="E704" s="168" t="s">
        <v>773</v>
      </c>
      <c r="F704" s="169" t="s">
        <v>774</v>
      </c>
      <c r="G704" s="170" t="s">
        <v>217</v>
      </c>
      <c r="H704" s="171">
        <v>3</v>
      </c>
      <c r="I704" s="172"/>
      <c r="J704" s="173">
        <v>0</v>
      </c>
      <c r="K704" s="174"/>
      <c r="L704" s="175"/>
      <c r="M704" s="176" t="s">
        <v>1</v>
      </c>
      <c r="N704" s="177" t="s">
        <v>35</v>
      </c>
      <c r="O704" s="58"/>
      <c r="P704" s="163">
        <f t="shared" si="73"/>
        <v>0</v>
      </c>
      <c r="Q704" s="163">
        <v>0</v>
      </c>
      <c r="R704" s="163">
        <f t="shared" si="74"/>
        <v>0</v>
      </c>
      <c r="S704" s="163">
        <v>0</v>
      </c>
      <c r="T704" s="164">
        <f t="shared" si="75"/>
        <v>0</v>
      </c>
      <c r="U704" s="29"/>
      <c r="V704" s="29"/>
      <c r="W704" s="29"/>
      <c r="X704" s="29"/>
      <c r="Y704" s="29"/>
      <c r="Z704" s="29"/>
      <c r="AA704" s="29"/>
      <c r="AB704" s="29"/>
      <c r="AC704" s="29"/>
      <c r="AD704" s="29"/>
      <c r="AE704" s="29"/>
      <c r="AR704" s="165" t="s">
        <v>242</v>
      </c>
      <c r="AT704" s="165" t="s">
        <v>202</v>
      </c>
      <c r="AU704" s="165" t="s">
        <v>82</v>
      </c>
      <c r="AY704" s="14" t="s">
        <v>179</v>
      </c>
      <c r="BE704" s="166">
        <f t="shared" si="76"/>
        <v>0</v>
      </c>
      <c r="BF704" s="166">
        <f t="shared" si="77"/>
        <v>0</v>
      </c>
      <c r="BG704" s="166">
        <f t="shared" si="78"/>
        <v>0</v>
      </c>
      <c r="BH704" s="166">
        <f t="shared" si="79"/>
        <v>0</v>
      </c>
      <c r="BI704" s="166">
        <f t="shared" si="80"/>
        <v>0</v>
      </c>
      <c r="BJ704" s="14" t="s">
        <v>82</v>
      </c>
      <c r="BK704" s="166">
        <f t="shared" si="81"/>
        <v>0</v>
      </c>
      <c r="BL704" s="14" t="s">
        <v>213</v>
      </c>
      <c r="BM704" s="165" t="s">
        <v>775</v>
      </c>
    </row>
    <row r="705" spans="1:65" s="2" customFormat="1" ht="76.349999999999994" customHeight="1">
      <c r="A705" s="29"/>
      <c r="B705" s="152"/>
      <c r="C705" s="167" t="s">
        <v>485</v>
      </c>
      <c r="D705" s="167" t="s">
        <v>202</v>
      </c>
      <c r="E705" s="168" t="s">
        <v>776</v>
      </c>
      <c r="F705" s="169" t="s">
        <v>777</v>
      </c>
      <c r="G705" s="170" t="s">
        <v>217</v>
      </c>
      <c r="H705" s="171">
        <v>2</v>
      </c>
      <c r="I705" s="172"/>
      <c r="J705" s="173">
        <v>0</v>
      </c>
      <c r="K705" s="174"/>
      <c r="L705" s="175"/>
      <c r="M705" s="176" t="s">
        <v>1</v>
      </c>
      <c r="N705" s="177" t="s">
        <v>35</v>
      </c>
      <c r="O705" s="58"/>
      <c r="P705" s="163">
        <f t="shared" si="73"/>
        <v>0</v>
      </c>
      <c r="Q705" s="163">
        <v>0</v>
      </c>
      <c r="R705" s="163">
        <f t="shared" si="74"/>
        <v>0</v>
      </c>
      <c r="S705" s="163">
        <v>0</v>
      </c>
      <c r="T705" s="164">
        <f t="shared" si="75"/>
        <v>0</v>
      </c>
      <c r="U705" s="29"/>
      <c r="V705" s="29"/>
      <c r="W705" s="29"/>
      <c r="X705" s="29"/>
      <c r="Y705" s="29"/>
      <c r="Z705" s="29"/>
      <c r="AA705" s="29"/>
      <c r="AB705" s="29"/>
      <c r="AC705" s="29"/>
      <c r="AD705" s="29"/>
      <c r="AE705" s="29"/>
      <c r="AR705" s="165" t="s">
        <v>242</v>
      </c>
      <c r="AT705" s="165" t="s">
        <v>202</v>
      </c>
      <c r="AU705" s="165" t="s">
        <v>82</v>
      </c>
      <c r="AY705" s="14" t="s">
        <v>179</v>
      </c>
      <c r="BE705" s="166">
        <f t="shared" si="76"/>
        <v>0</v>
      </c>
      <c r="BF705" s="166">
        <f t="shared" si="77"/>
        <v>0</v>
      </c>
      <c r="BG705" s="166">
        <f t="shared" si="78"/>
        <v>0</v>
      </c>
      <c r="BH705" s="166">
        <f t="shared" si="79"/>
        <v>0</v>
      </c>
      <c r="BI705" s="166">
        <f t="shared" si="80"/>
        <v>0</v>
      </c>
      <c r="BJ705" s="14" t="s">
        <v>82</v>
      </c>
      <c r="BK705" s="166">
        <f t="shared" si="81"/>
        <v>0</v>
      </c>
      <c r="BL705" s="14" t="s">
        <v>213</v>
      </c>
      <c r="BM705" s="165" t="s">
        <v>778</v>
      </c>
    </row>
    <row r="706" spans="1:65" s="2" customFormat="1" ht="76.349999999999994" customHeight="1">
      <c r="A706" s="29"/>
      <c r="B706" s="152"/>
      <c r="C706" s="167" t="s">
        <v>779</v>
      </c>
      <c r="D706" s="167" t="s">
        <v>202</v>
      </c>
      <c r="E706" s="168" t="s">
        <v>780</v>
      </c>
      <c r="F706" s="169" t="s">
        <v>777</v>
      </c>
      <c r="G706" s="170" t="s">
        <v>217</v>
      </c>
      <c r="H706" s="171">
        <v>3</v>
      </c>
      <c r="I706" s="172"/>
      <c r="J706" s="173">
        <v>0</v>
      </c>
      <c r="K706" s="174"/>
      <c r="L706" s="175"/>
      <c r="M706" s="176" t="s">
        <v>1</v>
      </c>
      <c r="N706" s="177" t="s">
        <v>35</v>
      </c>
      <c r="O706" s="58"/>
      <c r="P706" s="163">
        <f t="shared" si="73"/>
        <v>0</v>
      </c>
      <c r="Q706" s="163">
        <v>0</v>
      </c>
      <c r="R706" s="163">
        <f t="shared" si="74"/>
        <v>0</v>
      </c>
      <c r="S706" s="163">
        <v>0</v>
      </c>
      <c r="T706" s="164">
        <f t="shared" si="75"/>
        <v>0</v>
      </c>
      <c r="U706" s="29"/>
      <c r="V706" s="29"/>
      <c r="W706" s="29"/>
      <c r="X706" s="29"/>
      <c r="Y706" s="29"/>
      <c r="Z706" s="29"/>
      <c r="AA706" s="29"/>
      <c r="AB706" s="29"/>
      <c r="AC706" s="29"/>
      <c r="AD706" s="29"/>
      <c r="AE706" s="29"/>
      <c r="AR706" s="165" t="s">
        <v>242</v>
      </c>
      <c r="AT706" s="165" t="s">
        <v>202</v>
      </c>
      <c r="AU706" s="165" t="s">
        <v>82</v>
      </c>
      <c r="AY706" s="14" t="s">
        <v>179</v>
      </c>
      <c r="BE706" s="166">
        <f t="shared" si="76"/>
        <v>0</v>
      </c>
      <c r="BF706" s="166">
        <f t="shared" si="77"/>
        <v>0</v>
      </c>
      <c r="BG706" s="166">
        <f t="shared" si="78"/>
        <v>0</v>
      </c>
      <c r="BH706" s="166">
        <f t="shared" si="79"/>
        <v>0</v>
      </c>
      <c r="BI706" s="166">
        <f t="shared" si="80"/>
        <v>0</v>
      </c>
      <c r="BJ706" s="14" t="s">
        <v>82</v>
      </c>
      <c r="BK706" s="166">
        <f t="shared" si="81"/>
        <v>0</v>
      </c>
      <c r="BL706" s="14" t="s">
        <v>213</v>
      </c>
      <c r="BM706" s="165" t="s">
        <v>781</v>
      </c>
    </row>
    <row r="707" spans="1:65" s="2" customFormat="1" ht="37.9" customHeight="1">
      <c r="A707" s="29"/>
      <c r="B707" s="152"/>
      <c r="C707" s="167" t="s">
        <v>489</v>
      </c>
      <c r="D707" s="167" t="s">
        <v>202</v>
      </c>
      <c r="E707" s="168" t="s">
        <v>782</v>
      </c>
      <c r="F707" s="169" t="s">
        <v>783</v>
      </c>
      <c r="G707" s="170" t="s">
        <v>293</v>
      </c>
      <c r="H707" s="171">
        <v>169.7</v>
      </c>
      <c r="I707" s="172"/>
      <c r="J707" s="173">
        <v>0</v>
      </c>
      <c r="K707" s="174"/>
      <c r="L707" s="175"/>
      <c r="M707" s="176" t="s">
        <v>1</v>
      </c>
      <c r="N707" s="177" t="s">
        <v>35</v>
      </c>
      <c r="O707" s="58"/>
      <c r="P707" s="163">
        <f t="shared" si="73"/>
        <v>0</v>
      </c>
      <c r="Q707" s="163">
        <v>0</v>
      </c>
      <c r="R707" s="163">
        <f t="shared" si="74"/>
        <v>0</v>
      </c>
      <c r="S707" s="163">
        <v>0</v>
      </c>
      <c r="T707" s="164">
        <f t="shared" si="75"/>
        <v>0</v>
      </c>
      <c r="U707" s="29"/>
      <c r="V707" s="29"/>
      <c r="W707" s="29"/>
      <c r="X707" s="29"/>
      <c r="Y707" s="29"/>
      <c r="Z707" s="29"/>
      <c r="AA707" s="29"/>
      <c r="AB707" s="29"/>
      <c r="AC707" s="29"/>
      <c r="AD707" s="29"/>
      <c r="AE707" s="29"/>
      <c r="AR707" s="165" t="s">
        <v>242</v>
      </c>
      <c r="AT707" s="165" t="s">
        <v>202</v>
      </c>
      <c r="AU707" s="165" t="s">
        <v>82</v>
      </c>
      <c r="AY707" s="14" t="s">
        <v>179</v>
      </c>
      <c r="BE707" s="166">
        <f t="shared" si="76"/>
        <v>0</v>
      </c>
      <c r="BF707" s="166">
        <f t="shared" si="77"/>
        <v>0</v>
      </c>
      <c r="BG707" s="166">
        <f t="shared" si="78"/>
        <v>0</v>
      </c>
      <c r="BH707" s="166">
        <f t="shared" si="79"/>
        <v>0</v>
      </c>
      <c r="BI707" s="166">
        <f t="shared" si="80"/>
        <v>0</v>
      </c>
      <c r="BJ707" s="14" t="s">
        <v>82</v>
      </c>
      <c r="BK707" s="166">
        <f t="shared" si="81"/>
        <v>0</v>
      </c>
      <c r="BL707" s="14" t="s">
        <v>213</v>
      </c>
      <c r="BM707" s="165" t="s">
        <v>784</v>
      </c>
    </row>
    <row r="708" spans="1:65" s="2" customFormat="1" ht="37.9" customHeight="1">
      <c r="A708" s="29"/>
      <c r="B708" s="152"/>
      <c r="C708" s="167" t="s">
        <v>785</v>
      </c>
      <c r="D708" s="167" t="s">
        <v>202</v>
      </c>
      <c r="E708" s="168" t="s">
        <v>786</v>
      </c>
      <c r="F708" s="169" t="s">
        <v>787</v>
      </c>
      <c r="G708" s="170" t="s">
        <v>293</v>
      </c>
      <c r="H708" s="171">
        <v>169.7</v>
      </c>
      <c r="I708" s="172"/>
      <c r="J708" s="173">
        <v>0</v>
      </c>
      <c r="K708" s="174"/>
      <c r="L708" s="175"/>
      <c r="M708" s="176" t="s">
        <v>1</v>
      </c>
      <c r="N708" s="177" t="s">
        <v>35</v>
      </c>
      <c r="O708" s="58"/>
      <c r="P708" s="163">
        <f t="shared" si="73"/>
        <v>0</v>
      </c>
      <c r="Q708" s="163">
        <v>0</v>
      </c>
      <c r="R708" s="163">
        <f t="shared" si="74"/>
        <v>0</v>
      </c>
      <c r="S708" s="163">
        <v>0</v>
      </c>
      <c r="T708" s="164">
        <f t="shared" si="75"/>
        <v>0</v>
      </c>
      <c r="U708" s="29"/>
      <c r="V708" s="29"/>
      <c r="W708" s="29"/>
      <c r="X708" s="29"/>
      <c r="Y708" s="29"/>
      <c r="Z708" s="29"/>
      <c r="AA708" s="29"/>
      <c r="AB708" s="29"/>
      <c r="AC708" s="29"/>
      <c r="AD708" s="29"/>
      <c r="AE708" s="29"/>
      <c r="AR708" s="165" t="s">
        <v>242</v>
      </c>
      <c r="AT708" s="165" t="s">
        <v>202</v>
      </c>
      <c r="AU708" s="165" t="s">
        <v>82</v>
      </c>
      <c r="AY708" s="14" t="s">
        <v>179</v>
      </c>
      <c r="BE708" s="166">
        <f t="shared" si="76"/>
        <v>0</v>
      </c>
      <c r="BF708" s="166">
        <f t="shared" si="77"/>
        <v>0</v>
      </c>
      <c r="BG708" s="166">
        <f t="shared" si="78"/>
        <v>0</v>
      </c>
      <c r="BH708" s="166">
        <f t="shared" si="79"/>
        <v>0</v>
      </c>
      <c r="BI708" s="166">
        <f t="shared" si="80"/>
        <v>0</v>
      </c>
      <c r="BJ708" s="14" t="s">
        <v>82</v>
      </c>
      <c r="BK708" s="166">
        <f t="shared" si="81"/>
        <v>0</v>
      </c>
      <c r="BL708" s="14" t="s">
        <v>213</v>
      </c>
      <c r="BM708" s="165" t="s">
        <v>788</v>
      </c>
    </row>
    <row r="709" spans="1:65" s="2" customFormat="1" ht="24.2" customHeight="1">
      <c r="A709" s="29"/>
      <c r="B709" s="152"/>
      <c r="C709" s="153" t="s">
        <v>492</v>
      </c>
      <c r="D709" s="153" t="s">
        <v>181</v>
      </c>
      <c r="E709" s="154" t="s">
        <v>789</v>
      </c>
      <c r="F709" s="155" t="s">
        <v>790</v>
      </c>
      <c r="G709" s="156" t="s">
        <v>293</v>
      </c>
      <c r="H709" s="157">
        <v>27.6</v>
      </c>
      <c r="I709" s="158"/>
      <c r="J709" s="159">
        <v>0</v>
      </c>
      <c r="K709" s="160"/>
      <c r="L709" s="30"/>
      <c r="M709" s="161" t="s">
        <v>1</v>
      </c>
      <c r="N709" s="162" t="s">
        <v>35</v>
      </c>
      <c r="O709" s="58"/>
      <c r="P709" s="163">
        <f t="shared" si="73"/>
        <v>0</v>
      </c>
      <c r="Q709" s="163">
        <v>0</v>
      </c>
      <c r="R709" s="163">
        <f t="shared" si="74"/>
        <v>0</v>
      </c>
      <c r="S709" s="163">
        <v>0</v>
      </c>
      <c r="T709" s="164">
        <f t="shared" si="75"/>
        <v>0</v>
      </c>
      <c r="U709" s="29"/>
      <c r="V709" s="29"/>
      <c r="W709" s="29"/>
      <c r="X709" s="29"/>
      <c r="Y709" s="29"/>
      <c r="Z709" s="29"/>
      <c r="AA709" s="29"/>
      <c r="AB709" s="29"/>
      <c r="AC709" s="29"/>
      <c r="AD709" s="29"/>
      <c r="AE709" s="29"/>
      <c r="AR709" s="165" t="s">
        <v>213</v>
      </c>
      <c r="AT709" s="165" t="s">
        <v>181</v>
      </c>
      <c r="AU709" s="165" t="s">
        <v>82</v>
      </c>
      <c r="AY709" s="14" t="s">
        <v>179</v>
      </c>
      <c r="BE709" s="166">
        <f t="shared" si="76"/>
        <v>0</v>
      </c>
      <c r="BF709" s="166">
        <f t="shared" si="77"/>
        <v>0</v>
      </c>
      <c r="BG709" s="166">
        <f t="shared" si="78"/>
        <v>0</v>
      </c>
      <c r="BH709" s="166">
        <f t="shared" si="79"/>
        <v>0</v>
      </c>
      <c r="BI709" s="166">
        <f t="shared" si="80"/>
        <v>0</v>
      </c>
      <c r="BJ709" s="14" t="s">
        <v>82</v>
      </c>
      <c r="BK709" s="166">
        <f t="shared" si="81"/>
        <v>0</v>
      </c>
      <c r="BL709" s="14" t="s">
        <v>213</v>
      </c>
      <c r="BM709" s="165" t="s">
        <v>791</v>
      </c>
    </row>
    <row r="710" spans="1:65" s="209" customFormat="1" ht="12">
      <c r="A710" s="195"/>
      <c r="B710" s="196"/>
      <c r="C710" s="197"/>
      <c r="D710" s="197"/>
      <c r="E710" s="198"/>
      <c r="F710" s="225" t="s">
        <v>3185</v>
      </c>
      <c r="G710" s="226"/>
      <c r="H710" s="186">
        <f>13*1.2</f>
        <v>15.6</v>
      </c>
      <c r="I710" s="194"/>
      <c r="J710" s="194"/>
      <c r="K710" s="202"/>
      <c r="L710" s="203"/>
      <c r="M710" s="204"/>
      <c r="N710" s="205"/>
      <c r="O710" s="206"/>
      <c r="P710" s="207"/>
      <c r="Q710" s="207"/>
      <c r="R710" s="207"/>
      <c r="S710" s="207"/>
      <c r="T710" s="208"/>
      <c r="U710" s="195"/>
      <c r="V710" s="195"/>
      <c r="W710" s="195"/>
      <c r="X710" s="195"/>
      <c r="Y710" s="195"/>
      <c r="Z710" s="195"/>
      <c r="AA710" s="195"/>
      <c r="AB710" s="195"/>
      <c r="AC710" s="195"/>
      <c r="AD710" s="195"/>
      <c r="AE710" s="195"/>
      <c r="AR710" s="210"/>
      <c r="AT710" s="210"/>
      <c r="AU710" s="210"/>
      <c r="AY710" s="211"/>
      <c r="BE710" s="212"/>
      <c r="BF710" s="212"/>
      <c r="BG710" s="212"/>
      <c r="BH710" s="212"/>
      <c r="BI710" s="212"/>
      <c r="BJ710" s="211"/>
      <c r="BK710" s="212"/>
      <c r="BL710" s="211"/>
      <c r="BM710" s="210"/>
    </row>
    <row r="711" spans="1:65" s="209" customFormat="1" ht="10.9" customHeight="1">
      <c r="A711" s="195"/>
      <c r="B711" s="196"/>
      <c r="C711" s="197"/>
      <c r="D711" s="197"/>
      <c r="E711" s="198"/>
      <c r="F711" s="225" t="s">
        <v>3186</v>
      </c>
      <c r="G711" s="226"/>
      <c r="H711" s="186">
        <f>6*1.2</f>
        <v>7.1999999999999993</v>
      </c>
      <c r="I711" s="194"/>
      <c r="J711" s="194"/>
      <c r="K711" s="202"/>
      <c r="L711" s="203"/>
      <c r="M711" s="204"/>
      <c r="N711" s="205"/>
      <c r="O711" s="206"/>
      <c r="P711" s="207"/>
      <c r="Q711" s="207"/>
      <c r="R711" s="207"/>
      <c r="S711" s="207"/>
      <c r="T711" s="208"/>
      <c r="U711" s="195"/>
      <c r="V711" s="195"/>
      <c r="W711" s="195"/>
      <c r="X711" s="195"/>
      <c r="Y711" s="195"/>
      <c r="Z711" s="195"/>
      <c r="AA711" s="195"/>
      <c r="AB711" s="195"/>
      <c r="AC711" s="195"/>
      <c r="AD711" s="195"/>
      <c r="AE711" s="195"/>
      <c r="AR711" s="210"/>
      <c r="AT711" s="210"/>
      <c r="AU711" s="210"/>
      <c r="AY711" s="211"/>
      <c r="BE711" s="212"/>
      <c r="BF711" s="212"/>
      <c r="BG711" s="212"/>
      <c r="BH711" s="212"/>
      <c r="BI711" s="212"/>
      <c r="BJ711" s="211"/>
      <c r="BK711" s="212"/>
      <c r="BL711" s="211"/>
      <c r="BM711" s="210"/>
    </row>
    <row r="712" spans="1:65" s="209" customFormat="1" ht="10.9" customHeight="1">
      <c r="A712" s="195"/>
      <c r="B712" s="196"/>
      <c r="C712" s="197"/>
      <c r="D712" s="197"/>
      <c r="E712" s="198"/>
      <c r="F712" s="225" t="s">
        <v>3187</v>
      </c>
      <c r="G712" s="226"/>
      <c r="H712" s="186">
        <f>4*1.2</f>
        <v>4.8</v>
      </c>
      <c r="I712" s="194"/>
      <c r="J712" s="194"/>
      <c r="K712" s="202"/>
      <c r="L712" s="203"/>
      <c r="M712" s="204"/>
      <c r="N712" s="205"/>
      <c r="O712" s="206"/>
      <c r="P712" s="207"/>
      <c r="Q712" s="207"/>
      <c r="R712" s="207"/>
      <c r="S712" s="207"/>
      <c r="T712" s="208"/>
      <c r="U712" s="195"/>
      <c r="V712" s="195"/>
      <c r="W712" s="195"/>
      <c r="X712" s="195"/>
      <c r="Y712" s="195"/>
      <c r="Z712" s="195"/>
      <c r="AA712" s="195"/>
      <c r="AB712" s="195"/>
      <c r="AC712" s="195"/>
      <c r="AD712" s="195"/>
      <c r="AE712" s="195"/>
      <c r="AR712" s="210"/>
      <c r="AT712" s="210"/>
      <c r="AU712" s="210"/>
      <c r="AY712" s="211"/>
      <c r="BE712" s="212"/>
      <c r="BF712" s="212"/>
      <c r="BG712" s="212"/>
      <c r="BH712" s="212"/>
      <c r="BI712" s="212"/>
      <c r="BJ712" s="211"/>
      <c r="BK712" s="212"/>
      <c r="BL712" s="211"/>
      <c r="BM712" s="210"/>
    </row>
    <row r="713" spans="1:65" s="209" customFormat="1" ht="10.9" customHeight="1">
      <c r="A713" s="195"/>
      <c r="B713" s="196"/>
      <c r="C713" s="197"/>
      <c r="D713" s="197"/>
      <c r="E713" s="198"/>
      <c r="F713" s="187" t="s">
        <v>2983</v>
      </c>
      <c r="G713" s="188"/>
      <c r="H713" s="189">
        <f>SUM(H710:H712)</f>
        <v>27.599999999999998</v>
      </c>
      <c r="I713" s="194"/>
      <c r="J713" s="194"/>
      <c r="K713" s="202"/>
      <c r="L713" s="203"/>
      <c r="M713" s="204"/>
      <c r="N713" s="205"/>
      <c r="O713" s="206"/>
      <c r="P713" s="207"/>
      <c r="Q713" s="207"/>
      <c r="R713" s="207"/>
      <c r="S713" s="207"/>
      <c r="T713" s="208"/>
      <c r="U713" s="195"/>
      <c r="V713" s="195"/>
      <c r="W713" s="195"/>
      <c r="X713" s="195"/>
      <c r="Y713" s="195"/>
      <c r="Z713" s="195"/>
      <c r="AA713" s="195"/>
      <c r="AB713" s="195"/>
      <c r="AC713" s="195"/>
      <c r="AD713" s="195"/>
      <c r="AE713" s="195"/>
      <c r="AR713" s="210"/>
      <c r="AT713" s="210"/>
      <c r="AU713" s="210"/>
      <c r="AY713" s="211"/>
      <c r="BE713" s="212"/>
      <c r="BF713" s="212"/>
      <c r="BG713" s="212"/>
      <c r="BH713" s="212"/>
      <c r="BI713" s="212"/>
      <c r="BJ713" s="211"/>
      <c r="BK713" s="212"/>
      <c r="BL713" s="211"/>
      <c r="BM713" s="210"/>
    </row>
    <row r="714" spans="1:65" s="2" customFormat="1" ht="10.9" customHeight="1">
      <c r="A714" s="29"/>
      <c r="B714" s="152"/>
      <c r="C714" s="153" t="s">
        <v>792</v>
      </c>
      <c r="D714" s="153" t="s">
        <v>181</v>
      </c>
      <c r="E714" s="154" t="s">
        <v>793</v>
      </c>
      <c r="F714" s="155" t="s">
        <v>794</v>
      </c>
      <c r="G714" s="156" t="s">
        <v>293</v>
      </c>
      <c r="H714" s="157">
        <v>10.8</v>
      </c>
      <c r="I714" s="158"/>
      <c r="J714" s="159">
        <v>0</v>
      </c>
      <c r="K714" s="160"/>
      <c r="L714" s="30"/>
      <c r="M714" s="161" t="s">
        <v>1</v>
      </c>
      <c r="N714" s="162" t="s">
        <v>35</v>
      </c>
      <c r="O714" s="58"/>
      <c r="P714" s="163">
        <f t="shared" si="73"/>
        <v>0</v>
      </c>
      <c r="Q714" s="163">
        <v>0</v>
      </c>
      <c r="R714" s="163">
        <f t="shared" si="74"/>
        <v>0</v>
      </c>
      <c r="S714" s="163">
        <v>0</v>
      </c>
      <c r="T714" s="164">
        <f t="shared" si="75"/>
        <v>0</v>
      </c>
      <c r="U714" s="29"/>
      <c r="V714" s="29"/>
      <c r="W714" s="29"/>
      <c r="X714" s="29"/>
      <c r="Y714" s="29"/>
      <c r="Z714" s="29"/>
      <c r="AA714" s="29"/>
      <c r="AB714" s="29"/>
      <c r="AC714" s="29"/>
      <c r="AD714" s="29"/>
      <c r="AE714" s="29"/>
      <c r="AR714" s="165" t="s">
        <v>213</v>
      </c>
      <c r="AT714" s="165" t="s">
        <v>181</v>
      </c>
      <c r="AU714" s="165" t="s">
        <v>82</v>
      </c>
      <c r="AY714" s="14" t="s">
        <v>179</v>
      </c>
      <c r="BE714" s="166">
        <f t="shared" si="76"/>
        <v>0</v>
      </c>
      <c r="BF714" s="166">
        <f t="shared" si="77"/>
        <v>0</v>
      </c>
      <c r="BG714" s="166">
        <f t="shared" si="78"/>
        <v>0</v>
      </c>
      <c r="BH714" s="166">
        <f t="shared" si="79"/>
        <v>0</v>
      </c>
      <c r="BI714" s="166">
        <f t="shared" si="80"/>
        <v>0</v>
      </c>
      <c r="BJ714" s="14" t="s">
        <v>82</v>
      </c>
      <c r="BK714" s="166">
        <f t="shared" si="81"/>
        <v>0</v>
      </c>
      <c r="BL714" s="14" t="s">
        <v>213</v>
      </c>
      <c r="BM714" s="165" t="s">
        <v>795</v>
      </c>
    </row>
    <row r="715" spans="1:65" s="209" customFormat="1" ht="10.9" customHeight="1">
      <c r="A715" s="195"/>
      <c r="B715" s="196"/>
      <c r="C715" s="197"/>
      <c r="D715" s="197"/>
      <c r="E715" s="198"/>
      <c r="F715" s="225" t="s">
        <v>3188</v>
      </c>
      <c r="G715" s="226"/>
      <c r="H715" s="186">
        <f>2.4*3</f>
        <v>7.1999999999999993</v>
      </c>
      <c r="I715" s="194"/>
      <c r="J715" s="194"/>
      <c r="K715" s="202"/>
      <c r="L715" s="203"/>
      <c r="M715" s="204"/>
      <c r="N715" s="205"/>
      <c r="O715" s="206"/>
      <c r="P715" s="207"/>
      <c r="Q715" s="207"/>
      <c r="R715" s="207"/>
      <c r="S715" s="207"/>
      <c r="T715" s="208"/>
      <c r="U715" s="195"/>
      <c r="V715" s="195"/>
      <c r="W715" s="195"/>
      <c r="X715" s="195"/>
      <c r="Y715" s="195"/>
      <c r="Z715" s="195"/>
      <c r="AA715" s="195"/>
      <c r="AB715" s="195"/>
      <c r="AC715" s="195"/>
      <c r="AD715" s="195"/>
      <c r="AE715" s="195"/>
      <c r="AR715" s="210"/>
      <c r="AT715" s="210"/>
      <c r="AU715" s="210"/>
      <c r="AY715" s="211"/>
      <c r="BE715" s="212"/>
      <c r="BF715" s="212"/>
      <c r="BG715" s="212"/>
      <c r="BH715" s="212"/>
      <c r="BI715" s="212"/>
      <c r="BJ715" s="211"/>
      <c r="BK715" s="212"/>
      <c r="BL715" s="211"/>
      <c r="BM715" s="210"/>
    </row>
    <row r="716" spans="1:65" s="209" customFormat="1" ht="10.9" customHeight="1">
      <c r="A716" s="195"/>
      <c r="B716" s="196"/>
      <c r="C716" s="197"/>
      <c r="D716" s="197"/>
      <c r="E716" s="198"/>
      <c r="F716" s="225" t="s">
        <v>3189</v>
      </c>
      <c r="G716" s="226"/>
      <c r="H716" s="186">
        <f>1.2*3</f>
        <v>3.5999999999999996</v>
      </c>
      <c r="I716" s="194"/>
      <c r="J716" s="194"/>
      <c r="K716" s="202"/>
      <c r="L716" s="203"/>
      <c r="M716" s="204"/>
      <c r="N716" s="205"/>
      <c r="O716" s="206"/>
      <c r="P716" s="207"/>
      <c r="Q716" s="207"/>
      <c r="R716" s="207"/>
      <c r="S716" s="207"/>
      <c r="T716" s="208"/>
      <c r="U716" s="195"/>
      <c r="V716" s="195"/>
      <c r="W716" s="195"/>
      <c r="X716" s="195"/>
      <c r="Y716" s="195"/>
      <c r="Z716" s="195"/>
      <c r="AA716" s="195"/>
      <c r="AB716" s="195"/>
      <c r="AC716" s="195"/>
      <c r="AD716" s="195"/>
      <c r="AE716" s="195"/>
      <c r="AR716" s="210"/>
      <c r="AT716" s="210"/>
      <c r="AU716" s="210"/>
      <c r="AY716" s="211"/>
      <c r="BE716" s="212"/>
      <c r="BF716" s="212"/>
      <c r="BG716" s="212"/>
      <c r="BH716" s="212"/>
      <c r="BI716" s="212"/>
      <c r="BJ716" s="211"/>
      <c r="BK716" s="212"/>
      <c r="BL716" s="211"/>
      <c r="BM716" s="210"/>
    </row>
    <row r="717" spans="1:65" s="209" customFormat="1" ht="10.9" customHeight="1">
      <c r="A717" s="195"/>
      <c r="B717" s="196"/>
      <c r="C717" s="197"/>
      <c r="D717" s="197"/>
      <c r="E717" s="198"/>
      <c r="F717" s="187" t="s">
        <v>2983</v>
      </c>
      <c r="G717" s="188"/>
      <c r="H717" s="189">
        <f>SUM(H715:H716)</f>
        <v>10.799999999999999</v>
      </c>
      <c r="I717" s="194"/>
      <c r="J717" s="194"/>
      <c r="K717" s="202"/>
      <c r="L717" s="203"/>
      <c r="M717" s="204"/>
      <c r="N717" s="205"/>
      <c r="O717" s="206"/>
      <c r="P717" s="207"/>
      <c r="Q717" s="207"/>
      <c r="R717" s="207"/>
      <c r="S717" s="207"/>
      <c r="T717" s="208"/>
      <c r="U717" s="195"/>
      <c r="V717" s="195"/>
      <c r="W717" s="195"/>
      <c r="X717" s="195"/>
      <c r="Y717" s="195"/>
      <c r="Z717" s="195"/>
      <c r="AA717" s="195"/>
      <c r="AB717" s="195"/>
      <c r="AC717" s="195"/>
      <c r="AD717" s="195"/>
      <c r="AE717" s="195"/>
      <c r="AR717" s="210"/>
      <c r="AT717" s="210"/>
      <c r="AU717" s="210"/>
      <c r="AY717" s="211"/>
      <c r="BE717" s="212"/>
      <c r="BF717" s="212"/>
      <c r="BG717" s="212"/>
      <c r="BH717" s="212"/>
      <c r="BI717" s="212"/>
      <c r="BJ717" s="211"/>
      <c r="BK717" s="212"/>
      <c r="BL717" s="211"/>
      <c r="BM717" s="210"/>
    </row>
    <row r="718" spans="1:65" s="2" customFormat="1" ht="21.75" customHeight="1">
      <c r="A718" s="29"/>
      <c r="B718" s="152"/>
      <c r="C718" s="153" t="s">
        <v>496</v>
      </c>
      <c r="D718" s="153" t="s">
        <v>181</v>
      </c>
      <c r="E718" s="154" t="s">
        <v>796</v>
      </c>
      <c r="F718" s="155" t="s">
        <v>797</v>
      </c>
      <c r="G718" s="156" t="s">
        <v>217</v>
      </c>
      <c r="H718" s="157">
        <v>3</v>
      </c>
      <c r="I718" s="158"/>
      <c r="J718" s="159">
        <v>0</v>
      </c>
      <c r="K718" s="160"/>
      <c r="L718" s="30"/>
      <c r="M718" s="161" t="s">
        <v>1</v>
      </c>
      <c r="N718" s="162" t="s">
        <v>35</v>
      </c>
      <c r="O718" s="58"/>
      <c r="P718" s="163">
        <f t="shared" si="73"/>
        <v>0</v>
      </c>
      <c r="Q718" s="163">
        <v>1.1999999999999999E-3</v>
      </c>
      <c r="R718" s="163">
        <f t="shared" si="74"/>
        <v>3.5999999999999999E-3</v>
      </c>
      <c r="S718" s="163">
        <v>0</v>
      </c>
      <c r="T718" s="164">
        <f t="shared" si="75"/>
        <v>0</v>
      </c>
      <c r="U718" s="29"/>
      <c r="V718" s="29"/>
      <c r="W718" s="29"/>
      <c r="X718" s="29"/>
      <c r="Y718" s="29"/>
      <c r="Z718" s="29"/>
      <c r="AA718" s="29"/>
      <c r="AB718" s="29"/>
      <c r="AC718" s="29"/>
      <c r="AD718" s="29"/>
      <c r="AE718" s="29"/>
      <c r="AR718" s="165" t="s">
        <v>213</v>
      </c>
      <c r="AT718" s="165" t="s">
        <v>181</v>
      </c>
      <c r="AU718" s="165" t="s">
        <v>82</v>
      </c>
      <c r="AY718" s="14" t="s">
        <v>179</v>
      </c>
      <c r="BE718" s="166">
        <f t="shared" si="76"/>
        <v>0</v>
      </c>
      <c r="BF718" s="166">
        <f t="shared" si="77"/>
        <v>0</v>
      </c>
      <c r="BG718" s="166">
        <f t="shared" si="78"/>
        <v>0</v>
      </c>
      <c r="BH718" s="166">
        <f t="shared" si="79"/>
        <v>0</v>
      </c>
      <c r="BI718" s="166">
        <f t="shared" si="80"/>
        <v>0</v>
      </c>
      <c r="BJ718" s="14" t="s">
        <v>82</v>
      </c>
      <c r="BK718" s="166">
        <f t="shared" si="81"/>
        <v>0</v>
      </c>
      <c r="BL718" s="14" t="s">
        <v>213</v>
      </c>
      <c r="BM718" s="165" t="s">
        <v>798</v>
      </c>
    </row>
    <row r="719" spans="1:65" s="209" customFormat="1" ht="12">
      <c r="A719" s="195"/>
      <c r="B719" s="196"/>
      <c r="C719" s="197"/>
      <c r="D719" s="197"/>
      <c r="E719" s="198"/>
      <c r="F719" s="184" t="s">
        <v>3190</v>
      </c>
      <c r="G719" s="226"/>
      <c r="H719" s="186">
        <v>1</v>
      </c>
      <c r="I719" s="194"/>
      <c r="J719" s="194"/>
      <c r="K719" s="202"/>
      <c r="L719" s="203"/>
      <c r="M719" s="204"/>
      <c r="N719" s="205"/>
      <c r="O719" s="206"/>
      <c r="P719" s="207"/>
      <c r="Q719" s="207"/>
      <c r="R719" s="207"/>
      <c r="S719" s="207"/>
      <c r="T719" s="208"/>
      <c r="U719" s="195"/>
      <c r="V719" s="195"/>
      <c r="W719" s="195"/>
      <c r="X719" s="195"/>
      <c r="Y719" s="195"/>
      <c r="Z719" s="195"/>
      <c r="AA719" s="195"/>
      <c r="AB719" s="195"/>
      <c r="AC719" s="195"/>
      <c r="AD719" s="195"/>
      <c r="AE719" s="195"/>
      <c r="AR719" s="210"/>
      <c r="AT719" s="210"/>
      <c r="AU719" s="210"/>
      <c r="AY719" s="211"/>
      <c r="BE719" s="212"/>
      <c r="BF719" s="212"/>
      <c r="BG719" s="212"/>
      <c r="BH719" s="212"/>
      <c r="BI719" s="212"/>
      <c r="BJ719" s="211"/>
      <c r="BK719" s="212"/>
      <c r="BL719" s="211"/>
      <c r="BM719" s="210"/>
    </row>
    <row r="720" spans="1:65" s="209" customFormat="1" ht="10.9" customHeight="1">
      <c r="A720" s="195"/>
      <c r="B720" s="196"/>
      <c r="C720" s="197"/>
      <c r="D720" s="197"/>
      <c r="E720" s="198"/>
      <c r="F720" s="184" t="s">
        <v>3191</v>
      </c>
      <c r="G720" s="226"/>
      <c r="H720" s="186">
        <v>1</v>
      </c>
      <c r="I720" s="194"/>
      <c r="J720" s="194"/>
      <c r="K720" s="202"/>
      <c r="L720" s="203"/>
      <c r="M720" s="204"/>
      <c r="N720" s="205"/>
      <c r="O720" s="206"/>
      <c r="P720" s="207"/>
      <c r="Q720" s="207"/>
      <c r="R720" s="207"/>
      <c r="S720" s="207"/>
      <c r="T720" s="208"/>
      <c r="U720" s="195"/>
      <c r="V720" s="195"/>
      <c r="W720" s="195"/>
      <c r="X720" s="195"/>
      <c r="Y720" s="195"/>
      <c r="Z720" s="195"/>
      <c r="AA720" s="195"/>
      <c r="AB720" s="195"/>
      <c r="AC720" s="195"/>
      <c r="AD720" s="195"/>
      <c r="AE720" s="195"/>
      <c r="AR720" s="210"/>
      <c r="AT720" s="210"/>
      <c r="AU720" s="210"/>
      <c r="AY720" s="211"/>
      <c r="BE720" s="212"/>
      <c r="BF720" s="212"/>
      <c r="BG720" s="212"/>
      <c r="BH720" s="212"/>
      <c r="BI720" s="212"/>
      <c r="BJ720" s="211"/>
      <c r="BK720" s="212"/>
      <c r="BL720" s="211"/>
      <c r="BM720" s="210"/>
    </row>
    <row r="721" spans="1:65" s="209" customFormat="1" ht="10.9" customHeight="1">
      <c r="A721" s="195"/>
      <c r="B721" s="196"/>
      <c r="C721" s="197"/>
      <c r="D721" s="197"/>
      <c r="E721" s="198"/>
      <c r="F721" s="184" t="s">
        <v>3192</v>
      </c>
      <c r="G721" s="226"/>
      <c r="H721" s="186">
        <v>1</v>
      </c>
      <c r="I721" s="194"/>
      <c r="J721" s="194"/>
      <c r="K721" s="202"/>
      <c r="L721" s="203"/>
      <c r="M721" s="204"/>
      <c r="N721" s="205"/>
      <c r="O721" s="206"/>
      <c r="P721" s="207"/>
      <c r="Q721" s="207"/>
      <c r="R721" s="207"/>
      <c r="S721" s="207"/>
      <c r="T721" s="208"/>
      <c r="U721" s="195"/>
      <c r="V721" s="195"/>
      <c r="W721" s="195"/>
      <c r="X721" s="195"/>
      <c r="Y721" s="195"/>
      <c r="Z721" s="195"/>
      <c r="AA721" s="195"/>
      <c r="AB721" s="195"/>
      <c r="AC721" s="195"/>
      <c r="AD721" s="195"/>
      <c r="AE721" s="195"/>
      <c r="AR721" s="210"/>
      <c r="AT721" s="210"/>
      <c r="AU721" s="210"/>
      <c r="AY721" s="211"/>
      <c r="BE721" s="212"/>
      <c r="BF721" s="212"/>
      <c r="BG721" s="212"/>
      <c r="BH721" s="212"/>
      <c r="BI721" s="212"/>
      <c r="BJ721" s="211"/>
      <c r="BK721" s="212"/>
      <c r="BL721" s="211"/>
      <c r="BM721" s="210"/>
    </row>
    <row r="722" spans="1:65" s="209" customFormat="1" ht="10.9" customHeight="1">
      <c r="A722" s="195"/>
      <c r="B722" s="196"/>
      <c r="C722" s="197"/>
      <c r="D722" s="197"/>
      <c r="E722" s="198"/>
      <c r="F722" s="187" t="s">
        <v>2983</v>
      </c>
      <c r="G722" s="188"/>
      <c r="H722" s="189">
        <f>SUM(H719:H721)</f>
        <v>3</v>
      </c>
      <c r="I722" s="194"/>
      <c r="J722" s="194"/>
      <c r="K722" s="202"/>
      <c r="L722" s="203"/>
      <c r="M722" s="204"/>
      <c r="N722" s="205"/>
      <c r="O722" s="206"/>
      <c r="P722" s="207"/>
      <c r="Q722" s="207"/>
      <c r="R722" s="207"/>
      <c r="S722" s="207"/>
      <c r="T722" s="208"/>
      <c r="U722" s="195"/>
      <c r="V722" s="195"/>
      <c r="W722" s="195"/>
      <c r="X722" s="195"/>
      <c r="Y722" s="195"/>
      <c r="Z722" s="195"/>
      <c r="AA722" s="195"/>
      <c r="AB722" s="195"/>
      <c r="AC722" s="195"/>
      <c r="AD722" s="195"/>
      <c r="AE722" s="195"/>
      <c r="AR722" s="210"/>
      <c r="AT722" s="210"/>
      <c r="AU722" s="210"/>
      <c r="AY722" s="211"/>
      <c r="BE722" s="212"/>
      <c r="BF722" s="212"/>
      <c r="BG722" s="212"/>
      <c r="BH722" s="212"/>
      <c r="BI722" s="212"/>
      <c r="BJ722" s="211"/>
      <c r="BK722" s="212"/>
      <c r="BL722" s="211"/>
      <c r="BM722" s="210"/>
    </row>
    <row r="723" spans="1:65" s="2" customFormat="1" ht="76.349999999999994" customHeight="1">
      <c r="A723" s="29"/>
      <c r="B723" s="152"/>
      <c r="C723" s="167" t="s">
        <v>799</v>
      </c>
      <c r="D723" s="167" t="s">
        <v>202</v>
      </c>
      <c r="E723" s="168" t="s">
        <v>800</v>
      </c>
      <c r="F723" s="169" t="s">
        <v>801</v>
      </c>
      <c r="G723" s="170" t="s">
        <v>217</v>
      </c>
      <c r="H723" s="171">
        <v>1</v>
      </c>
      <c r="I723" s="172"/>
      <c r="J723" s="173">
        <v>0</v>
      </c>
      <c r="K723" s="174"/>
      <c r="L723" s="175"/>
      <c r="M723" s="176" t="s">
        <v>1</v>
      </c>
      <c r="N723" s="177" t="s">
        <v>35</v>
      </c>
      <c r="O723" s="58"/>
      <c r="P723" s="163">
        <f t="shared" si="73"/>
        <v>0</v>
      </c>
      <c r="Q723" s="163">
        <v>0</v>
      </c>
      <c r="R723" s="163">
        <f t="shared" si="74"/>
        <v>0</v>
      </c>
      <c r="S723" s="163">
        <v>0</v>
      </c>
      <c r="T723" s="164">
        <f t="shared" si="75"/>
        <v>0</v>
      </c>
      <c r="U723" s="29"/>
      <c r="V723" s="29"/>
      <c r="W723" s="29"/>
      <c r="X723" s="29"/>
      <c r="Y723" s="29"/>
      <c r="Z723" s="29"/>
      <c r="AA723" s="29"/>
      <c r="AB723" s="29"/>
      <c r="AC723" s="29"/>
      <c r="AD723" s="29"/>
      <c r="AE723" s="29"/>
      <c r="AR723" s="165" t="s">
        <v>242</v>
      </c>
      <c r="AT723" s="165" t="s">
        <v>202</v>
      </c>
      <c r="AU723" s="165" t="s">
        <v>82</v>
      </c>
      <c r="AY723" s="14" t="s">
        <v>179</v>
      </c>
      <c r="BE723" s="166">
        <f t="shared" si="76"/>
        <v>0</v>
      </c>
      <c r="BF723" s="166">
        <f t="shared" si="77"/>
        <v>0</v>
      </c>
      <c r="BG723" s="166">
        <f t="shared" si="78"/>
        <v>0</v>
      </c>
      <c r="BH723" s="166">
        <f t="shared" si="79"/>
        <v>0</v>
      </c>
      <c r="BI723" s="166">
        <f t="shared" si="80"/>
        <v>0</v>
      </c>
      <c r="BJ723" s="14" t="s">
        <v>82</v>
      </c>
      <c r="BK723" s="166">
        <f t="shared" si="81"/>
        <v>0</v>
      </c>
      <c r="BL723" s="14" t="s">
        <v>213</v>
      </c>
      <c r="BM723" s="165" t="s">
        <v>802</v>
      </c>
    </row>
    <row r="724" spans="1:65" s="2" customFormat="1" ht="76.349999999999994" customHeight="1">
      <c r="A724" s="29"/>
      <c r="B724" s="152"/>
      <c r="C724" s="167" t="s">
        <v>499</v>
      </c>
      <c r="D724" s="167" t="s">
        <v>202</v>
      </c>
      <c r="E724" s="168" t="s">
        <v>803</v>
      </c>
      <c r="F724" s="169" t="s">
        <v>804</v>
      </c>
      <c r="G724" s="170" t="s">
        <v>217</v>
      </c>
      <c r="H724" s="171">
        <v>1</v>
      </c>
      <c r="I724" s="172"/>
      <c r="J724" s="173">
        <v>0</v>
      </c>
      <c r="K724" s="174"/>
      <c r="L724" s="175"/>
      <c r="M724" s="176" t="s">
        <v>1</v>
      </c>
      <c r="N724" s="177" t="s">
        <v>35</v>
      </c>
      <c r="O724" s="58"/>
      <c r="P724" s="163">
        <f t="shared" si="73"/>
        <v>0</v>
      </c>
      <c r="Q724" s="163">
        <v>0</v>
      </c>
      <c r="R724" s="163">
        <f t="shared" si="74"/>
        <v>0</v>
      </c>
      <c r="S724" s="163">
        <v>0</v>
      </c>
      <c r="T724" s="164">
        <f t="shared" si="75"/>
        <v>0</v>
      </c>
      <c r="U724" s="29"/>
      <c r="V724" s="29"/>
      <c r="W724" s="29"/>
      <c r="X724" s="29"/>
      <c r="Y724" s="29"/>
      <c r="Z724" s="29"/>
      <c r="AA724" s="29"/>
      <c r="AB724" s="29"/>
      <c r="AC724" s="29"/>
      <c r="AD724" s="29"/>
      <c r="AE724" s="29"/>
      <c r="AR724" s="165" t="s">
        <v>242</v>
      </c>
      <c r="AT724" s="165" t="s">
        <v>202</v>
      </c>
      <c r="AU724" s="165" t="s">
        <v>82</v>
      </c>
      <c r="AY724" s="14" t="s">
        <v>179</v>
      </c>
      <c r="BE724" s="166">
        <f t="shared" si="76"/>
        <v>0</v>
      </c>
      <c r="BF724" s="166">
        <f t="shared" si="77"/>
        <v>0</v>
      </c>
      <c r="BG724" s="166">
        <f t="shared" si="78"/>
        <v>0</v>
      </c>
      <c r="BH724" s="166">
        <f t="shared" si="79"/>
        <v>0</v>
      </c>
      <c r="BI724" s="166">
        <f t="shared" si="80"/>
        <v>0</v>
      </c>
      <c r="BJ724" s="14" t="s">
        <v>82</v>
      </c>
      <c r="BK724" s="166">
        <f t="shared" si="81"/>
        <v>0</v>
      </c>
      <c r="BL724" s="14" t="s">
        <v>213</v>
      </c>
      <c r="BM724" s="165" t="s">
        <v>805</v>
      </c>
    </row>
    <row r="725" spans="1:65" s="2" customFormat="1" ht="76.349999999999994" customHeight="1">
      <c r="A725" s="29"/>
      <c r="B725" s="152"/>
      <c r="C725" s="167" t="s">
        <v>806</v>
      </c>
      <c r="D725" s="167" t="s">
        <v>202</v>
      </c>
      <c r="E725" s="168" t="s">
        <v>807</v>
      </c>
      <c r="F725" s="169" t="s">
        <v>804</v>
      </c>
      <c r="G725" s="170" t="s">
        <v>217</v>
      </c>
      <c r="H725" s="171">
        <v>1</v>
      </c>
      <c r="I725" s="172"/>
      <c r="J725" s="173">
        <v>0</v>
      </c>
      <c r="K725" s="174"/>
      <c r="L725" s="175"/>
      <c r="M725" s="176" t="s">
        <v>1</v>
      </c>
      <c r="N725" s="177" t="s">
        <v>35</v>
      </c>
      <c r="O725" s="58"/>
      <c r="P725" s="163">
        <f t="shared" si="73"/>
        <v>0</v>
      </c>
      <c r="Q725" s="163">
        <v>0</v>
      </c>
      <c r="R725" s="163">
        <f t="shared" si="74"/>
        <v>0</v>
      </c>
      <c r="S725" s="163">
        <v>0</v>
      </c>
      <c r="T725" s="164">
        <f t="shared" si="75"/>
        <v>0</v>
      </c>
      <c r="U725" s="29"/>
      <c r="V725" s="29"/>
      <c r="W725" s="29"/>
      <c r="X725" s="29"/>
      <c r="Y725" s="29"/>
      <c r="Z725" s="29"/>
      <c r="AA725" s="29"/>
      <c r="AB725" s="29"/>
      <c r="AC725" s="29"/>
      <c r="AD725" s="29"/>
      <c r="AE725" s="29"/>
      <c r="AR725" s="165" t="s">
        <v>242</v>
      </c>
      <c r="AT725" s="165" t="s">
        <v>202</v>
      </c>
      <c r="AU725" s="165" t="s">
        <v>82</v>
      </c>
      <c r="AY725" s="14" t="s">
        <v>179</v>
      </c>
      <c r="BE725" s="166">
        <f t="shared" si="76"/>
        <v>0</v>
      </c>
      <c r="BF725" s="166">
        <f t="shared" si="77"/>
        <v>0</v>
      </c>
      <c r="BG725" s="166">
        <f t="shared" si="78"/>
        <v>0</v>
      </c>
      <c r="BH725" s="166">
        <f t="shared" si="79"/>
        <v>0</v>
      </c>
      <c r="BI725" s="166">
        <f t="shared" si="80"/>
        <v>0</v>
      </c>
      <c r="BJ725" s="14" t="s">
        <v>82</v>
      </c>
      <c r="BK725" s="166">
        <f t="shared" si="81"/>
        <v>0</v>
      </c>
      <c r="BL725" s="14" t="s">
        <v>213</v>
      </c>
      <c r="BM725" s="165" t="s">
        <v>808</v>
      </c>
    </row>
    <row r="726" spans="1:65" s="2" customFormat="1" ht="21.75" customHeight="1">
      <c r="A726" s="29"/>
      <c r="B726" s="152"/>
      <c r="C726" s="153" t="s">
        <v>503</v>
      </c>
      <c r="D726" s="153" t="s">
        <v>181</v>
      </c>
      <c r="E726" s="154" t="s">
        <v>809</v>
      </c>
      <c r="F726" s="155" t="s">
        <v>810</v>
      </c>
      <c r="G726" s="156" t="s">
        <v>217</v>
      </c>
      <c r="H726" s="157">
        <v>5</v>
      </c>
      <c r="I726" s="158"/>
      <c r="J726" s="159">
        <v>0</v>
      </c>
      <c r="K726" s="160"/>
      <c r="L726" s="30"/>
      <c r="M726" s="161" t="s">
        <v>1</v>
      </c>
      <c r="N726" s="162" t="s">
        <v>35</v>
      </c>
      <c r="O726" s="58"/>
      <c r="P726" s="163">
        <f t="shared" si="73"/>
        <v>0</v>
      </c>
      <c r="Q726" s="163">
        <v>0</v>
      </c>
      <c r="R726" s="163">
        <f t="shared" si="74"/>
        <v>0</v>
      </c>
      <c r="S726" s="163">
        <v>0</v>
      </c>
      <c r="T726" s="164">
        <f t="shared" si="75"/>
        <v>0</v>
      </c>
      <c r="U726" s="29"/>
      <c r="V726" s="29"/>
      <c r="W726" s="29"/>
      <c r="X726" s="29"/>
      <c r="Y726" s="29"/>
      <c r="Z726" s="29"/>
      <c r="AA726" s="29"/>
      <c r="AB726" s="29"/>
      <c r="AC726" s="29"/>
      <c r="AD726" s="29"/>
      <c r="AE726" s="29"/>
      <c r="AR726" s="165" t="s">
        <v>213</v>
      </c>
      <c r="AT726" s="165" t="s">
        <v>181</v>
      </c>
      <c r="AU726" s="165" t="s">
        <v>82</v>
      </c>
      <c r="AY726" s="14" t="s">
        <v>179</v>
      </c>
      <c r="BE726" s="166">
        <f t="shared" si="76"/>
        <v>0</v>
      </c>
      <c r="BF726" s="166">
        <f t="shared" si="77"/>
        <v>0</v>
      </c>
      <c r="BG726" s="166">
        <f t="shared" si="78"/>
        <v>0</v>
      </c>
      <c r="BH726" s="166">
        <f t="shared" si="79"/>
        <v>0</v>
      </c>
      <c r="BI726" s="166">
        <f t="shared" si="80"/>
        <v>0</v>
      </c>
      <c r="BJ726" s="14" t="s">
        <v>82</v>
      </c>
      <c r="BK726" s="166">
        <f t="shared" si="81"/>
        <v>0</v>
      </c>
      <c r="BL726" s="14" t="s">
        <v>213</v>
      </c>
      <c r="BM726" s="165" t="s">
        <v>811</v>
      </c>
    </row>
    <row r="727" spans="1:65" s="209" customFormat="1" ht="12">
      <c r="A727" s="195"/>
      <c r="B727" s="196"/>
      <c r="C727" s="197"/>
      <c r="D727" s="197"/>
      <c r="E727" s="198"/>
      <c r="F727" s="184" t="s">
        <v>3193</v>
      </c>
      <c r="G727" s="226"/>
      <c r="H727" s="192">
        <v>1</v>
      </c>
      <c r="I727" s="194"/>
      <c r="J727" s="194"/>
      <c r="K727" s="202"/>
      <c r="L727" s="203"/>
      <c r="M727" s="204"/>
      <c r="N727" s="205"/>
      <c r="O727" s="206"/>
      <c r="P727" s="207"/>
      <c r="Q727" s="207"/>
      <c r="R727" s="207"/>
      <c r="S727" s="207"/>
      <c r="T727" s="208"/>
      <c r="U727" s="195"/>
      <c r="V727" s="195"/>
      <c r="W727" s="195"/>
      <c r="X727" s="195"/>
      <c r="Y727" s="195"/>
      <c r="Z727" s="195"/>
      <c r="AA727" s="195"/>
      <c r="AB727" s="195"/>
      <c r="AC727" s="195"/>
      <c r="AD727" s="195"/>
      <c r="AE727" s="195"/>
      <c r="AR727" s="210"/>
      <c r="AT727" s="210"/>
      <c r="AU727" s="210"/>
      <c r="AY727" s="211"/>
      <c r="BE727" s="212"/>
      <c r="BF727" s="212"/>
      <c r="BG727" s="212"/>
      <c r="BH727" s="212"/>
      <c r="BI727" s="212"/>
      <c r="BJ727" s="211"/>
      <c r="BK727" s="212"/>
      <c r="BL727" s="211"/>
      <c r="BM727" s="210"/>
    </row>
    <row r="728" spans="1:65" s="209" customFormat="1" ht="10.9" customHeight="1">
      <c r="A728" s="195"/>
      <c r="B728" s="196"/>
      <c r="C728" s="197"/>
      <c r="D728" s="197"/>
      <c r="E728" s="198"/>
      <c r="F728" s="184" t="s">
        <v>3194</v>
      </c>
      <c r="G728" s="226"/>
      <c r="H728" s="192">
        <v>1</v>
      </c>
      <c r="I728" s="194"/>
      <c r="J728" s="194"/>
      <c r="K728" s="202"/>
      <c r="L728" s="203"/>
      <c r="M728" s="204"/>
      <c r="N728" s="205"/>
      <c r="O728" s="206"/>
      <c r="P728" s="207"/>
      <c r="Q728" s="207"/>
      <c r="R728" s="207"/>
      <c r="S728" s="207"/>
      <c r="T728" s="208"/>
      <c r="U728" s="195"/>
      <c r="V728" s="195"/>
      <c r="W728" s="195"/>
      <c r="X728" s="195"/>
      <c r="Y728" s="195"/>
      <c r="Z728" s="195"/>
      <c r="AA728" s="195"/>
      <c r="AB728" s="195"/>
      <c r="AC728" s="195"/>
      <c r="AD728" s="195"/>
      <c r="AE728" s="195"/>
      <c r="AR728" s="210"/>
      <c r="AT728" s="210"/>
      <c r="AU728" s="210"/>
      <c r="AY728" s="211"/>
      <c r="BE728" s="212"/>
      <c r="BF728" s="212"/>
      <c r="BG728" s="212"/>
      <c r="BH728" s="212"/>
      <c r="BI728" s="212"/>
      <c r="BJ728" s="211"/>
      <c r="BK728" s="212"/>
      <c r="BL728" s="211"/>
      <c r="BM728" s="210"/>
    </row>
    <row r="729" spans="1:65" s="209" customFormat="1" ht="10.9" customHeight="1">
      <c r="A729" s="195"/>
      <c r="B729" s="196"/>
      <c r="C729" s="197"/>
      <c r="D729" s="197"/>
      <c r="E729" s="198"/>
      <c r="F729" s="184" t="s">
        <v>3195</v>
      </c>
      <c r="G729" s="226"/>
      <c r="H729" s="192">
        <v>3</v>
      </c>
      <c r="I729" s="194"/>
      <c r="J729" s="194"/>
      <c r="K729" s="202"/>
      <c r="L729" s="203"/>
      <c r="M729" s="204"/>
      <c r="N729" s="205"/>
      <c r="O729" s="206"/>
      <c r="P729" s="207"/>
      <c r="Q729" s="207"/>
      <c r="R729" s="207"/>
      <c r="S729" s="207"/>
      <c r="T729" s="208"/>
      <c r="U729" s="195"/>
      <c r="V729" s="195"/>
      <c r="W729" s="195"/>
      <c r="X729" s="195"/>
      <c r="Y729" s="195"/>
      <c r="Z729" s="195"/>
      <c r="AA729" s="195"/>
      <c r="AB729" s="195"/>
      <c r="AC729" s="195"/>
      <c r="AD729" s="195"/>
      <c r="AE729" s="195"/>
      <c r="AR729" s="210"/>
      <c r="AT729" s="210"/>
      <c r="AU729" s="210"/>
      <c r="AY729" s="211"/>
      <c r="BE729" s="212"/>
      <c r="BF729" s="212"/>
      <c r="BG729" s="212"/>
      <c r="BH729" s="212"/>
      <c r="BI729" s="212"/>
      <c r="BJ729" s="211"/>
      <c r="BK729" s="212"/>
      <c r="BL729" s="211"/>
      <c r="BM729" s="210"/>
    </row>
    <row r="730" spans="1:65" s="209" customFormat="1" ht="10.9" customHeight="1">
      <c r="A730" s="195"/>
      <c r="B730" s="196"/>
      <c r="C730" s="197"/>
      <c r="D730" s="197"/>
      <c r="E730" s="198"/>
      <c r="F730" s="187" t="s">
        <v>2983</v>
      </c>
      <c r="G730" s="188"/>
      <c r="H730" s="189">
        <f>SUM(H727:H729)</f>
        <v>5</v>
      </c>
      <c r="I730" s="194"/>
      <c r="J730" s="194"/>
      <c r="K730" s="202"/>
      <c r="L730" s="203"/>
      <c r="M730" s="204"/>
      <c r="N730" s="205"/>
      <c r="O730" s="206"/>
      <c r="P730" s="207"/>
      <c r="Q730" s="207"/>
      <c r="R730" s="207"/>
      <c r="S730" s="207"/>
      <c r="T730" s="208"/>
      <c r="U730" s="195"/>
      <c r="V730" s="195"/>
      <c r="W730" s="195"/>
      <c r="X730" s="195"/>
      <c r="Y730" s="195"/>
      <c r="Z730" s="195"/>
      <c r="AA730" s="195"/>
      <c r="AB730" s="195"/>
      <c r="AC730" s="195"/>
      <c r="AD730" s="195"/>
      <c r="AE730" s="195"/>
      <c r="AR730" s="210"/>
      <c r="AT730" s="210"/>
      <c r="AU730" s="210"/>
      <c r="AY730" s="211"/>
      <c r="BE730" s="212"/>
      <c r="BF730" s="212"/>
      <c r="BG730" s="212"/>
      <c r="BH730" s="212"/>
      <c r="BI730" s="212"/>
      <c r="BJ730" s="211"/>
      <c r="BK730" s="212"/>
      <c r="BL730" s="211"/>
      <c r="BM730" s="210"/>
    </row>
    <row r="731" spans="1:65" s="2" customFormat="1" ht="66.75" customHeight="1">
      <c r="A731" s="29"/>
      <c r="B731" s="152"/>
      <c r="C731" s="167" t="s">
        <v>812</v>
      </c>
      <c r="D731" s="167" t="s">
        <v>202</v>
      </c>
      <c r="E731" s="168" t="s">
        <v>813</v>
      </c>
      <c r="F731" s="169" t="s">
        <v>814</v>
      </c>
      <c r="G731" s="170" t="s">
        <v>217</v>
      </c>
      <c r="H731" s="171">
        <v>1</v>
      </c>
      <c r="I731" s="172"/>
      <c r="J731" s="173">
        <v>0</v>
      </c>
      <c r="K731" s="174"/>
      <c r="L731" s="175"/>
      <c r="M731" s="176" t="s">
        <v>1</v>
      </c>
      <c r="N731" s="177" t="s">
        <v>35</v>
      </c>
      <c r="O731" s="58"/>
      <c r="P731" s="163">
        <f t="shared" si="73"/>
        <v>0</v>
      </c>
      <c r="Q731" s="163">
        <v>0</v>
      </c>
      <c r="R731" s="163">
        <f t="shared" si="74"/>
        <v>0</v>
      </c>
      <c r="S731" s="163">
        <v>0</v>
      </c>
      <c r="T731" s="164">
        <f t="shared" si="75"/>
        <v>0</v>
      </c>
      <c r="U731" s="29"/>
      <c r="V731" s="29"/>
      <c r="W731" s="29"/>
      <c r="X731" s="29"/>
      <c r="Y731" s="29"/>
      <c r="Z731" s="29"/>
      <c r="AA731" s="29"/>
      <c r="AB731" s="29"/>
      <c r="AC731" s="29"/>
      <c r="AD731" s="29"/>
      <c r="AE731" s="29"/>
      <c r="AR731" s="165" t="s">
        <v>242</v>
      </c>
      <c r="AT731" s="165" t="s">
        <v>202</v>
      </c>
      <c r="AU731" s="165" t="s">
        <v>82</v>
      </c>
      <c r="AY731" s="14" t="s">
        <v>179</v>
      </c>
      <c r="BE731" s="166">
        <f t="shared" si="76"/>
        <v>0</v>
      </c>
      <c r="BF731" s="166">
        <f t="shared" si="77"/>
        <v>0</v>
      </c>
      <c r="BG731" s="166">
        <f t="shared" si="78"/>
        <v>0</v>
      </c>
      <c r="BH731" s="166">
        <f t="shared" si="79"/>
        <v>0</v>
      </c>
      <c r="BI731" s="166">
        <f t="shared" si="80"/>
        <v>0</v>
      </c>
      <c r="BJ731" s="14" t="s">
        <v>82</v>
      </c>
      <c r="BK731" s="166">
        <f t="shared" si="81"/>
        <v>0</v>
      </c>
      <c r="BL731" s="14" t="s">
        <v>213</v>
      </c>
      <c r="BM731" s="165" t="s">
        <v>815</v>
      </c>
    </row>
    <row r="732" spans="1:65" s="2" customFormat="1" ht="76.349999999999994" customHeight="1">
      <c r="A732" s="29"/>
      <c r="B732" s="152"/>
      <c r="C732" s="167" t="s">
        <v>506</v>
      </c>
      <c r="D732" s="167" t="s">
        <v>202</v>
      </c>
      <c r="E732" s="168" t="s">
        <v>816</v>
      </c>
      <c r="F732" s="169" t="s">
        <v>817</v>
      </c>
      <c r="G732" s="170" t="s">
        <v>217</v>
      </c>
      <c r="H732" s="171">
        <v>1</v>
      </c>
      <c r="I732" s="172"/>
      <c r="J732" s="173">
        <v>0</v>
      </c>
      <c r="K732" s="174"/>
      <c r="L732" s="175"/>
      <c r="M732" s="176" t="s">
        <v>1</v>
      </c>
      <c r="N732" s="177" t="s">
        <v>35</v>
      </c>
      <c r="O732" s="58"/>
      <c r="P732" s="163">
        <f t="shared" si="73"/>
        <v>0</v>
      </c>
      <c r="Q732" s="163">
        <v>0</v>
      </c>
      <c r="R732" s="163">
        <f t="shared" si="74"/>
        <v>0</v>
      </c>
      <c r="S732" s="163">
        <v>0</v>
      </c>
      <c r="T732" s="164">
        <f t="shared" si="75"/>
        <v>0</v>
      </c>
      <c r="U732" s="29"/>
      <c r="V732" s="29"/>
      <c r="W732" s="29"/>
      <c r="X732" s="29"/>
      <c r="Y732" s="29"/>
      <c r="Z732" s="29"/>
      <c r="AA732" s="29"/>
      <c r="AB732" s="29"/>
      <c r="AC732" s="29"/>
      <c r="AD732" s="29"/>
      <c r="AE732" s="29"/>
      <c r="AR732" s="165" t="s">
        <v>242</v>
      </c>
      <c r="AT732" s="165" t="s">
        <v>202</v>
      </c>
      <c r="AU732" s="165" t="s">
        <v>82</v>
      </c>
      <c r="AY732" s="14" t="s">
        <v>179</v>
      </c>
      <c r="BE732" s="166">
        <f t="shared" si="76"/>
        <v>0</v>
      </c>
      <c r="BF732" s="166">
        <f t="shared" si="77"/>
        <v>0</v>
      </c>
      <c r="BG732" s="166">
        <f t="shared" si="78"/>
        <v>0</v>
      </c>
      <c r="BH732" s="166">
        <f t="shared" si="79"/>
        <v>0</v>
      </c>
      <c r="BI732" s="166">
        <f t="shared" si="80"/>
        <v>0</v>
      </c>
      <c r="BJ732" s="14" t="s">
        <v>82</v>
      </c>
      <c r="BK732" s="166">
        <f t="shared" si="81"/>
        <v>0</v>
      </c>
      <c r="BL732" s="14" t="s">
        <v>213</v>
      </c>
      <c r="BM732" s="165" t="s">
        <v>818</v>
      </c>
    </row>
    <row r="733" spans="1:65" s="2" customFormat="1" ht="76.349999999999994" customHeight="1">
      <c r="A733" s="29"/>
      <c r="B733" s="152"/>
      <c r="C733" s="167" t="s">
        <v>819</v>
      </c>
      <c r="D733" s="167" t="s">
        <v>202</v>
      </c>
      <c r="E733" s="168" t="s">
        <v>820</v>
      </c>
      <c r="F733" s="169" t="s">
        <v>821</v>
      </c>
      <c r="G733" s="170" t="s">
        <v>217</v>
      </c>
      <c r="H733" s="171">
        <v>3</v>
      </c>
      <c r="I733" s="172"/>
      <c r="J733" s="173">
        <v>0</v>
      </c>
      <c r="K733" s="174"/>
      <c r="L733" s="175"/>
      <c r="M733" s="176" t="s">
        <v>1</v>
      </c>
      <c r="N733" s="177" t="s">
        <v>35</v>
      </c>
      <c r="O733" s="58"/>
      <c r="P733" s="163">
        <f t="shared" si="73"/>
        <v>0</v>
      </c>
      <c r="Q733" s="163">
        <v>0</v>
      </c>
      <c r="R733" s="163">
        <f t="shared" si="74"/>
        <v>0</v>
      </c>
      <c r="S733" s="163">
        <v>0</v>
      </c>
      <c r="T733" s="164">
        <f t="shared" si="75"/>
        <v>0</v>
      </c>
      <c r="U733" s="29"/>
      <c r="V733" s="29"/>
      <c r="W733" s="29"/>
      <c r="X733" s="29"/>
      <c r="Y733" s="29"/>
      <c r="Z733" s="29"/>
      <c r="AA733" s="29"/>
      <c r="AB733" s="29"/>
      <c r="AC733" s="29"/>
      <c r="AD733" s="29"/>
      <c r="AE733" s="29"/>
      <c r="AR733" s="165" t="s">
        <v>242</v>
      </c>
      <c r="AT733" s="165" t="s">
        <v>202</v>
      </c>
      <c r="AU733" s="165" t="s">
        <v>82</v>
      </c>
      <c r="AY733" s="14" t="s">
        <v>179</v>
      </c>
      <c r="BE733" s="166">
        <f t="shared" si="76"/>
        <v>0</v>
      </c>
      <c r="BF733" s="166">
        <f t="shared" si="77"/>
        <v>0</v>
      </c>
      <c r="BG733" s="166">
        <f t="shared" si="78"/>
        <v>0</v>
      </c>
      <c r="BH733" s="166">
        <f t="shared" si="79"/>
        <v>0</v>
      </c>
      <c r="BI733" s="166">
        <f t="shared" si="80"/>
        <v>0</v>
      </c>
      <c r="BJ733" s="14" t="s">
        <v>82</v>
      </c>
      <c r="BK733" s="166">
        <f t="shared" si="81"/>
        <v>0</v>
      </c>
      <c r="BL733" s="14" t="s">
        <v>213</v>
      </c>
      <c r="BM733" s="165" t="s">
        <v>822</v>
      </c>
    </row>
    <row r="734" spans="1:65" s="2" customFormat="1" ht="24.2" customHeight="1">
      <c r="A734" s="29"/>
      <c r="B734" s="152"/>
      <c r="C734" s="153" t="s">
        <v>510</v>
      </c>
      <c r="D734" s="153" t="s">
        <v>181</v>
      </c>
      <c r="E734" s="154" t="s">
        <v>823</v>
      </c>
      <c r="F734" s="155" t="s">
        <v>824</v>
      </c>
      <c r="G734" s="156" t="s">
        <v>217</v>
      </c>
      <c r="H734" s="157">
        <v>1</v>
      </c>
      <c r="I734" s="158"/>
      <c r="J734" s="159">
        <v>0</v>
      </c>
      <c r="K734" s="160"/>
      <c r="L734" s="30"/>
      <c r="M734" s="161" t="s">
        <v>1</v>
      </c>
      <c r="N734" s="162" t="s">
        <v>35</v>
      </c>
      <c r="O734" s="58"/>
      <c r="P734" s="163">
        <f t="shared" si="73"/>
        <v>0</v>
      </c>
      <c r="Q734" s="163">
        <v>0</v>
      </c>
      <c r="R734" s="163">
        <f t="shared" si="74"/>
        <v>0</v>
      </c>
      <c r="S734" s="163">
        <v>0</v>
      </c>
      <c r="T734" s="164">
        <f t="shared" si="75"/>
        <v>0</v>
      </c>
      <c r="U734" s="29"/>
      <c r="V734" s="29"/>
      <c r="W734" s="29"/>
      <c r="X734" s="29"/>
      <c r="Y734" s="29"/>
      <c r="Z734" s="29"/>
      <c r="AA734" s="29"/>
      <c r="AB734" s="29"/>
      <c r="AC734" s="29"/>
      <c r="AD734" s="29"/>
      <c r="AE734" s="29"/>
      <c r="AR734" s="165" t="s">
        <v>213</v>
      </c>
      <c r="AT734" s="165" t="s">
        <v>181</v>
      </c>
      <c r="AU734" s="165" t="s">
        <v>82</v>
      </c>
      <c r="AY734" s="14" t="s">
        <v>179</v>
      </c>
      <c r="BE734" s="166">
        <f t="shared" si="76"/>
        <v>0</v>
      </c>
      <c r="BF734" s="166">
        <f t="shared" si="77"/>
        <v>0</v>
      </c>
      <c r="BG734" s="166">
        <f t="shared" si="78"/>
        <v>0</v>
      </c>
      <c r="BH734" s="166">
        <f t="shared" si="79"/>
        <v>0</v>
      </c>
      <c r="BI734" s="166">
        <f t="shared" si="80"/>
        <v>0</v>
      </c>
      <c r="BJ734" s="14" t="s">
        <v>82</v>
      </c>
      <c r="BK734" s="166">
        <f t="shared" si="81"/>
        <v>0</v>
      </c>
      <c r="BL734" s="14" t="s">
        <v>213</v>
      </c>
      <c r="BM734" s="165" t="s">
        <v>825</v>
      </c>
    </row>
    <row r="735" spans="1:65" s="209" customFormat="1" ht="10.9" customHeight="1">
      <c r="A735" s="195"/>
      <c r="B735" s="196"/>
      <c r="C735" s="197"/>
      <c r="D735" s="197"/>
      <c r="E735" s="198"/>
      <c r="F735" s="184" t="s">
        <v>3196</v>
      </c>
      <c r="G735" s="226"/>
      <c r="H735" s="192">
        <v>1</v>
      </c>
      <c r="I735" s="194"/>
      <c r="J735" s="194"/>
      <c r="K735" s="202"/>
      <c r="L735" s="203"/>
      <c r="M735" s="204"/>
      <c r="N735" s="205"/>
      <c r="O735" s="206"/>
      <c r="P735" s="207"/>
      <c r="Q735" s="207"/>
      <c r="R735" s="207"/>
      <c r="S735" s="207"/>
      <c r="T735" s="208"/>
      <c r="U735" s="195"/>
      <c r="V735" s="195"/>
      <c r="W735" s="195"/>
      <c r="X735" s="195"/>
      <c r="Y735" s="195"/>
      <c r="Z735" s="195"/>
      <c r="AA735" s="195"/>
      <c r="AB735" s="195"/>
      <c r="AC735" s="195"/>
      <c r="AD735" s="195"/>
      <c r="AE735" s="195"/>
      <c r="AR735" s="210"/>
      <c r="AT735" s="210"/>
      <c r="AU735" s="210"/>
      <c r="AY735" s="211"/>
      <c r="BE735" s="212"/>
      <c r="BF735" s="212"/>
      <c r="BG735" s="212"/>
      <c r="BH735" s="212"/>
      <c r="BI735" s="212"/>
      <c r="BJ735" s="211"/>
      <c r="BK735" s="212"/>
      <c r="BL735" s="211"/>
      <c r="BM735" s="210"/>
    </row>
    <row r="736" spans="1:65" s="209" customFormat="1" ht="10.9" customHeight="1">
      <c r="A736" s="195"/>
      <c r="B736" s="196"/>
      <c r="C736" s="197"/>
      <c r="D736" s="197"/>
      <c r="E736" s="198"/>
      <c r="F736" s="187" t="s">
        <v>2983</v>
      </c>
      <c r="G736" s="188"/>
      <c r="H736" s="189">
        <f>SUM(H735:H735)</f>
        <v>1</v>
      </c>
      <c r="I736" s="194"/>
      <c r="J736" s="194"/>
      <c r="K736" s="202"/>
      <c r="L736" s="203"/>
      <c r="M736" s="204"/>
      <c r="N736" s="205"/>
      <c r="O736" s="206"/>
      <c r="P736" s="207"/>
      <c r="Q736" s="207"/>
      <c r="R736" s="207"/>
      <c r="S736" s="207"/>
      <c r="T736" s="208"/>
      <c r="U736" s="195"/>
      <c r="V736" s="195"/>
      <c r="W736" s="195"/>
      <c r="X736" s="195"/>
      <c r="Y736" s="195"/>
      <c r="Z736" s="195"/>
      <c r="AA736" s="195"/>
      <c r="AB736" s="195"/>
      <c r="AC736" s="195"/>
      <c r="AD736" s="195"/>
      <c r="AE736" s="195"/>
      <c r="AR736" s="210"/>
      <c r="AT736" s="210"/>
      <c r="AU736" s="210"/>
      <c r="AY736" s="211"/>
      <c r="BE736" s="212"/>
      <c r="BF736" s="212"/>
      <c r="BG736" s="212"/>
      <c r="BH736" s="212"/>
      <c r="BI736" s="212"/>
      <c r="BJ736" s="211"/>
      <c r="BK736" s="212"/>
      <c r="BL736" s="211"/>
      <c r="BM736" s="210"/>
    </row>
    <row r="737" spans="1:65" s="2" customFormat="1" ht="76.349999999999994" customHeight="1">
      <c r="A737" s="29"/>
      <c r="B737" s="152"/>
      <c r="C737" s="167" t="s">
        <v>826</v>
      </c>
      <c r="D737" s="167" t="s">
        <v>202</v>
      </c>
      <c r="E737" s="168" t="s">
        <v>827</v>
      </c>
      <c r="F737" s="169" t="s">
        <v>828</v>
      </c>
      <c r="G737" s="170" t="s">
        <v>217</v>
      </c>
      <c r="H737" s="171">
        <v>1</v>
      </c>
      <c r="I737" s="172"/>
      <c r="J737" s="173">
        <f t="shared" ref="J666:J799" si="82">ROUND(I737*H737,2)</f>
        <v>0</v>
      </c>
      <c r="K737" s="174"/>
      <c r="L737" s="175"/>
      <c r="M737" s="176" t="s">
        <v>1</v>
      </c>
      <c r="N737" s="177" t="s">
        <v>35</v>
      </c>
      <c r="O737" s="58"/>
      <c r="P737" s="163">
        <f t="shared" si="73"/>
        <v>0</v>
      </c>
      <c r="Q737" s="163">
        <v>0</v>
      </c>
      <c r="R737" s="163">
        <f t="shared" si="74"/>
        <v>0</v>
      </c>
      <c r="S737" s="163">
        <v>0</v>
      </c>
      <c r="T737" s="164">
        <f t="shared" si="75"/>
        <v>0</v>
      </c>
      <c r="U737" s="29"/>
      <c r="V737" s="29"/>
      <c r="W737" s="29"/>
      <c r="X737" s="29"/>
      <c r="Y737" s="29"/>
      <c r="Z737" s="29"/>
      <c r="AA737" s="29"/>
      <c r="AB737" s="29"/>
      <c r="AC737" s="29"/>
      <c r="AD737" s="29"/>
      <c r="AE737" s="29"/>
      <c r="AR737" s="165" t="s">
        <v>242</v>
      </c>
      <c r="AT737" s="165" t="s">
        <v>202</v>
      </c>
      <c r="AU737" s="165" t="s">
        <v>82</v>
      </c>
      <c r="AY737" s="14" t="s">
        <v>179</v>
      </c>
      <c r="BE737" s="166">
        <f t="shared" si="76"/>
        <v>0</v>
      </c>
      <c r="BF737" s="166">
        <f t="shared" si="77"/>
        <v>0</v>
      </c>
      <c r="BG737" s="166">
        <f t="shared" si="78"/>
        <v>0</v>
      </c>
      <c r="BH737" s="166">
        <f t="shared" si="79"/>
        <v>0</v>
      </c>
      <c r="BI737" s="166">
        <f t="shared" si="80"/>
        <v>0</v>
      </c>
      <c r="BJ737" s="14" t="s">
        <v>82</v>
      </c>
      <c r="BK737" s="166">
        <f t="shared" si="81"/>
        <v>0</v>
      </c>
      <c r="BL737" s="14" t="s">
        <v>213</v>
      </c>
      <c r="BM737" s="165" t="s">
        <v>829</v>
      </c>
    </row>
    <row r="738" spans="1:65" s="2" customFormat="1" ht="24.2" customHeight="1">
      <c r="A738" s="29"/>
      <c r="B738" s="152"/>
      <c r="C738" s="153" t="s">
        <v>517</v>
      </c>
      <c r="D738" s="153" t="s">
        <v>181</v>
      </c>
      <c r="E738" s="154" t="s">
        <v>830</v>
      </c>
      <c r="F738" s="155" t="s">
        <v>831</v>
      </c>
      <c r="G738" s="156" t="s">
        <v>217</v>
      </c>
      <c r="H738" s="157">
        <v>2</v>
      </c>
      <c r="I738" s="158"/>
      <c r="J738" s="159">
        <v>0</v>
      </c>
      <c r="K738" s="160"/>
      <c r="L738" s="30"/>
      <c r="M738" s="161" t="s">
        <v>1</v>
      </c>
      <c r="N738" s="162" t="s">
        <v>35</v>
      </c>
      <c r="O738" s="58"/>
      <c r="P738" s="163">
        <f t="shared" si="73"/>
        <v>0</v>
      </c>
      <c r="Q738" s="163">
        <v>0</v>
      </c>
      <c r="R738" s="163">
        <f t="shared" si="74"/>
        <v>0</v>
      </c>
      <c r="S738" s="163">
        <v>0</v>
      </c>
      <c r="T738" s="164">
        <f t="shared" si="75"/>
        <v>0</v>
      </c>
      <c r="U738" s="29"/>
      <c r="V738" s="29"/>
      <c r="W738" s="29"/>
      <c r="X738" s="29"/>
      <c r="Y738" s="29"/>
      <c r="Z738" s="29"/>
      <c r="AA738" s="29"/>
      <c r="AB738" s="29"/>
      <c r="AC738" s="29"/>
      <c r="AD738" s="29"/>
      <c r="AE738" s="29"/>
      <c r="AR738" s="165" t="s">
        <v>213</v>
      </c>
      <c r="AT738" s="165" t="s">
        <v>181</v>
      </c>
      <c r="AU738" s="165" t="s">
        <v>82</v>
      </c>
      <c r="AY738" s="14" t="s">
        <v>179</v>
      </c>
      <c r="BE738" s="166">
        <f t="shared" si="76"/>
        <v>0</v>
      </c>
      <c r="BF738" s="166">
        <f t="shared" si="77"/>
        <v>0</v>
      </c>
      <c r="BG738" s="166">
        <f t="shared" si="78"/>
        <v>0</v>
      </c>
      <c r="BH738" s="166">
        <f t="shared" si="79"/>
        <v>0</v>
      </c>
      <c r="BI738" s="166">
        <f t="shared" si="80"/>
        <v>0</v>
      </c>
      <c r="BJ738" s="14" t="s">
        <v>82</v>
      </c>
      <c r="BK738" s="166">
        <f t="shared" si="81"/>
        <v>0</v>
      </c>
      <c r="BL738" s="14" t="s">
        <v>213</v>
      </c>
      <c r="BM738" s="165" t="s">
        <v>832</v>
      </c>
    </row>
    <row r="739" spans="1:65" s="209" customFormat="1" ht="10.9" customHeight="1">
      <c r="A739" s="195"/>
      <c r="B739" s="196"/>
      <c r="C739" s="197"/>
      <c r="D739" s="197"/>
      <c r="E739" s="198"/>
      <c r="F739" s="184" t="s">
        <v>3197</v>
      </c>
      <c r="G739" s="226"/>
      <c r="H739" s="192">
        <v>1</v>
      </c>
      <c r="I739" s="194"/>
      <c r="J739" s="194"/>
      <c r="K739" s="202"/>
      <c r="L739" s="203"/>
      <c r="M739" s="204"/>
      <c r="N739" s="205"/>
      <c r="O739" s="206"/>
      <c r="P739" s="207"/>
      <c r="Q739" s="207"/>
      <c r="R739" s="207"/>
      <c r="S739" s="207"/>
      <c r="T739" s="208"/>
      <c r="U739" s="195"/>
      <c r="V739" s="195"/>
      <c r="W739" s="195"/>
      <c r="X739" s="195"/>
      <c r="Y739" s="195"/>
      <c r="Z739" s="195"/>
      <c r="AA739" s="195"/>
      <c r="AB739" s="195"/>
      <c r="AC739" s="195"/>
      <c r="AD739" s="195"/>
      <c r="AE739" s="195"/>
      <c r="AR739" s="210"/>
      <c r="AT739" s="210"/>
      <c r="AU739" s="210"/>
      <c r="AY739" s="211"/>
      <c r="BE739" s="212"/>
      <c r="BF739" s="212"/>
      <c r="BG739" s="212"/>
      <c r="BH739" s="212"/>
      <c r="BI739" s="212"/>
      <c r="BJ739" s="211"/>
      <c r="BK739" s="212"/>
      <c r="BL739" s="211"/>
      <c r="BM739" s="210"/>
    </row>
    <row r="740" spans="1:65" s="209" customFormat="1" ht="10.9" customHeight="1">
      <c r="A740" s="195"/>
      <c r="B740" s="196"/>
      <c r="C740" s="197"/>
      <c r="D740" s="197"/>
      <c r="E740" s="198"/>
      <c r="F740" s="184" t="s">
        <v>3198</v>
      </c>
      <c r="G740" s="226"/>
      <c r="H740" s="192">
        <v>1</v>
      </c>
      <c r="I740" s="194"/>
      <c r="J740" s="194"/>
      <c r="K740" s="202"/>
      <c r="L740" s="203"/>
      <c r="M740" s="204"/>
      <c r="N740" s="205"/>
      <c r="O740" s="206"/>
      <c r="P740" s="207"/>
      <c r="Q740" s="207"/>
      <c r="R740" s="207"/>
      <c r="S740" s="207"/>
      <c r="T740" s="208"/>
      <c r="U740" s="195"/>
      <c r="V740" s="195"/>
      <c r="W740" s="195"/>
      <c r="X740" s="195"/>
      <c r="Y740" s="195"/>
      <c r="Z740" s="195"/>
      <c r="AA740" s="195"/>
      <c r="AB740" s="195"/>
      <c r="AC740" s="195"/>
      <c r="AD740" s="195"/>
      <c r="AE740" s="195"/>
      <c r="AR740" s="210"/>
      <c r="AT740" s="210"/>
      <c r="AU740" s="210"/>
      <c r="AY740" s="211"/>
      <c r="BE740" s="212"/>
      <c r="BF740" s="212"/>
      <c r="BG740" s="212"/>
      <c r="BH740" s="212"/>
      <c r="BI740" s="212"/>
      <c r="BJ740" s="211"/>
      <c r="BK740" s="212"/>
      <c r="BL740" s="211"/>
      <c r="BM740" s="210"/>
    </row>
    <row r="741" spans="1:65" s="209" customFormat="1" ht="10.9" customHeight="1">
      <c r="A741" s="195"/>
      <c r="B741" s="196"/>
      <c r="C741" s="197"/>
      <c r="D741" s="197"/>
      <c r="E741" s="198"/>
      <c r="F741" s="187" t="s">
        <v>2983</v>
      </c>
      <c r="G741" s="188"/>
      <c r="H741" s="189">
        <f>SUM(H739:H740)</f>
        <v>2</v>
      </c>
      <c r="I741" s="194"/>
      <c r="J741" s="194"/>
      <c r="K741" s="202"/>
      <c r="L741" s="203"/>
      <c r="M741" s="204"/>
      <c r="N741" s="205"/>
      <c r="O741" s="206"/>
      <c r="P741" s="207"/>
      <c r="Q741" s="207"/>
      <c r="R741" s="207"/>
      <c r="S741" s="207"/>
      <c r="T741" s="208"/>
      <c r="U741" s="195"/>
      <c r="V741" s="195"/>
      <c r="W741" s="195"/>
      <c r="X741" s="195"/>
      <c r="Y741" s="195"/>
      <c r="Z741" s="195"/>
      <c r="AA741" s="195"/>
      <c r="AB741" s="195"/>
      <c r="AC741" s="195"/>
      <c r="AD741" s="195"/>
      <c r="AE741" s="195"/>
      <c r="AR741" s="210"/>
      <c r="AT741" s="210"/>
      <c r="AU741" s="210"/>
      <c r="AY741" s="211"/>
      <c r="BE741" s="212"/>
      <c r="BF741" s="212"/>
      <c r="BG741" s="212"/>
      <c r="BH741" s="212"/>
      <c r="BI741" s="212"/>
      <c r="BJ741" s="211"/>
      <c r="BK741" s="212"/>
      <c r="BL741" s="211"/>
      <c r="BM741" s="210"/>
    </row>
    <row r="742" spans="1:65" s="2" customFormat="1" ht="76.349999999999994" customHeight="1">
      <c r="A742" s="29"/>
      <c r="B742" s="152"/>
      <c r="C742" s="167" t="s">
        <v>833</v>
      </c>
      <c r="D742" s="167" t="s">
        <v>202</v>
      </c>
      <c r="E742" s="168" t="s">
        <v>834</v>
      </c>
      <c r="F742" s="169" t="s">
        <v>835</v>
      </c>
      <c r="G742" s="170" t="s">
        <v>217</v>
      </c>
      <c r="H742" s="171">
        <v>1</v>
      </c>
      <c r="I742" s="172"/>
      <c r="J742" s="173">
        <v>0</v>
      </c>
      <c r="K742" s="174"/>
      <c r="L742" s="175"/>
      <c r="M742" s="176" t="s">
        <v>1</v>
      </c>
      <c r="N742" s="177" t="s">
        <v>35</v>
      </c>
      <c r="O742" s="58"/>
      <c r="P742" s="163">
        <f t="shared" si="73"/>
        <v>0</v>
      </c>
      <c r="Q742" s="163">
        <v>0</v>
      </c>
      <c r="R742" s="163">
        <f t="shared" si="74"/>
        <v>0</v>
      </c>
      <c r="S742" s="163">
        <v>0</v>
      </c>
      <c r="T742" s="164">
        <f t="shared" si="75"/>
        <v>0</v>
      </c>
      <c r="U742" s="29"/>
      <c r="V742" s="29"/>
      <c r="W742" s="29"/>
      <c r="X742" s="29"/>
      <c r="Y742" s="29"/>
      <c r="Z742" s="29"/>
      <c r="AA742" s="29"/>
      <c r="AB742" s="29"/>
      <c r="AC742" s="29"/>
      <c r="AD742" s="29"/>
      <c r="AE742" s="29"/>
      <c r="AR742" s="165" t="s">
        <v>242</v>
      </c>
      <c r="AT742" s="165" t="s">
        <v>202</v>
      </c>
      <c r="AU742" s="165" t="s">
        <v>82</v>
      </c>
      <c r="AY742" s="14" t="s">
        <v>179</v>
      </c>
      <c r="BE742" s="166">
        <f t="shared" si="76"/>
        <v>0</v>
      </c>
      <c r="BF742" s="166">
        <f t="shared" si="77"/>
        <v>0</v>
      </c>
      <c r="BG742" s="166">
        <f t="shared" si="78"/>
        <v>0</v>
      </c>
      <c r="BH742" s="166">
        <f t="shared" si="79"/>
        <v>0</v>
      </c>
      <c r="BI742" s="166">
        <f t="shared" si="80"/>
        <v>0</v>
      </c>
      <c r="BJ742" s="14" t="s">
        <v>82</v>
      </c>
      <c r="BK742" s="166">
        <f t="shared" si="81"/>
        <v>0</v>
      </c>
      <c r="BL742" s="14" t="s">
        <v>213</v>
      </c>
      <c r="BM742" s="165" t="s">
        <v>836</v>
      </c>
    </row>
    <row r="743" spans="1:65" s="2" customFormat="1" ht="76.349999999999994" customHeight="1">
      <c r="A743" s="29"/>
      <c r="B743" s="152"/>
      <c r="C743" s="167" t="s">
        <v>520</v>
      </c>
      <c r="D743" s="167" t="s">
        <v>202</v>
      </c>
      <c r="E743" s="168" t="s">
        <v>837</v>
      </c>
      <c r="F743" s="169" t="s">
        <v>838</v>
      </c>
      <c r="G743" s="170" t="s">
        <v>217</v>
      </c>
      <c r="H743" s="171">
        <v>1</v>
      </c>
      <c r="I743" s="172"/>
      <c r="J743" s="173">
        <v>0</v>
      </c>
      <c r="K743" s="174"/>
      <c r="L743" s="175"/>
      <c r="M743" s="176" t="s">
        <v>1</v>
      </c>
      <c r="N743" s="177" t="s">
        <v>35</v>
      </c>
      <c r="O743" s="58"/>
      <c r="P743" s="163">
        <f t="shared" si="73"/>
        <v>0</v>
      </c>
      <c r="Q743" s="163">
        <v>0</v>
      </c>
      <c r="R743" s="163">
        <f t="shared" si="74"/>
        <v>0</v>
      </c>
      <c r="S743" s="163">
        <v>0</v>
      </c>
      <c r="T743" s="164">
        <f t="shared" si="75"/>
        <v>0</v>
      </c>
      <c r="U743" s="29"/>
      <c r="V743" s="29"/>
      <c r="W743" s="29"/>
      <c r="X743" s="29"/>
      <c r="Y743" s="29"/>
      <c r="Z743" s="29"/>
      <c r="AA743" s="29"/>
      <c r="AB743" s="29"/>
      <c r="AC743" s="29"/>
      <c r="AD743" s="29"/>
      <c r="AE743" s="29"/>
      <c r="AR743" s="165" t="s">
        <v>242</v>
      </c>
      <c r="AT743" s="165" t="s">
        <v>202</v>
      </c>
      <c r="AU743" s="165" t="s">
        <v>82</v>
      </c>
      <c r="AY743" s="14" t="s">
        <v>179</v>
      </c>
      <c r="BE743" s="166">
        <f t="shared" si="76"/>
        <v>0</v>
      </c>
      <c r="BF743" s="166">
        <f t="shared" si="77"/>
        <v>0</v>
      </c>
      <c r="BG743" s="166">
        <f t="shared" si="78"/>
        <v>0</v>
      </c>
      <c r="BH743" s="166">
        <f t="shared" si="79"/>
        <v>0</v>
      </c>
      <c r="BI743" s="166">
        <f t="shared" si="80"/>
        <v>0</v>
      </c>
      <c r="BJ743" s="14" t="s">
        <v>82</v>
      </c>
      <c r="BK743" s="166">
        <f t="shared" si="81"/>
        <v>0</v>
      </c>
      <c r="BL743" s="14" t="s">
        <v>213</v>
      </c>
      <c r="BM743" s="165" t="s">
        <v>839</v>
      </c>
    </row>
    <row r="744" spans="1:65" s="2" customFormat="1" ht="24.2" customHeight="1">
      <c r="A744" s="29"/>
      <c r="B744" s="152"/>
      <c r="C744" s="153" t="s">
        <v>840</v>
      </c>
      <c r="D744" s="153" t="s">
        <v>181</v>
      </c>
      <c r="E744" s="154" t="s">
        <v>841</v>
      </c>
      <c r="F744" s="155" t="s">
        <v>842</v>
      </c>
      <c r="G744" s="156" t="s">
        <v>217</v>
      </c>
      <c r="H744" s="157">
        <v>1</v>
      </c>
      <c r="I744" s="158"/>
      <c r="J744" s="159">
        <v>0</v>
      </c>
      <c r="K744" s="160"/>
      <c r="L744" s="30"/>
      <c r="M744" s="161" t="s">
        <v>1</v>
      </c>
      <c r="N744" s="162" t="s">
        <v>35</v>
      </c>
      <c r="O744" s="58"/>
      <c r="P744" s="163">
        <f t="shared" si="73"/>
        <v>0</v>
      </c>
      <c r="Q744" s="163">
        <v>0</v>
      </c>
      <c r="R744" s="163">
        <f t="shared" si="74"/>
        <v>0</v>
      </c>
      <c r="S744" s="163">
        <v>0</v>
      </c>
      <c r="T744" s="164">
        <f t="shared" si="75"/>
        <v>0</v>
      </c>
      <c r="U744" s="29"/>
      <c r="V744" s="29"/>
      <c r="W744" s="29"/>
      <c r="X744" s="29"/>
      <c r="Y744" s="29"/>
      <c r="Z744" s="29"/>
      <c r="AA744" s="29"/>
      <c r="AB744" s="29"/>
      <c r="AC744" s="29"/>
      <c r="AD744" s="29"/>
      <c r="AE744" s="29"/>
      <c r="AR744" s="165" t="s">
        <v>213</v>
      </c>
      <c r="AT744" s="165" t="s">
        <v>181</v>
      </c>
      <c r="AU744" s="165" t="s">
        <v>82</v>
      </c>
      <c r="AY744" s="14" t="s">
        <v>179</v>
      </c>
      <c r="BE744" s="166">
        <f t="shared" si="76"/>
        <v>0</v>
      </c>
      <c r="BF744" s="166">
        <f t="shared" si="77"/>
        <v>0</v>
      </c>
      <c r="BG744" s="166">
        <f t="shared" si="78"/>
        <v>0</v>
      </c>
      <c r="BH744" s="166">
        <f t="shared" si="79"/>
        <v>0</v>
      </c>
      <c r="BI744" s="166">
        <f t="shared" si="80"/>
        <v>0</v>
      </c>
      <c r="BJ744" s="14" t="s">
        <v>82</v>
      </c>
      <c r="BK744" s="166">
        <f t="shared" si="81"/>
        <v>0</v>
      </c>
      <c r="BL744" s="14" t="s">
        <v>213</v>
      </c>
      <c r="BM744" s="165" t="s">
        <v>843</v>
      </c>
    </row>
    <row r="745" spans="1:65" s="209" customFormat="1" ht="10.9" customHeight="1">
      <c r="A745" s="195"/>
      <c r="B745" s="196"/>
      <c r="C745" s="197"/>
      <c r="D745" s="197"/>
      <c r="E745" s="198"/>
      <c r="F745" s="184" t="s">
        <v>3199</v>
      </c>
      <c r="G745" s="226"/>
      <c r="H745" s="192">
        <v>1</v>
      </c>
      <c r="I745" s="194"/>
      <c r="J745" s="194"/>
      <c r="K745" s="202"/>
      <c r="L745" s="203"/>
      <c r="M745" s="204"/>
      <c r="N745" s="205"/>
      <c r="O745" s="206"/>
      <c r="P745" s="207"/>
      <c r="Q745" s="207"/>
      <c r="R745" s="207"/>
      <c r="S745" s="207"/>
      <c r="T745" s="208"/>
      <c r="U745" s="195"/>
      <c r="V745" s="195"/>
      <c r="W745" s="195"/>
      <c r="X745" s="195"/>
      <c r="Y745" s="195"/>
      <c r="Z745" s="195"/>
      <c r="AA745" s="195"/>
      <c r="AB745" s="195"/>
      <c r="AC745" s="195"/>
      <c r="AD745" s="195"/>
      <c r="AE745" s="195"/>
      <c r="AR745" s="210"/>
      <c r="AT745" s="210"/>
      <c r="AU745" s="210"/>
      <c r="AY745" s="211"/>
      <c r="BE745" s="212"/>
      <c r="BF745" s="212"/>
      <c r="BG745" s="212"/>
      <c r="BH745" s="212"/>
      <c r="BI745" s="212"/>
      <c r="BJ745" s="211"/>
      <c r="BK745" s="212"/>
      <c r="BL745" s="211"/>
      <c r="BM745" s="210"/>
    </row>
    <row r="746" spans="1:65" s="209" customFormat="1" ht="10.9" customHeight="1">
      <c r="A746" s="195"/>
      <c r="B746" s="196"/>
      <c r="C746" s="197"/>
      <c r="D746" s="197"/>
      <c r="E746" s="198"/>
      <c r="F746" s="187" t="s">
        <v>2983</v>
      </c>
      <c r="G746" s="188"/>
      <c r="H746" s="189">
        <f>SUM(H745:H745)</f>
        <v>1</v>
      </c>
      <c r="I746" s="194"/>
      <c r="J746" s="194"/>
      <c r="K746" s="202"/>
      <c r="L746" s="203"/>
      <c r="M746" s="204"/>
      <c r="N746" s="205"/>
      <c r="O746" s="206"/>
      <c r="P746" s="207"/>
      <c r="Q746" s="207"/>
      <c r="R746" s="207"/>
      <c r="S746" s="207"/>
      <c r="T746" s="208"/>
      <c r="U746" s="195"/>
      <c r="V746" s="195"/>
      <c r="W746" s="195"/>
      <c r="X746" s="195"/>
      <c r="Y746" s="195"/>
      <c r="Z746" s="195"/>
      <c r="AA746" s="195"/>
      <c r="AB746" s="195"/>
      <c r="AC746" s="195"/>
      <c r="AD746" s="195"/>
      <c r="AE746" s="195"/>
      <c r="AR746" s="210"/>
      <c r="AT746" s="210"/>
      <c r="AU746" s="210"/>
      <c r="AY746" s="211"/>
      <c r="BE746" s="212"/>
      <c r="BF746" s="212"/>
      <c r="BG746" s="212"/>
      <c r="BH746" s="212"/>
      <c r="BI746" s="212"/>
      <c r="BJ746" s="211"/>
      <c r="BK746" s="212"/>
      <c r="BL746" s="211"/>
      <c r="BM746" s="210"/>
    </row>
    <row r="747" spans="1:65" s="2" customFormat="1" ht="76.349999999999994" customHeight="1">
      <c r="A747" s="29"/>
      <c r="B747" s="152"/>
      <c r="C747" s="167" t="s">
        <v>524</v>
      </c>
      <c r="D747" s="167" t="s">
        <v>202</v>
      </c>
      <c r="E747" s="168" t="s">
        <v>844</v>
      </c>
      <c r="F747" s="169" t="s">
        <v>845</v>
      </c>
      <c r="G747" s="170" t="s">
        <v>217</v>
      </c>
      <c r="H747" s="171">
        <v>1</v>
      </c>
      <c r="I747" s="172"/>
      <c r="J747" s="173">
        <v>0</v>
      </c>
      <c r="K747" s="174"/>
      <c r="L747" s="175"/>
      <c r="M747" s="176" t="s">
        <v>1</v>
      </c>
      <c r="N747" s="177" t="s">
        <v>35</v>
      </c>
      <c r="O747" s="58"/>
      <c r="P747" s="163">
        <f t="shared" si="73"/>
        <v>0</v>
      </c>
      <c r="Q747" s="163">
        <v>0</v>
      </c>
      <c r="R747" s="163">
        <f t="shared" si="74"/>
        <v>0</v>
      </c>
      <c r="S747" s="163">
        <v>0</v>
      </c>
      <c r="T747" s="164">
        <f t="shared" si="75"/>
        <v>0</v>
      </c>
      <c r="U747" s="29"/>
      <c r="V747" s="29"/>
      <c r="W747" s="29"/>
      <c r="X747" s="29"/>
      <c r="Y747" s="29"/>
      <c r="Z747" s="29"/>
      <c r="AA747" s="29"/>
      <c r="AB747" s="29"/>
      <c r="AC747" s="29"/>
      <c r="AD747" s="29"/>
      <c r="AE747" s="29"/>
      <c r="AR747" s="165" t="s">
        <v>242</v>
      </c>
      <c r="AT747" s="165" t="s">
        <v>202</v>
      </c>
      <c r="AU747" s="165" t="s">
        <v>82</v>
      </c>
      <c r="AY747" s="14" t="s">
        <v>179</v>
      </c>
      <c r="BE747" s="166">
        <f t="shared" si="76"/>
        <v>0</v>
      </c>
      <c r="BF747" s="166">
        <f t="shared" si="77"/>
        <v>0</v>
      </c>
      <c r="BG747" s="166">
        <f t="shared" si="78"/>
        <v>0</v>
      </c>
      <c r="BH747" s="166">
        <f t="shared" si="79"/>
        <v>0</v>
      </c>
      <c r="BI747" s="166">
        <f t="shared" si="80"/>
        <v>0</v>
      </c>
      <c r="BJ747" s="14" t="s">
        <v>82</v>
      </c>
      <c r="BK747" s="166">
        <f t="shared" si="81"/>
        <v>0</v>
      </c>
      <c r="BL747" s="14" t="s">
        <v>213</v>
      </c>
      <c r="BM747" s="165" t="s">
        <v>846</v>
      </c>
    </row>
    <row r="748" spans="1:65" s="2" customFormat="1" ht="76.349999999999994" customHeight="1">
      <c r="A748" s="29"/>
      <c r="B748" s="152"/>
      <c r="C748" s="153" t="s">
        <v>847</v>
      </c>
      <c r="D748" s="153" t="s">
        <v>181</v>
      </c>
      <c r="E748" s="154" t="s">
        <v>848</v>
      </c>
      <c r="F748" s="155" t="s">
        <v>849</v>
      </c>
      <c r="G748" s="156" t="s">
        <v>217</v>
      </c>
      <c r="H748" s="157">
        <v>1</v>
      </c>
      <c r="I748" s="158"/>
      <c r="J748" s="159">
        <v>0</v>
      </c>
      <c r="K748" s="160"/>
      <c r="L748" s="30"/>
      <c r="M748" s="161" t="s">
        <v>1</v>
      </c>
      <c r="N748" s="162" t="s">
        <v>35</v>
      </c>
      <c r="O748" s="58"/>
      <c r="P748" s="163">
        <f t="shared" si="73"/>
        <v>0</v>
      </c>
      <c r="Q748" s="163">
        <v>0</v>
      </c>
      <c r="R748" s="163">
        <f t="shared" si="74"/>
        <v>0</v>
      </c>
      <c r="S748" s="163">
        <v>0</v>
      </c>
      <c r="T748" s="164">
        <f t="shared" si="75"/>
        <v>0</v>
      </c>
      <c r="U748" s="29"/>
      <c r="V748" s="29"/>
      <c r="W748" s="29"/>
      <c r="X748" s="29"/>
      <c r="Y748" s="29"/>
      <c r="Z748" s="29"/>
      <c r="AA748" s="29"/>
      <c r="AB748" s="29"/>
      <c r="AC748" s="29"/>
      <c r="AD748" s="29"/>
      <c r="AE748" s="29"/>
      <c r="AR748" s="165" t="s">
        <v>213</v>
      </c>
      <c r="AT748" s="165" t="s">
        <v>181</v>
      </c>
      <c r="AU748" s="165" t="s">
        <v>82</v>
      </c>
      <c r="AY748" s="14" t="s">
        <v>179</v>
      </c>
      <c r="BE748" s="166">
        <f t="shared" si="76"/>
        <v>0</v>
      </c>
      <c r="BF748" s="166">
        <f t="shared" si="77"/>
        <v>0</v>
      </c>
      <c r="BG748" s="166">
        <f t="shared" si="78"/>
        <v>0</v>
      </c>
      <c r="BH748" s="166">
        <f t="shared" si="79"/>
        <v>0</v>
      </c>
      <c r="BI748" s="166">
        <f t="shared" si="80"/>
        <v>0</v>
      </c>
      <c r="BJ748" s="14" t="s">
        <v>82</v>
      </c>
      <c r="BK748" s="166">
        <f t="shared" si="81"/>
        <v>0</v>
      </c>
      <c r="BL748" s="14" t="s">
        <v>213</v>
      </c>
      <c r="BM748" s="165" t="s">
        <v>850</v>
      </c>
    </row>
    <row r="749" spans="1:65" s="209" customFormat="1" ht="10.9" customHeight="1">
      <c r="A749" s="195"/>
      <c r="B749" s="196"/>
      <c r="C749" s="197"/>
      <c r="D749" s="197"/>
      <c r="E749" s="198"/>
      <c r="F749" s="184" t="s">
        <v>3200</v>
      </c>
      <c r="G749" s="226"/>
      <c r="H749" s="186">
        <v>1</v>
      </c>
      <c r="I749" s="194"/>
      <c r="J749" s="194"/>
      <c r="K749" s="202"/>
      <c r="L749" s="203"/>
      <c r="M749" s="204"/>
      <c r="N749" s="205"/>
      <c r="O749" s="206"/>
      <c r="P749" s="207"/>
      <c r="Q749" s="207"/>
      <c r="R749" s="207"/>
      <c r="S749" s="207"/>
      <c r="T749" s="208"/>
      <c r="U749" s="195"/>
      <c r="V749" s="195"/>
      <c r="W749" s="195"/>
      <c r="X749" s="195"/>
      <c r="Y749" s="195"/>
      <c r="Z749" s="195"/>
      <c r="AA749" s="195"/>
      <c r="AB749" s="195"/>
      <c r="AC749" s="195"/>
      <c r="AD749" s="195"/>
      <c r="AE749" s="195"/>
      <c r="AR749" s="210"/>
      <c r="AT749" s="210"/>
      <c r="AU749" s="210"/>
      <c r="AY749" s="211"/>
      <c r="BE749" s="212"/>
      <c r="BF749" s="212"/>
      <c r="BG749" s="212"/>
      <c r="BH749" s="212"/>
      <c r="BI749" s="212"/>
      <c r="BJ749" s="211"/>
      <c r="BK749" s="212"/>
      <c r="BL749" s="211"/>
      <c r="BM749" s="210"/>
    </row>
    <row r="750" spans="1:65" s="209" customFormat="1" ht="10.9" customHeight="1">
      <c r="A750" s="195"/>
      <c r="B750" s="196"/>
      <c r="C750" s="197"/>
      <c r="D750" s="197"/>
      <c r="E750" s="198"/>
      <c r="F750" s="187" t="s">
        <v>2983</v>
      </c>
      <c r="G750" s="188"/>
      <c r="H750" s="189">
        <f>SUM(H749:H749)</f>
        <v>1</v>
      </c>
      <c r="I750" s="194"/>
      <c r="J750" s="194"/>
      <c r="K750" s="202"/>
      <c r="L750" s="203"/>
      <c r="M750" s="204"/>
      <c r="N750" s="205"/>
      <c r="O750" s="206"/>
      <c r="P750" s="207"/>
      <c r="Q750" s="207"/>
      <c r="R750" s="207"/>
      <c r="S750" s="207"/>
      <c r="T750" s="208"/>
      <c r="U750" s="195"/>
      <c r="V750" s="195"/>
      <c r="W750" s="195"/>
      <c r="X750" s="195"/>
      <c r="Y750" s="195"/>
      <c r="Z750" s="195"/>
      <c r="AA750" s="195"/>
      <c r="AB750" s="195"/>
      <c r="AC750" s="195"/>
      <c r="AD750" s="195"/>
      <c r="AE750" s="195"/>
      <c r="AR750" s="210"/>
      <c r="AT750" s="210"/>
      <c r="AU750" s="210"/>
      <c r="AY750" s="211"/>
      <c r="BE750" s="212"/>
      <c r="BF750" s="212"/>
      <c r="BG750" s="212"/>
      <c r="BH750" s="212"/>
      <c r="BI750" s="212"/>
      <c r="BJ750" s="211"/>
      <c r="BK750" s="212"/>
      <c r="BL750" s="211"/>
      <c r="BM750" s="210"/>
    </row>
    <row r="751" spans="1:65" s="2" customFormat="1" ht="76.349999999999994" customHeight="1">
      <c r="A751" s="29"/>
      <c r="B751" s="152"/>
      <c r="C751" s="153" t="s">
        <v>527</v>
      </c>
      <c r="D751" s="153" t="s">
        <v>181</v>
      </c>
      <c r="E751" s="154" t="s">
        <v>851</v>
      </c>
      <c r="F751" s="155" t="s">
        <v>852</v>
      </c>
      <c r="G751" s="156" t="s">
        <v>217</v>
      </c>
      <c r="H751" s="157">
        <v>1</v>
      </c>
      <c r="I751" s="158"/>
      <c r="J751" s="159">
        <f t="shared" si="82"/>
        <v>0</v>
      </c>
      <c r="K751" s="160"/>
      <c r="L751" s="30"/>
      <c r="M751" s="161" t="s">
        <v>1</v>
      </c>
      <c r="N751" s="162" t="s">
        <v>35</v>
      </c>
      <c r="O751" s="58"/>
      <c r="P751" s="163">
        <f t="shared" si="73"/>
        <v>0</v>
      </c>
      <c r="Q751" s="163">
        <v>0</v>
      </c>
      <c r="R751" s="163">
        <f t="shared" si="74"/>
        <v>0</v>
      </c>
      <c r="S751" s="163">
        <v>0</v>
      </c>
      <c r="T751" s="164">
        <f t="shared" si="75"/>
        <v>0</v>
      </c>
      <c r="U751" s="29"/>
      <c r="V751" s="29"/>
      <c r="W751" s="29"/>
      <c r="X751" s="29"/>
      <c r="Y751" s="29"/>
      <c r="Z751" s="29"/>
      <c r="AA751" s="29"/>
      <c r="AB751" s="29"/>
      <c r="AC751" s="29"/>
      <c r="AD751" s="29"/>
      <c r="AE751" s="29"/>
      <c r="AR751" s="165" t="s">
        <v>213</v>
      </c>
      <c r="AT751" s="165" t="s">
        <v>181</v>
      </c>
      <c r="AU751" s="165" t="s">
        <v>82</v>
      </c>
      <c r="AY751" s="14" t="s">
        <v>179</v>
      </c>
      <c r="BE751" s="166">
        <f t="shared" si="76"/>
        <v>0</v>
      </c>
      <c r="BF751" s="166">
        <f t="shared" si="77"/>
        <v>0</v>
      </c>
      <c r="BG751" s="166">
        <f t="shared" si="78"/>
        <v>0</v>
      </c>
      <c r="BH751" s="166">
        <f t="shared" si="79"/>
        <v>0</v>
      </c>
      <c r="BI751" s="166">
        <f t="shared" si="80"/>
        <v>0</v>
      </c>
      <c r="BJ751" s="14" t="s">
        <v>82</v>
      </c>
      <c r="BK751" s="166">
        <f t="shared" si="81"/>
        <v>0</v>
      </c>
      <c r="BL751" s="14" t="s">
        <v>213</v>
      </c>
      <c r="BM751" s="165" t="s">
        <v>853</v>
      </c>
    </row>
    <row r="752" spans="1:65" s="209" customFormat="1" ht="10.9" customHeight="1">
      <c r="A752" s="195"/>
      <c r="B752" s="196"/>
      <c r="C752" s="197"/>
      <c r="D752" s="197"/>
      <c r="E752" s="198"/>
      <c r="F752" s="184" t="s">
        <v>3201</v>
      </c>
      <c r="G752" s="226"/>
      <c r="H752" s="186">
        <v>1</v>
      </c>
      <c r="I752" s="194"/>
      <c r="J752" s="194"/>
      <c r="K752" s="202"/>
      <c r="L752" s="203"/>
      <c r="M752" s="204"/>
      <c r="N752" s="205"/>
      <c r="O752" s="206"/>
      <c r="P752" s="207"/>
      <c r="Q752" s="207"/>
      <c r="R752" s="207"/>
      <c r="S752" s="207"/>
      <c r="T752" s="208"/>
      <c r="U752" s="195"/>
      <c r="V752" s="195"/>
      <c r="W752" s="195"/>
      <c r="X752" s="195"/>
      <c r="Y752" s="195"/>
      <c r="Z752" s="195"/>
      <c r="AA752" s="195"/>
      <c r="AB752" s="195"/>
      <c r="AC752" s="195"/>
      <c r="AD752" s="195"/>
      <c r="AE752" s="195"/>
      <c r="AR752" s="210"/>
      <c r="AT752" s="210"/>
      <c r="AU752" s="210"/>
      <c r="AY752" s="211"/>
      <c r="BE752" s="212"/>
      <c r="BF752" s="212"/>
      <c r="BG752" s="212"/>
      <c r="BH752" s="212"/>
      <c r="BI752" s="212"/>
      <c r="BJ752" s="211"/>
      <c r="BK752" s="212"/>
      <c r="BL752" s="211"/>
      <c r="BM752" s="210"/>
    </row>
    <row r="753" spans="1:65" s="209" customFormat="1" ht="10.9" customHeight="1">
      <c r="A753" s="195"/>
      <c r="B753" s="196"/>
      <c r="C753" s="197"/>
      <c r="D753" s="197"/>
      <c r="E753" s="198"/>
      <c r="F753" s="187" t="s">
        <v>2983</v>
      </c>
      <c r="G753" s="188"/>
      <c r="H753" s="189">
        <f>SUM(H752:H752)</f>
        <v>1</v>
      </c>
      <c r="I753" s="194"/>
      <c r="J753" s="194"/>
      <c r="K753" s="202"/>
      <c r="L753" s="203"/>
      <c r="M753" s="204"/>
      <c r="N753" s="205"/>
      <c r="O753" s="206"/>
      <c r="P753" s="207"/>
      <c r="Q753" s="207"/>
      <c r="R753" s="207"/>
      <c r="S753" s="207"/>
      <c r="T753" s="208"/>
      <c r="U753" s="195"/>
      <c r="V753" s="195"/>
      <c r="W753" s="195"/>
      <c r="X753" s="195"/>
      <c r="Y753" s="195"/>
      <c r="Z753" s="195"/>
      <c r="AA753" s="195"/>
      <c r="AB753" s="195"/>
      <c r="AC753" s="195"/>
      <c r="AD753" s="195"/>
      <c r="AE753" s="195"/>
      <c r="AR753" s="210"/>
      <c r="AT753" s="210"/>
      <c r="AU753" s="210"/>
      <c r="AY753" s="211"/>
      <c r="BE753" s="212"/>
      <c r="BF753" s="212"/>
      <c r="BG753" s="212"/>
      <c r="BH753" s="212"/>
      <c r="BI753" s="212"/>
      <c r="BJ753" s="211"/>
      <c r="BK753" s="212"/>
      <c r="BL753" s="211"/>
      <c r="BM753" s="210"/>
    </row>
    <row r="754" spans="1:65" s="2" customFormat="1" ht="37.9" customHeight="1">
      <c r="A754" s="29"/>
      <c r="B754" s="152"/>
      <c r="C754" s="153" t="s">
        <v>854</v>
      </c>
      <c r="D754" s="153" t="s">
        <v>181</v>
      </c>
      <c r="E754" s="154" t="s">
        <v>855</v>
      </c>
      <c r="F754" s="155" t="s">
        <v>856</v>
      </c>
      <c r="G754" s="156" t="s">
        <v>574</v>
      </c>
      <c r="H754" s="157">
        <v>126.55</v>
      </c>
      <c r="I754" s="158"/>
      <c r="J754" s="159">
        <v>0</v>
      </c>
      <c r="K754" s="160"/>
      <c r="L754" s="30"/>
      <c r="M754" s="161" t="s">
        <v>1</v>
      </c>
      <c r="N754" s="162" t="s">
        <v>35</v>
      </c>
      <c r="O754" s="58"/>
      <c r="P754" s="163">
        <f t="shared" si="73"/>
        <v>0</v>
      </c>
      <c r="Q754" s="163">
        <v>5.1499999999999998E-5</v>
      </c>
      <c r="R754" s="163">
        <f t="shared" si="74"/>
        <v>6.517325E-3</v>
      </c>
      <c r="S754" s="163">
        <v>0</v>
      </c>
      <c r="T754" s="164">
        <f t="shared" si="75"/>
        <v>0</v>
      </c>
      <c r="U754" s="29"/>
      <c r="V754" s="29"/>
      <c r="W754" s="29"/>
      <c r="X754" s="29"/>
      <c r="Y754" s="29"/>
      <c r="Z754" s="29"/>
      <c r="AA754" s="29"/>
      <c r="AB754" s="29"/>
      <c r="AC754" s="29"/>
      <c r="AD754" s="29"/>
      <c r="AE754" s="29"/>
      <c r="AR754" s="165" t="s">
        <v>213</v>
      </c>
      <c r="AT754" s="165" t="s">
        <v>181</v>
      </c>
      <c r="AU754" s="165" t="s">
        <v>82</v>
      </c>
      <c r="AY754" s="14" t="s">
        <v>179</v>
      </c>
      <c r="BE754" s="166">
        <f t="shared" si="76"/>
        <v>0</v>
      </c>
      <c r="BF754" s="166">
        <f t="shared" si="77"/>
        <v>0</v>
      </c>
      <c r="BG754" s="166">
        <f t="shared" si="78"/>
        <v>0</v>
      </c>
      <c r="BH754" s="166">
        <f t="shared" si="79"/>
        <v>0</v>
      </c>
      <c r="BI754" s="166">
        <f t="shared" si="80"/>
        <v>0</v>
      </c>
      <c r="BJ754" s="14" t="s">
        <v>82</v>
      </c>
      <c r="BK754" s="166">
        <f t="shared" si="81"/>
        <v>0</v>
      </c>
      <c r="BL754" s="14" t="s">
        <v>213</v>
      </c>
      <c r="BM754" s="165" t="s">
        <v>857</v>
      </c>
    </row>
    <row r="755" spans="1:65" s="209" customFormat="1" ht="33.75">
      <c r="A755" s="195"/>
      <c r="B755" s="196"/>
      <c r="C755" s="197"/>
      <c r="D755" s="197"/>
      <c r="E755" s="198"/>
      <c r="F755" s="184" t="s">
        <v>3202</v>
      </c>
      <c r="G755" s="226"/>
      <c r="H755" s="186">
        <v>74.73</v>
      </c>
      <c r="I755" s="194"/>
      <c r="J755" s="194"/>
      <c r="K755" s="202"/>
      <c r="L755" s="203"/>
      <c r="M755" s="204"/>
      <c r="N755" s="205"/>
      <c r="O755" s="206"/>
      <c r="P755" s="207"/>
      <c r="Q755" s="207"/>
      <c r="R755" s="207"/>
      <c r="S755" s="207"/>
      <c r="T755" s="208"/>
      <c r="U755" s="195"/>
      <c r="V755" s="195"/>
      <c r="W755" s="195"/>
      <c r="X755" s="195"/>
      <c r="Y755" s="195"/>
      <c r="Z755" s="195"/>
      <c r="AA755" s="195"/>
      <c r="AB755" s="195"/>
      <c r="AC755" s="195"/>
      <c r="AD755" s="195"/>
      <c r="AE755" s="195"/>
      <c r="AR755" s="210"/>
      <c r="AT755" s="210"/>
      <c r="AU755" s="210"/>
      <c r="AY755" s="211"/>
      <c r="BE755" s="212"/>
      <c r="BF755" s="212"/>
      <c r="BG755" s="212"/>
      <c r="BH755" s="212"/>
      <c r="BI755" s="212"/>
      <c r="BJ755" s="211"/>
      <c r="BK755" s="212"/>
      <c r="BL755" s="211"/>
      <c r="BM755" s="210"/>
    </row>
    <row r="756" spans="1:65" s="209" customFormat="1" ht="22.5">
      <c r="A756" s="195"/>
      <c r="B756" s="196"/>
      <c r="C756" s="197"/>
      <c r="D756" s="197"/>
      <c r="E756" s="198"/>
      <c r="F756" s="184" t="s">
        <v>3203</v>
      </c>
      <c r="G756" s="226"/>
      <c r="H756" s="186">
        <v>8.2200000000000006</v>
      </c>
      <c r="I756" s="194"/>
      <c r="J756" s="194"/>
      <c r="K756" s="202"/>
      <c r="L756" s="203"/>
      <c r="M756" s="204"/>
      <c r="N756" s="205"/>
      <c r="O756" s="206"/>
      <c r="P756" s="207"/>
      <c r="Q756" s="207"/>
      <c r="R756" s="207"/>
      <c r="S756" s="207"/>
      <c r="T756" s="208"/>
      <c r="U756" s="195"/>
      <c r="V756" s="195"/>
      <c r="W756" s="195"/>
      <c r="X756" s="195"/>
      <c r="Y756" s="195"/>
      <c r="Z756" s="195"/>
      <c r="AA756" s="195"/>
      <c r="AB756" s="195"/>
      <c r="AC756" s="195"/>
      <c r="AD756" s="195"/>
      <c r="AE756" s="195"/>
      <c r="AR756" s="210"/>
      <c r="AT756" s="210"/>
      <c r="AU756" s="210"/>
      <c r="AY756" s="211"/>
      <c r="BE756" s="212"/>
      <c r="BF756" s="212"/>
      <c r="BG756" s="212"/>
      <c r="BH756" s="212"/>
      <c r="BI756" s="212"/>
      <c r="BJ756" s="211"/>
      <c r="BK756" s="212"/>
      <c r="BL756" s="211"/>
      <c r="BM756" s="210"/>
    </row>
    <row r="757" spans="1:65" s="209" customFormat="1" ht="12">
      <c r="A757" s="195"/>
      <c r="B757" s="196"/>
      <c r="C757" s="197"/>
      <c r="D757" s="197"/>
      <c r="E757" s="198"/>
      <c r="F757" s="184" t="s">
        <v>3204</v>
      </c>
      <c r="G757" s="226"/>
      <c r="H757" s="186">
        <v>23.27</v>
      </c>
      <c r="I757" s="194"/>
      <c r="J757" s="194"/>
      <c r="K757" s="202"/>
      <c r="L757" s="203"/>
      <c r="M757" s="204"/>
      <c r="N757" s="205"/>
      <c r="O757" s="206"/>
      <c r="P757" s="207"/>
      <c r="Q757" s="207"/>
      <c r="R757" s="207"/>
      <c r="S757" s="207"/>
      <c r="T757" s="208"/>
      <c r="U757" s="195"/>
      <c r="V757" s="195"/>
      <c r="W757" s="195"/>
      <c r="X757" s="195"/>
      <c r="Y757" s="195"/>
      <c r="Z757" s="195"/>
      <c r="AA757" s="195"/>
      <c r="AB757" s="195"/>
      <c r="AC757" s="195"/>
      <c r="AD757" s="195"/>
      <c r="AE757" s="195"/>
      <c r="AR757" s="210"/>
      <c r="AT757" s="210"/>
      <c r="AU757" s="210"/>
      <c r="AY757" s="211"/>
      <c r="BE757" s="212"/>
      <c r="BF757" s="212"/>
      <c r="BG757" s="212"/>
      <c r="BH757" s="212"/>
      <c r="BI757" s="212"/>
      <c r="BJ757" s="211"/>
      <c r="BK757" s="212"/>
      <c r="BL757" s="211"/>
      <c r="BM757" s="210"/>
    </row>
    <row r="758" spans="1:65" s="209" customFormat="1" ht="12">
      <c r="A758" s="195"/>
      <c r="B758" s="196"/>
      <c r="C758" s="197"/>
      <c r="D758" s="197"/>
      <c r="E758" s="198"/>
      <c r="F758" s="184" t="s">
        <v>3205</v>
      </c>
      <c r="G758" s="226"/>
      <c r="H758" s="186">
        <v>2.61</v>
      </c>
      <c r="I758" s="194"/>
      <c r="J758" s="194"/>
      <c r="K758" s="202"/>
      <c r="L758" s="203"/>
      <c r="M758" s="204"/>
      <c r="N758" s="205"/>
      <c r="O758" s="206"/>
      <c r="P758" s="207"/>
      <c r="Q758" s="207"/>
      <c r="R758" s="207"/>
      <c r="S758" s="207"/>
      <c r="T758" s="208"/>
      <c r="U758" s="195"/>
      <c r="V758" s="195"/>
      <c r="W758" s="195"/>
      <c r="X758" s="195"/>
      <c r="Y758" s="195"/>
      <c r="Z758" s="195"/>
      <c r="AA758" s="195"/>
      <c r="AB758" s="195"/>
      <c r="AC758" s="195"/>
      <c r="AD758" s="195"/>
      <c r="AE758" s="195"/>
      <c r="AR758" s="210"/>
      <c r="AT758" s="210"/>
      <c r="AU758" s="210"/>
      <c r="AY758" s="211"/>
      <c r="BE758" s="212"/>
      <c r="BF758" s="212"/>
      <c r="BG758" s="212"/>
      <c r="BH758" s="212"/>
      <c r="BI758" s="212"/>
      <c r="BJ758" s="211"/>
      <c r="BK758" s="212"/>
      <c r="BL758" s="211"/>
      <c r="BM758" s="210"/>
    </row>
    <row r="759" spans="1:65" s="209" customFormat="1" ht="12">
      <c r="A759" s="195"/>
      <c r="B759" s="196"/>
      <c r="C759" s="197"/>
      <c r="D759" s="197"/>
      <c r="E759" s="198"/>
      <c r="F759" s="184" t="s">
        <v>3206</v>
      </c>
      <c r="G759" s="226"/>
      <c r="H759" s="186">
        <v>17.72</v>
      </c>
      <c r="I759" s="194"/>
      <c r="J759" s="194"/>
      <c r="K759" s="202"/>
      <c r="L759" s="203"/>
      <c r="M759" s="204"/>
      <c r="N759" s="205"/>
      <c r="O759" s="206"/>
      <c r="P759" s="207"/>
      <c r="Q759" s="207"/>
      <c r="R759" s="207"/>
      <c r="S759" s="207"/>
      <c r="T759" s="208"/>
      <c r="U759" s="195"/>
      <c r="V759" s="195"/>
      <c r="W759" s="195"/>
      <c r="X759" s="195"/>
      <c r="Y759" s="195"/>
      <c r="Z759" s="195"/>
      <c r="AA759" s="195"/>
      <c r="AB759" s="195"/>
      <c r="AC759" s="195"/>
      <c r="AD759" s="195"/>
      <c r="AE759" s="195"/>
      <c r="AR759" s="210"/>
      <c r="AT759" s="210"/>
      <c r="AU759" s="210"/>
      <c r="AY759" s="211"/>
      <c r="BE759" s="212"/>
      <c r="BF759" s="212"/>
      <c r="BG759" s="212"/>
      <c r="BH759" s="212"/>
      <c r="BI759" s="212"/>
      <c r="BJ759" s="211"/>
      <c r="BK759" s="212"/>
      <c r="BL759" s="211"/>
      <c r="BM759" s="210"/>
    </row>
    <row r="760" spans="1:65" s="209" customFormat="1" ht="12">
      <c r="A760" s="195"/>
      <c r="B760" s="196"/>
      <c r="C760" s="197"/>
      <c r="D760" s="197"/>
      <c r="E760" s="198"/>
      <c r="F760" s="187" t="s">
        <v>2983</v>
      </c>
      <c r="G760" s="188"/>
      <c r="H760" s="189">
        <f>SUM(H755:H759)</f>
        <v>126.55</v>
      </c>
      <c r="I760" s="194"/>
      <c r="J760" s="194"/>
      <c r="K760" s="202"/>
      <c r="L760" s="203"/>
      <c r="M760" s="204"/>
      <c r="N760" s="205"/>
      <c r="O760" s="206"/>
      <c r="P760" s="207"/>
      <c r="Q760" s="207"/>
      <c r="R760" s="207"/>
      <c r="S760" s="207"/>
      <c r="T760" s="208"/>
      <c r="U760" s="195"/>
      <c r="V760" s="195"/>
      <c r="W760" s="195"/>
      <c r="X760" s="195"/>
      <c r="Y760" s="195"/>
      <c r="Z760" s="195"/>
      <c r="AA760" s="195"/>
      <c r="AB760" s="195"/>
      <c r="AC760" s="195"/>
      <c r="AD760" s="195"/>
      <c r="AE760" s="195"/>
      <c r="AR760" s="210"/>
      <c r="AT760" s="210"/>
      <c r="AU760" s="210"/>
      <c r="AY760" s="211"/>
      <c r="BE760" s="212"/>
      <c r="BF760" s="212"/>
      <c r="BG760" s="212"/>
      <c r="BH760" s="212"/>
      <c r="BI760" s="212"/>
      <c r="BJ760" s="211"/>
      <c r="BK760" s="212"/>
      <c r="BL760" s="211"/>
      <c r="BM760" s="210"/>
    </row>
    <row r="761" spans="1:65" s="2" customFormat="1" ht="37.9" customHeight="1">
      <c r="A761" s="29"/>
      <c r="B761" s="152"/>
      <c r="C761" s="153" t="s">
        <v>531</v>
      </c>
      <c r="D761" s="153" t="s">
        <v>181</v>
      </c>
      <c r="E761" s="154" t="s">
        <v>858</v>
      </c>
      <c r="F761" s="155" t="s">
        <v>859</v>
      </c>
      <c r="G761" s="156" t="s">
        <v>574</v>
      </c>
      <c r="H761" s="157">
        <v>398.57</v>
      </c>
      <c r="I761" s="158"/>
      <c r="J761" s="159">
        <v>0</v>
      </c>
      <c r="K761" s="160"/>
      <c r="L761" s="30"/>
      <c r="M761" s="161" t="s">
        <v>1</v>
      </c>
      <c r="N761" s="162" t="s">
        <v>35</v>
      </c>
      <c r="O761" s="58"/>
      <c r="P761" s="163">
        <f t="shared" si="73"/>
        <v>0</v>
      </c>
      <c r="Q761" s="163">
        <v>4.897E-5</v>
      </c>
      <c r="R761" s="163">
        <f t="shared" si="74"/>
        <v>1.95179729E-2</v>
      </c>
      <c r="S761" s="163">
        <v>0</v>
      </c>
      <c r="T761" s="164">
        <f t="shared" si="75"/>
        <v>0</v>
      </c>
      <c r="U761" s="29"/>
      <c r="V761" s="29"/>
      <c r="W761" s="29"/>
      <c r="X761" s="29"/>
      <c r="Y761" s="29"/>
      <c r="Z761" s="29"/>
      <c r="AA761" s="29"/>
      <c r="AB761" s="29"/>
      <c r="AC761" s="29"/>
      <c r="AD761" s="29"/>
      <c r="AE761" s="29"/>
      <c r="AR761" s="165" t="s">
        <v>213</v>
      </c>
      <c r="AT761" s="165" t="s">
        <v>181</v>
      </c>
      <c r="AU761" s="165" t="s">
        <v>82</v>
      </c>
      <c r="AY761" s="14" t="s">
        <v>179</v>
      </c>
      <c r="BE761" s="166">
        <f t="shared" si="76"/>
        <v>0</v>
      </c>
      <c r="BF761" s="166">
        <f t="shared" si="77"/>
        <v>0</v>
      </c>
      <c r="BG761" s="166">
        <f t="shared" si="78"/>
        <v>0</v>
      </c>
      <c r="BH761" s="166">
        <f t="shared" si="79"/>
        <v>0</v>
      </c>
      <c r="BI761" s="166">
        <f t="shared" si="80"/>
        <v>0</v>
      </c>
      <c r="BJ761" s="14" t="s">
        <v>82</v>
      </c>
      <c r="BK761" s="166">
        <f t="shared" si="81"/>
        <v>0</v>
      </c>
      <c r="BL761" s="14" t="s">
        <v>213</v>
      </c>
      <c r="BM761" s="165" t="s">
        <v>860</v>
      </c>
    </row>
    <row r="762" spans="1:65" s="209" customFormat="1" ht="22.5">
      <c r="A762" s="195"/>
      <c r="B762" s="196"/>
      <c r="C762" s="197"/>
      <c r="D762" s="197"/>
      <c r="E762" s="198"/>
      <c r="F762" s="184" t="s">
        <v>3207</v>
      </c>
      <c r="G762" s="226"/>
      <c r="H762" s="186">
        <f>2*89.06</f>
        <v>178.12</v>
      </c>
      <c r="I762" s="194"/>
      <c r="J762" s="194"/>
      <c r="K762" s="202"/>
      <c r="L762" s="203"/>
      <c r="M762" s="204"/>
      <c r="N762" s="205"/>
      <c r="O762" s="206"/>
      <c r="P762" s="207"/>
      <c r="Q762" s="207"/>
      <c r="R762" s="207"/>
      <c r="S762" s="207"/>
      <c r="T762" s="208"/>
      <c r="U762" s="195"/>
      <c r="V762" s="195"/>
      <c r="W762" s="195"/>
      <c r="X762" s="195"/>
      <c r="Y762" s="195"/>
      <c r="Z762" s="195"/>
      <c r="AA762" s="195"/>
      <c r="AB762" s="195"/>
      <c r="AC762" s="195"/>
      <c r="AD762" s="195"/>
      <c r="AE762" s="195"/>
      <c r="AR762" s="210"/>
      <c r="AT762" s="210"/>
      <c r="AU762" s="210"/>
      <c r="AY762" s="211"/>
      <c r="BE762" s="212"/>
      <c r="BF762" s="212"/>
      <c r="BG762" s="212"/>
      <c r="BH762" s="212"/>
      <c r="BI762" s="212"/>
      <c r="BJ762" s="211"/>
      <c r="BK762" s="212"/>
      <c r="BL762" s="211"/>
      <c r="BM762" s="210"/>
    </row>
    <row r="763" spans="1:65" s="209" customFormat="1" ht="22.5">
      <c r="A763" s="195"/>
      <c r="B763" s="196"/>
      <c r="C763" s="197"/>
      <c r="D763" s="197"/>
      <c r="E763" s="198"/>
      <c r="F763" s="184" t="s">
        <v>3208</v>
      </c>
      <c r="G763" s="226"/>
      <c r="H763" s="186">
        <v>51.14</v>
      </c>
      <c r="I763" s="194"/>
      <c r="J763" s="194"/>
      <c r="K763" s="202"/>
      <c r="L763" s="203"/>
      <c r="M763" s="204"/>
      <c r="N763" s="205"/>
      <c r="O763" s="206"/>
      <c r="P763" s="207"/>
      <c r="Q763" s="207"/>
      <c r="R763" s="207"/>
      <c r="S763" s="207"/>
      <c r="T763" s="208"/>
      <c r="U763" s="195"/>
      <c r="V763" s="195"/>
      <c r="W763" s="195"/>
      <c r="X763" s="195"/>
      <c r="Y763" s="195"/>
      <c r="Z763" s="195"/>
      <c r="AA763" s="195"/>
      <c r="AB763" s="195"/>
      <c r="AC763" s="195"/>
      <c r="AD763" s="195"/>
      <c r="AE763" s="195"/>
      <c r="AR763" s="210"/>
      <c r="AT763" s="210"/>
      <c r="AU763" s="210"/>
      <c r="AY763" s="211"/>
      <c r="BE763" s="212"/>
      <c r="BF763" s="212"/>
      <c r="BG763" s="212"/>
      <c r="BH763" s="212"/>
      <c r="BI763" s="212"/>
      <c r="BJ763" s="211"/>
      <c r="BK763" s="212"/>
      <c r="BL763" s="211"/>
      <c r="BM763" s="210"/>
    </row>
    <row r="764" spans="1:65" s="209" customFormat="1" ht="22.5">
      <c r="A764" s="195"/>
      <c r="B764" s="196"/>
      <c r="C764" s="197"/>
      <c r="D764" s="197"/>
      <c r="E764" s="198"/>
      <c r="F764" s="184" t="s">
        <v>3209</v>
      </c>
      <c r="G764" s="226"/>
      <c r="H764" s="186">
        <f>2*50.57</f>
        <v>101.14</v>
      </c>
      <c r="I764" s="194"/>
      <c r="J764" s="194"/>
      <c r="K764" s="202"/>
      <c r="L764" s="203"/>
      <c r="M764" s="204"/>
      <c r="N764" s="205"/>
      <c r="O764" s="206"/>
      <c r="P764" s="207"/>
      <c r="Q764" s="207"/>
      <c r="R764" s="207"/>
      <c r="S764" s="207"/>
      <c r="T764" s="208"/>
      <c r="U764" s="195"/>
      <c r="V764" s="195"/>
      <c r="W764" s="195"/>
      <c r="X764" s="195"/>
      <c r="Y764" s="195"/>
      <c r="Z764" s="195"/>
      <c r="AA764" s="195"/>
      <c r="AB764" s="195"/>
      <c r="AC764" s="195"/>
      <c r="AD764" s="195"/>
      <c r="AE764" s="195"/>
      <c r="AR764" s="210"/>
      <c r="AT764" s="210"/>
      <c r="AU764" s="210"/>
      <c r="AY764" s="211"/>
      <c r="BE764" s="212"/>
      <c r="BF764" s="212"/>
      <c r="BG764" s="212"/>
      <c r="BH764" s="212"/>
      <c r="BI764" s="212"/>
      <c r="BJ764" s="211"/>
      <c r="BK764" s="212"/>
      <c r="BL764" s="211"/>
      <c r="BM764" s="210"/>
    </row>
    <row r="765" spans="1:65" s="209" customFormat="1" ht="22.5">
      <c r="A765" s="195"/>
      <c r="B765" s="196"/>
      <c r="C765" s="197"/>
      <c r="D765" s="197"/>
      <c r="E765" s="198"/>
      <c r="F765" s="184" t="s">
        <v>3210</v>
      </c>
      <c r="G765" s="226"/>
      <c r="H765" s="186">
        <v>68.17</v>
      </c>
      <c r="I765" s="194"/>
      <c r="J765" s="194"/>
      <c r="K765" s="202"/>
      <c r="L765" s="203"/>
      <c r="M765" s="204"/>
      <c r="N765" s="205"/>
      <c r="O765" s="206"/>
      <c r="P765" s="207"/>
      <c r="Q765" s="207"/>
      <c r="R765" s="207"/>
      <c r="S765" s="207"/>
      <c r="T765" s="208"/>
      <c r="U765" s="195"/>
      <c r="V765" s="195"/>
      <c r="W765" s="195"/>
      <c r="X765" s="195"/>
      <c r="Y765" s="195"/>
      <c r="Z765" s="195"/>
      <c r="AA765" s="195"/>
      <c r="AB765" s="195"/>
      <c r="AC765" s="195"/>
      <c r="AD765" s="195"/>
      <c r="AE765" s="195"/>
      <c r="AR765" s="210"/>
      <c r="AT765" s="210"/>
      <c r="AU765" s="210"/>
      <c r="AY765" s="211"/>
      <c r="BE765" s="212"/>
      <c r="BF765" s="212"/>
      <c r="BG765" s="212"/>
      <c r="BH765" s="212"/>
      <c r="BI765" s="212"/>
      <c r="BJ765" s="211"/>
      <c r="BK765" s="212"/>
      <c r="BL765" s="211"/>
      <c r="BM765" s="210"/>
    </row>
    <row r="766" spans="1:65" s="209" customFormat="1" ht="12">
      <c r="A766" s="195"/>
      <c r="B766" s="196"/>
      <c r="C766" s="197"/>
      <c r="D766" s="197"/>
      <c r="E766" s="198"/>
      <c r="F766" s="187" t="s">
        <v>2983</v>
      </c>
      <c r="G766" s="188"/>
      <c r="H766" s="189">
        <f>SUM(H762:H765)</f>
        <v>398.57</v>
      </c>
      <c r="I766" s="194"/>
      <c r="J766" s="194"/>
      <c r="K766" s="202"/>
      <c r="L766" s="203"/>
      <c r="M766" s="204"/>
      <c r="N766" s="205"/>
      <c r="O766" s="206"/>
      <c r="P766" s="207"/>
      <c r="Q766" s="207"/>
      <c r="R766" s="207"/>
      <c r="S766" s="207"/>
      <c r="T766" s="208"/>
      <c r="U766" s="195"/>
      <c r="V766" s="195"/>
      <c r="W766" s="195"/>
      <c r="X766" s="195"/>
      <c r="Y766" s="195"/>
      <c r="Z766" s="195"/>
      <c r="AA766" s="195"/>
      <c r="AB766" s="195"/>
      <c r="AC766" s="195"/>
      <c r="AD766" s="195"/>
      <c r="AE766" s="195"/>
      <c r="AR766" s="210"/>
      <c r="AT766" s="210"/>
      <c r="AU766" s="210"/>
      <c r="AY766" s="211"/>
      <c r="BE766" s="212"/>
      <c r="BF766" s="212"/>
      <c r="BG766" s="212"/>
      <c r="BH766" s="212"/>
      <c r="BI766" s="212"/>
      <c r="BJ766" s="211"/>
      <c r="BK766" s="212"/>
      <c r="BL766" s="211"/>
      <c r="BM766" s="210"/>
    </row>
    <row r="767" spans="1:65" s="2" customFormat="1" ht="37.9" customHeight="1">
      <c r="A767" s="29"/>
      <c r="B767" s="152"/>
      <c r="C767" s="153" t="s">
        <v>861</v>
      </c>
      <c r="D767" s="153" t="s">
        <v>181</v>
      </c>
      <c r="E767" s="154" t="s">
        <v>862</v>
      </c>
      <c r="F767" s="155" t="s">
        <v>863</v>
      </c>
      <c r="G767" s="156" t="s">
        <v>574</v>
      </c>
      <c r="H767" s="157">
        <v>174.85</v>
      </c>
      <c r="I767" s="158"/>
      <c r="J767" s="159">
        <v>0</v>
      </c>
      <c r="K767" s="160"/>
      <c r="L767" s="30"/>
      <c r="M767" s="161" t="s">
        <v>1</v>
      </c>
      <c r="N767" s="162" t="s">
        <v>35</v>
      </c>
      <c r="O767" s="58"/>
      <c r="P767" s="163">
        <f t="shared" si="73"/>
        <v>0</v>
      </c>
      <c r="Q767" s="163">
        <v>4.5899999999999998E-5</v>
      </c>
      <c r="R767" s="163">
        <f t="shared" si="74"/>
        <v>8.0256149999999998E-3</v>
      </c>
      <c r="S767" s="163">
        <v>0</v>
      </c>
      <c r="T767" s="164">
        <f t="shared" si="75"/>
        <v>0</v>
      </c>
      <c r="U767" s="29"/>
      <c r="V767" s="29"/>
      <c r="W767" s="29"/>
      <c r="X767" s="29"/>
      <c r="Y767" s="29"/>
      <c r="Z767" s="29"/>
      <c r="AA767" s="29"/>
      <c r="AB767" s="29"/>
      <c r="AC767" s="29"/>
      <c r="AD767" s="29"/>
      <c r="AE767" s="29"/>
      <c r="AR767" s="165" t="s">
        <v>213</v>
      </c>
      <c r="AT767" s="165" t="s">
        <v>181</v>
      </c>
      <c r="AU767" s="165" t="s">
        <v>82</v>
      </c>
      <c r="AY767" s="14" t="s">
        <v>179</v>
      </c>
      <c r="BE767" s="166">
        <f t="shared" si="76"/>
        <v>0</v>
      </c>
      <c r="BF767" s="166">
        <f t="shared" si="77"/>
        <v>0</v>
      </c>
      <c r="BG767" s="166">
        <f t="shared" si="78"/>
        <v>0</v>
      </c>
      <c r="BH767" s="166">
        <f t="shared" si="79"/>
        <v>0</v>
      </c>
      <c r="BI767" s="166">
        <f t="shared" si="80"/>
        <v>0</v>
      </c>
      <c r="BJ767" s="14" t="s">
        <v>82</v>
      </c>
      <c r="BK767" s="166">
        <f t="shared" si="81"/>
        <v>0</v>
      </c>
      <c r="BL767" s="14" t="s">
        <v>213</v>
      </c>
      <c r="BM767" s="165" t="s">
        <v>864</v>
      </c>
    </row>
    <row r="768" spans="1:65" s="209" customFormat="1" ht="12">
      <c r="A768" s="195"/>
      <c r="B768" s="196"/>
      <c r="C768" s="197"/>
      <c r="D768" s="197"/>
      <c r="E768" s="198"/>
      <c r="F768" s="213" t="s">
        <v>3211</v>
      </c>
      <c r="G768" s="222"/>
      <c r="H768" s="214">
        <v>174.85</v>
      </c>
      <c r="I768" s="194"/>
      <c r="J768" s="194"/>
      <c r="K768" s="202"/>
      <c r="L768" s="203"/>
      <c r="M768" s="204"/>
      <c r="N768" s="205"/>
      <c r="O768" s="206"/>
      <c r="P768" s="207"/>
      <c r="Q768" s="207"/>
      <c r="R768" s="207"/>
      <c r="S768" s="207"/>
      <c r="T768" s="208"/>
      <c r="U768" s="195"/>
      <c r="V768" s="195"/>
      <c r="W768" s="195"/>
      <c r="X768" s="195"/>
      <c r="Y768" s="195"/>
      <c r="Z768" s="195"/>
      <c r="AA768" s="195"/>
      <c r="AB768" s="195"/>
      <c r="AC768" s="195"/>
      <c r="AD768" s="195"/>
      <c r="AE768" s="195"/>
      <c r="AR768" s="210"/>
      <c r="AT768" s="210"/>
      <c r="AU768" s="210"/>
      <c r="AY768" s="211"/>
      <c r="BE768" s="212"/>
      <c r="BF768" s="212"/>
      <c r="BG768" s="212"/>
      <c r="BH768" s="212"/>
      <c r="BI768" s="212"/>
      <c r="BJ768" s="211"/>
      <c r="BK768" s="212"/>
      <c r="BL768" s="211"/>
      <c r="BM768" s="210"/>
    </row>
    <row r="769" spans="1:65" s="209" customFormat="1" ht="12">
      <c r="A769" s="195"/>
      <c r="B769" s="196"/>
      <c r="C769" s="197"/>
      <c r="D769" s="197"/>
      <c r="E769" s="198"/>
      <c r="F769" s="215" t="s">
        <v>2983</v>
      </c>
      <c r="G769" s="216"/>
      <c r="H769" s="217">
        <f>SUM(H768:H768)</f>
        <v>174.85</v>
      </c>
      <c r="I769" s="194"/>
      <c r="J769" s="194"/>
      <c r="K769" s="202"/>
      <c r="L769" s="203"/>
      <c r="M769" s="204"/>
      <c r="N769" s="205"/>
      <c r="O769" s="206"/>
      <c r="P769" s="207"/>
      <c r="Q769" s="207"/>
      <c r="R769" s="207"/>
      <c r="S769" s="207"/>
      <c r="T769" s="208"/>
      <c r="U769" s="195"/>
      <c r="V769" s="195"/>
      <c r="W769" s="195"/>
      <c r="X769" s="195"/>
      <c r="Y769" s="195"/>
      <c r="Z769" s="195"/>
      <c r="AA769" s="195"/>
      <c r="AB769" s="195"/>
      <c r="AC769" s="195"/>
      <c r="AD769" s="195"/>
      <c r="AE769" s="195"/>
      <c r="AR769" s="210"/>
      <c r="AT769" s="210"/>
      <c r="AU769" s="210"/>
      <c r="AY769" s="211"/>
      <c r="BE769" s="212"/>
      <c r="BF769" s="212"/>
      <c r="BG769" s="212"/>
      <c r="BH769" s="212"/>
      <c r="BI769" s="212"/>
      <c r="BJ769" s="211"/>
      <c r="BK769" s="212"/>
      <c r="BL769" s="211"/>
      <c r="BM769" s="210"/>
    </row>
    <row r="770" spans="1:65" s="2" customFormat="1" ht="37.9" customHeight="1">
      <c r="A770" s="29"/>
      <c r="B770" s="152"/>
      <c r="C770" s="153" t="s">
        <v>534</v>
      </c>
      <c r="D770" s="153" t="s">
        <v>181</v>
      </c>
      <c r="E770" s="154" t="s">
        <v>865</v>
      </c>
      <c r="F770" s="155" t="s">
        <v>866</v>
      </c>
      <c r="G770" s="156" t="s">
        <v>574</v>
      </c>
      <c r="H770" s="157">
        <v>687.37</v>
      </c>
      <c r="I770" s="158"/>
      <c r="J770" s="159">
        <v>0</v>
      </c>
      <c r="K770" s="160"/>
      <c r="L770" s="30"/>
      <c r="M770" s="161" t="s">
        <v>1</v>
      </c>
      <c r="N770" s="162" t="s">
        <v>35</v>
      </c>
      <c r="O770" s="58"/>
      <c r="P770" s="163">
        <f t="shared" si="73"/>
        <v>0</v>
      </c>
      <c r="Q770" s="163">
        <v>4.5899999999999998E-5</v>
      </c>
      <c r="R770" s="163">
        <f t="shared" si="74"/>
        <v>3.1550282999999998E-2</v>
      </c>
      <c r="S770" s="163">
        <v>0</v>
      </c>
      <c r="T770" s="164">
        <f t="shared" si="75"/>
        <v>0</v>
      </c>
      <c r="U770" s="29"/>
      <c r="V770" s="29"/>
      <c r="W770" s="29"/>
      <c r="X770" s="29"/>
      <c r="Y770" s="29"/>
      <c r="Z770" s="29"/>
      <c r="AA770" s="29"/>
      <c r="AB770" s="29"/>
      <c r="AC770" s="29"/>
      <c r="AD770" s="29"/>
      <c r="AE770" s="29"/>
      <c r="AR770" s="165" t="s">
        <v>213</v>
      </c>
      <c r="AT770" s="165" t="s">
        <v>181</v>
      </c>
      <c r="AU770" s="165" t="s">
        <v>82</v>
      </c>
      <c r="AY770" s="14" t="s">
        <v>179</v>
      </c>
      <c r="BE770" s="166">
        <f t="shared" si="76"/>
        <v>0</v>
      </c>
      <c r="BF770" s="166">
        <f t="shared" si="77"/>
        <v>0</v>
      </c>
      <c r="BG770" s="166">
        <f t="shared" si="78"/>
        <v>0</v>
      </c>
      <c r="BH770" s="166">
        <f t="shared" si="79"/>
        <v>0</v>
      </c>
      <c r="BI770" s="166">
        <f t="shared" si="80"/>
        <v>0</v>
      </c>
      <c r="BJ770" s="14" t="s">
        <v>82</v>
      </c>
      <c r="BK770" s="166">
        <f t="shared" si="81"/>
        <v>0</v>
      </c>
      <c r="BL770" s="14" t="s">
        <v>213</v>
      </c>
      <c r="BM770" s="165" t="s">
        <v>867</v>
      </c>
    </row>
    <row r="771" spans="1:65" s="209" customFormat="1" ht="12">
      <c r="A771" s="195"/>
      <c r="B771" s="196"/>
      <c r="C771" s="197"/>
      <c r="D771" s="197"/>
      <c r="E771" s="198"/>
      <c r="F771" s="225" t="s">
        <v>3212</v>
      </c>
      <c r="G771" s="226"/>
      <c r="H771" s="186">
        <v>340.04</v>
      </c>
      <c r="I771" s="194"/>
      <c r="J771" s="194"/>
      <c r="K771" s="202"/>
      <c r="L771" s="203"/>
      <c r="M771" s="204"/>
      <c r="N771" s="205"/>
      <c r="O771" s="206"/>
      <c r="P771" s="207"/>
      <c r="Q771" s="207"/>
      <c r="R771" s="207"/>
      <c r="S771" s="207"/>
      <c r="T771" s="208"/>
      <c r="U771" s="195"/>
      <c r="V771" s="195"/>
      <c r="W771" s="195"/>
      <c r="X771" s="195"/>
      <c r="Y771" s="195"/>
      <c r="Z771" s="195"/>
      <c r="AA771" s="195"/>
      <c r="AB771" s="195"/>
      <c r="AC771" s="195"/>
      <c r="AD771" s="195"/>
      <c r="AE771" s="195"/>
      <c r="AR771" s="210"/>
      <c r="AT771" s="210"/>
      <c r="AU771" s="210"/>
      <c r="AY771" s="211"/>
      <c r="BE771" s="212"/>
      <c r="BF771" s="212"/>
      <c r="BG771" s="212"/>
      <c r="BH771" s="212"/>
      <c r="BI771" s="212"/>
      <c r="BJ771" s="211"/>
      <c r="BK771" s="212"/>
      <c r="BL771" s="211"/>
      <c r="BM771" s="210"/>
    </row>
    <row r="772" spans="1:65" s="209" customFormat="1" ht="12">
      <c r="A772" s="195"/>
      <c r="B772" s="196"/>
      <c r="C772" s="197"/>
      <c r="D772" s="197"/>
      <c r="E772" s="198"/>
      <c r="F772" s="225" t="s">
        <v>3213</v>
      </c>
      <c r="G772" s="226"/>
      <c r="H772" s="186">
        <v>347.33</v>
      </c>
      <c r="I772" s="194"/>
      <c r="J772" s="194"/>
      <c r="K772" s="202"/>
      <c r="L772" s="203"/>
      <c r="M772" s="204"/>
      <c r="N772" s="205"/>
      <c r="O772" s="206"/>
      <c r="P772" s="207"/>
      <c r="Q772" s="207"/>
      <c r="R772" s="207"/>
      <c r="S772" s="207"/>
      <c r="T772" s="208"/>
      <c r="U772" s="195"/>
      <c r="V772" s="195"/>
      <c r="W772" s="195"/>
      <c r="X772" s="195"/>
      <c r="Y772" s="195"/>
      <c r="Z772" s="195"/>
      <c r="AA772" s="195"/>
      <c r="AB772" s="195"/>
      <c r="AC772" s="195"/>
      <c r="AD772" s="195"/>
      <c r="AE772" s="195"/>
      <c r="AR772" s="210"/>
      <c r="AT772" s="210"/>
      <c r="AU772" s="210"/>
      <c r="AY772" s="211"/>
      <c r="BE772" s="212"/>
      <c r="BF772" s="212"/>
      <c r="BG772" s="212"/>
      <c r="BH772" s="212"/>
      <c r="BI772" s="212"/>
      <c r="BJ772" s="211"/>
      <c r="BK772" s="212"/>
      <c r="BL772" s="211"/>
      <c r="BM772" s="210"/>
    </row>
    <row r="773" spans="1:65" s="209" customFormat="1" ht="12">
      <c r="A773" s="195"/>
      <c r="B773" s="196"/>
      <c r="C773" s="197"/>
      <c r="D773" s="197"/>
      <c r="E773" s="198"/>
      <c r="F773" s="187" t="s">
        <v>2983</v>
      </c>
      <c r="G773" s="188"/>
      <c r="H773" s="189">
        <f>SUM(H771:H772)</f>
        <v>687.37</v>
      </c>
      <c r="I773" s="194"/>
      <c r="J773" s="194"/>
      <c r="K773" s="202"/>
      <c r="L773" s="203"/>
      <c r="M773" s="204"/>
      <c r="N773" s="205"/>
      <c r="O773" s="206"/>
      <c r="P773" s="207"/>
      <c r="Q773" s="207"/>
      <c r="R773" s="207"/>
      <c r="S773" s="207"/>
      <c r="T773" s="208"/>
      <c r="U773" s="195"/>
      <c r="V773" s="195"/>
      <c r="W773" s="195"/>
      <c r="X773" s="195"/>
      <c r="Y773" s="195"/>
      <c r="Z773" s="195"/>
      <c r="AA773" s="195"/>
      <c r="AB773" s="195"/>
      <c r="AC773" s="195"/>
      <c r="AD773" s="195"/>
      <c r="AE773" s="195"/>
      <c r="AR773" s="210"/>
      <c r="AT773" s="210"/>
      <c r="AU773" s="210"/>
      <c r="AY773" s="211"/>
      <c r="BE773" s="212"/>
      <c r="BF773" s="212"/>
      <c r="BG773" s="212"/>
      <c r="BH773" s="212"/>
      <c r="BI773" s="212"/>
      <c r="BJ773" s="211"/>
      <c r="BK773" s="212"/>
      <c r="BL773" s="211"/>
      <c r="BM773" s="210"/>
    </row>
    <row r="774" spans="1:65" s="2" customFormat="1" ht="33" customHeight="1">
      <c r="A774" s="29"/>
      <c r="B774" s="152"/>
      <c r="C774" s="153" t="s">
        <v>868</v>
      </c>
      <c r="D774" s="153" t="s">
        <v>181</v>
      </c>
      <c r="E774" s="154" t="s">
        <v>869</v>
      </c>
      <c r="F774" s="155" t="s">
        <v>870</v>
      </c>
      <c r="G774" s="156" t="s">
        <v>574</v>
      </c>
      <c r="H774" s="157">
        <v>129.22</v>
      </c>
      <c r="I774" s="158"/>
      <c r="J774" s="159">
        <v>0</v>
      </c>
      <c r="K774" s="160"/>
      <c r="L774" s="30"/>
      <c r="M774" s="161" t="s">
        <v>1</v>
      </c>
      <c r="N774" s="162" t="s">
        <v>35</v>
      </c>
      <c r="O774" s="58"/>
      <c r="P774" s="163">
        <f t="shared" si="73"/>
        <v>0</v>
      </c>
      <c r="Q774" s="163">
        <v>4.5899999999999998E-5</v>
      </c>
      <c r="R774" s="163">
        <f t="shared" si="74"/>
        <v>5.9311979999999995E-3</v>
      </c>
      <c r="S774" s="163">
        <v>1E-3</v>
      </c>
      <c r="T774" s="164">
        <f t="shared" si="75"/>
        <v>0.12922</v>
      </c>
      <c r="U774" s="29"/>
      <c r="V774" s="29"/>
      <c r="W774" s="29"/>
      <c r="X774" s="29"/>
      <c r="Y774" s="29"/>
      <c r="Z774" s="29"/>
      <c r="AA774" s="29"/>
      <c r="AB774" s="29"/>
      <c r="AC774" s="29"/>
      <c r="AD774" s="29"/>
      <c r="AE774" s="29"/>
      <c r="AR774" s="165" t="s">
        <v>213</v>
      </c>
      <c r="AT774" s="165" t="s">
        <v>181</v>
      </c>
      <c r="AU774" s="165" t="s">
        <v>82</v>
      </c>
      <c r="AY774" s="14" t="s">
        <v>179</v>
      </c>
      <c r="BE774" s="166">
        <f t="shared" si="76"/>
        <v>0</v>
      </c>
      <c r="BF774" s="166">
        <f t="shared" si="77"/>
        <v>0</v>
      </c>
      <c r="BG774" s="166">
        <f t="shared" si="78"/>
        <v>0</v>
      </c>
      <c r="BH774" s="166">
        <f t="shared" si="79"/>
        <v>0</v>
      </c>
      <c r="BI774" s="166">
        <f t="shared" si="80"/>
        <v>0</v>
      </c>
      <c r="BJ774" s="14" t="s">
        <v>82</v>
      </c>
      <c r="BK774" s="166">
        <f t="shared" si="81"/>
        <v>0</v>
      </c>
      <c r="BL774" s="14" t="s">
        <v>213</v>
      </c>
      <c r="BM774" s="165" t="s">
        <v>871</v>
      </c>
    </row>
    <row r="775" spans="1:65" s="209" customFormat="1" ht="12">
      <c r="A775" s="195"/>
      <c r="B775" s="196"/>
      <c r="C775" s="197"/>
      <c r="D775" s="197"/>
      <c r="E775" s="198"/>
      <c r="F775" s="184" t="s">
        <v>3214</v>
      </c>
      <c r="G775" s="185"/>
      <c r="H775" s="192">
        <v>4</v>
      </c>
      <c r="I775" s="194"/>
      <c r="J775" s="194"/>
      <c r="K775" s="202"/>
      <c r="L775" s="203"/>
      <c r="M775" s="204"/>
      <c r="N775" s="205"/>
      <c r="O775" s="206"/>
      <c r="P775" s="207"/>
      <c r="Q775" s="207"/>
      <c r="R775" s="207"/>
      <c r="S775" s="207"/>
      <c r="T775" s="208"/>
      <c r="U775" s="195"/>
      <c r="V775" s="195"/>
      <c r="W775" s="195"/>
      <c r="X775" s="195"/>
      <c r="Y775" s="195"/>
      <c r="Z775" s="195"/>
      <c r="AA775" s="195"/>
      <c r="AB775" s="195"/>
      <c r="AC775" s="195"/>
      <c r="AD775" s="195"/>
      <c r="AE775" s="195"/>
      <c r="AR775" s="210"/>
      <c r="AT775" s="210"/>
      <c r="AU775" s="210"/>
      <c r="AY775" s="211"/>
      <c r="BE775" s="212"/>
      <c r="BF775" s="212"/>
      <c r="BG775" s="212"/>
      <c r="BH775" s="212"/>
      <c r="BI775" s="212"/>
      <c r="BJ775" s="211"/>
      <c r="BK775" s="212"/>
      <c r="BL775" s="211"/>
      <c r="BM775" s="210"/>
    </row>
    <row r="776" spans="1:65" s="209" customFormat="1" ht="12">
      <c r="A776" s="195"/>
      <c r="B776" s="196"/>
      <c r="C776" s="197"/>
      <c r="D776" s="197"/>
      <c r="E776" s="198"/>
      <c r="F776" s="184" t="s">
        <v>3215</v>
      </c>
      <c r="G776" s="185"/>
      <c r="H776" s="192">
        <v>1</v>
      </c>
      <c r="I776" s="194"/>
      <c r="J776" s="194"/>
      <c r="K776" s="202"/>
      <c r="L776" s="203"/>
      <c r="M776" s="204"/>
      <c r="N776" s="205"/>
      <c r="O776" s="206"/>
      <c r="P776" s="207"/>
      <c r="Q776" s="207"/>
      <c r="R776" s="207"/>
      <c r="S776" s="207"/>
      <c r="T776" s="208"/>
      <c r="U776" s="195"/>
      <c r="V776" s="195"/>
      <c r="W776" s="195"/>
      <c r="X776" s="195"/>
      <c r="Y776" s="195"/>
      <c r="Z776" s="195"/>
      <c r="AA776" s="195"/>
      <c r="AB776" s="195"/>
      <c r="AC776" s="195"/>
      <c r="AD776" s="195"/>
      <c r="AE776" s="195"/>
      <c r="AR776" s="210"/>
      <c r="AT776" s="210"/>
      <c r="AU776" s="210"/>
      <c r="AY776" s="211"/>
      <c r="BE776" s="212"/>
      <c r="BF776" s="212"/>
      <c r="BG776" s="212"/>
      <c r="BH776" s="212"/>
      <c r="BI776" s="212"/>
      <c r="BJ776" s="211"/>
      <c r="BK776" s="212"/>
      <c r="BL776" s="211"/>
      <c r="BM776" s="210"/>
    </row>
    <row r="777" spans="1:65" s="209" customFormat="1" ht="12">
      <c r="A777" s="195"/>
      <c r="B777" s="196"/>
      <c r="C777" s="197"/>
      <c r="D777" s="197"/>
      <c r="E777" s="198"/>
      <c r="F777" s="184" t="s">
        <v>3216</v>
      </c>
      <c r="G777" s="185"/>
      <c r="H777" s="192">
        <v>7.33</v>
      </c>
      <c r="I777" s="194"/>
      <c r="J777" s="194"/>
      <c r="K777" s="202"/>
      <c r="L777" s="203"/>
      <c r="M777" s="204"/>
      <c r="N777" s="205"/>
      <c r="O777" s="206"/>
      <c r="P777" s="207"/>
      <c r="Q777" s="207"/>
      <c r="R777" s="207"/>
      <c r="S777" s="207"/>
      <c r="T777" s="208"/>
      <c r="U777" s="195"/>
      <c r="V777" s="195"/>
      <c r="W777" s="195"/>
      <c r="X777" s="195"/>
      <c r="Y777" s="195"/>
      <c r="Z777" s="195"/>
      <c r="AA777" s="195"/>
      <c r="AB777" s="195"/>
      <c r="AC777" s="195"/>
      <c r="AD777" s="195"/>
      <c r="AE777" s="195"/>
      <c r="AR777" s="210"/>
      <c r="AT777" s="210"/>
      <c r="AU777" s="210"/>
      <c r="AY777" s="211"/>
      <c r="BE777" s="212"/>
      <c r="BF777" s="212"/>
      <c r="BG777" s="212"/>
      <c r="BH777" s="212"/>
      <c r="BI777" s="212"/>
      <c r="BJ777" s="211"/>
      <c r="BK777" s="212"/>
      <c r="BL777" s="211"/>
      <c r="BM777" s="210"/>
    </row>
    <row r="778" spans="1:65" s="209" customFormat="1" ht="12">
      <c r="A778" s="195"/>
      <c r="B778" s="196"/>
      <c r="C778" s="197"/>
      <c r="D778" s="197"/>
      <c r="E778" s="198"/>
      <c r="F778" s="225" t="s">
        <v>3217</v>
      </c>
      <c r="G778" s="185"/>
      <c r="H778" s="192">
        <v>43.5</v>
      </c>
      <c r="I778" s="194"/>
      <c r="J778" s="194"/>
      <c r="K778" s="202"/>
      <c r="L778" s="203"/>
      <c r="M778" s="204"/>
      <c r="N778" s="205"/>
      <c r="O778" s="206"/>
      <c r="P778" s="207"/>
      <c r="Q778" s="207"/>
      <c r="R778" s="207"/>
      <c r="S778" s="207"/>
      <c r="T778" s="208"/>
      <c r="U778" s="195"/>
      <c r="V778" s="195"/>
      <c r="W778" s="195"/>
      <c r="X778" s="195"/>
      <c r="Y778" s="195"/>
      <c r="Z778" s="195"/>
      <c r="AA778" s="195"/>
      <c r="AB778" s="195"/>
      <c r="AC778" s="195"/>
      <c r="AD778" s="195"/>
      <c r="AE778" s="195"/>
      <c r="AR778" s="210"/>
      <c r="AT778" s="210"/>
      <c r="AU778" s="210"/>
      <c r="AY778" s="211"/>
      <c r="BE778" s="212"/>
      <c r="BF778" s="212"/>
      <c r="BG778" s="212"/>
      <c r="BH778" s="212"/>
      <c r="BI778" s="212"/>
      <c r="BJ778" s="211"/>
      <c r="BK778" s="212"/>
      <c r="BL778" s="211"/>
      <c r="BM778" s="210"/>
    </row>
    <row r="779" spans="1:65" s="209" customFormat="1" ht="12">
      <c r="A779" s="195"/>
      <c r="B779" s="196"/>
      <c r="C779" s="197"/>
      <c r="D779" s="197"/>
      <c r="E779" s="198"/>
      <c r="F779" s="225" t="s">
        <v>3218</v>
      </c>
      <c r="G779" s="185"/>
      <c r="H779" s="192">
        <v>48</v>
      </c>
      <c r="I779" s="194"/>
      <c r="J779" s="194"/>
      <c r="K779" s="202"/>
      <c r="L779" s="203"/>
      <c r="M779" s="204"/>
      <c r="N779" s="205"/>
      <c r="O779" s="206"/>
      <c r="P779" s="207"/>
      <c r="Q779" s="207"/>
      <c r="R779" s="207"/>
      <c r="S779" s="207"/>
      <c r="T779" s="208"/>
      <c r="U779" s="195"/>
      <c r="V779" s="195"/>
      <c r="W779" s="195"/>
      <c r="X779" s="195"/>
      <c r="Y779" s="195"/>
      <c r="Z779" s="195"/>
      <c r="AA779" s="195"/>
      <c r="AB779" s="195"/>
      <c r="AC779" s="195"/>
      <c r="AD779" s="195"/>
      <c r="AE779" s="195"/>
      <c r="AR779" s="210"/>
      <c r="AT779" s="210"/>
      <c r="AU779" s="210"/>
      <c r="AY779" s="211"/>
      <c r="BE779" s="212"/>
      <c r="BF779" s="212"/>
      <c r="BG779" s="212"/>
      <c r="BH779" s="212"/>
      <c r="BI779" s="212"/>
      <c r="BJ779" s="211"/>
      <c r="BK779" s="212"/>
      <c r="BL779" s="211"/>
      <c r="BM779" s="210"/>
    </row>
    <row r="780" spans="1:65" s="209" customFormat="1" ht="22.5">
      <c r="A780" s="195"/>
      <c r="B780" s="196"/>
      <c r="C780" s="197"/>
      <c r="D780" s="197"/>
      <c r="E780" s="198"/>
      <c r="F780" s="184" t="s">
        <v>3219</v>
      </c>
      <c r="G780" s="185"/>
      <c r="H780" s="192">
        <v>4.8899999999999997</v>
      </c>
      <c r="I780" s="194"/>
      <c r="J780" s="194"/>
      <c r="K780" s="202"/>
      <c r="L780" s="203"/>
      <c r="M780" s="204"/>
      <c r="N780" s="205"/>
      <c r="O780" s="206"/>
      <c r="P780" s="207"/>
      <c r="Q780" s="207"/>
      <c r="R780" s="207"/>
      <c r="S780" s="207"/>
      <c r="T780" s="208"/>
      <c r="U780" s="195"/>
      <c r="V780" s="195"/>
      <c r="W780" s="195"/>
      <c r="X780" s="195"/>
      <c r="Y780" s="195"/>
      <c r="Z780" s="195"/>
      <c r="AA780" s="195"/>
      <c r="AB780" s="195"/>
      <c r="AC780" s="195"/>
      <c r="AD780" s="195"/>
      <c r="AE780" s="195"/>
      <c r="AR780" s="210"/>
      <c r="AT780" s="210"/>
      <c r="AU780" s="210"/>
      <c r="AY780" s="211"/>
      <c r="BE780" s="212"/>
      <c r="BF780" s="212"/>
      <c r="BG780" s="212"/>
      <c r="BH780" s="212"/>
      <c r="BI780" s="212"/>
      <c r="BJ780" s="211"/>
      <c r="BK780" s="212"/>
      <c r="BL780" s="211"/>
      <c r="BM780" s="210"/>
    </row>
    <row r="781" spans="1:65" s="209" customFormat="1" ht="22.5">
      <c r="A781" s="195"/>
      <c r="B781" s="196"/>
      <c r="C781" s="197"/>
      <c r="D781" s="197"/>
      <c r="E781" s="198"/>
      <c r="F781" s="184" t="s">
        <v>3220</v>
      </c>
      <c r="G781" s="185"/>
      <c r="H781" s="192">
        <v>20.5</v>
      </c>
      <c r="I781" s="194"/>
      <c r="J781" s="194"/>
      <c r="K781" s="202"/>
      <c r="L781" s="203"/>
      <c r="M781" s="204"/>
      <c r="N781" s="205"/>
      <c r="O781" s="206"/>
      <c r="P781" s="207"/>
      <c r="Q781" s="207"/>
      <c r="R781" s="207"/>
      <c r="S781" s="207"/>
      <c r="T781" s="208"/>
      <c r="U781" s="195"/>
      <c r="V781" s="195"/>
      <c r="W781" s="195"/>
      <c r="X781" s="195"/>
      <c r="Y781" s="195"/>
      <c r="Z781" s="195"/>
      <c r="AA781" s="195"/>
      <c r="AB781" s="195"/>
      <c r="AC781" s="195"/>
      <c r="AD781" s="195"/>
      <c r="AE781" s="195"/>
      <c r="AR781" s="210"/>
      <c r="AT781" s="210"/>
      <c r="AU781" s="210"/>
      <c r="AY781" s="211"/>
      <c r="BE781" s="212"/>
      <c r="BF781" s="212"/>
      <c r="BG781" s="212"/>
      <c r="BH781" s="212"/>
      <c r="BI781" s="212"/>
      <c r="BJ781" s="211"/>
      <c r="BK781" s="212"/>
      <c r="BL781" s="211"/>
      <c r="BM781" s="210"/>
    </row>
    <row r="782" spans="1:65" s="209" customFormat="1" ht="12">
      <c r="A782" s="195"/>
      <c r="B782" s="196"/>
      <c r="C782" s="197"/>
      <c r="D782" s="197"/>
      <c r="E782" s="198"/>
      <c r="F782" s="187" t="s">
        <v>2983</v>
      </c>
      <c r="G782" s="188"/>
      <c r="H782" s="189">
        <f>SUM(H775:H781)</f>
        <v>129.22</v>
      </c>
      <c r="I782" s="194"/>
      <c r="J782" s="194"/>
      <c r="K782" s="202"/>
      <c r="L782" s="203"/>
      <c r="M782" s="204"/>
      <c r="N782" s="205"/>
      <c r="O782" s="206"/>
      <c r="P782" s="207"/>
      <c r="Q782" s="207"/>
      <c r="R782" s="207"/>
      <c r="S782" s="207"/>
      <c r="T782" s="208"/>
      <c r="U782" s="195"/>
      <c r="V782" s="195"/>
      <c r="W782" s="195"/>
      <c r="X782" s="195"/>
      <c r="Y782" s="195"/>
      <c r="Z782" s="195"/>
      <c r="AA782" s="195"/>
      <c r="AB782" s="195"/>
      <c r="AC782" s="195"/>
      <c r="AD782" s="195"/>
      <c r="AE782" s="195"/>
      <c r="AR782" s="210"/>
      <c r="AT782" s="210"/>
      <c r="AU782" s="210"/>
      <c r="AY782" s="211"/>
      <c r="BE782" s="212"/>
      <c r="BF782" s="212"/>
      <c r="BG782" s="212"/>
      <c r="BH782" s="212"/>
      <c r="BI782" s="212"/>
      <c r="BJ782" s="211"/>
      <c r="BK782" s="212"/>
      <c r="BL782" s="211"/>
      <c r="BM782" s="210"/>
    </row>
    <row r="783" spans="1:65" s="2" customFormat="1" ht="33" customHeight="1">
      <c r="A783" s="29"/>
      <c r="B783" s="152"/>
      <c r="C783" s="153" t="s">
        <v>538</v>
      </c>
      <c r="D783" s="153" t="s">
        <v>181</v>
      </c>
      <c r="E783" s="154" t="s">
        <v>872</v>
      </c>
      <c r="F783" s="155" t="s">
        <v>873</v>
      </c>
      <c r="G783" s="156" t="s">
        <v>574</v>
      </c>
      <c r="H783" s="157">
        <v>96.34</v>
      </c>
      <c r="I783" s="158"/>
      <c r="J783" s="159">
        <v>0</v>
      </c>
      <c r="K783" s="160"/>
      <c r="L783" s="30"/>
      <c r="M783" s="161" t="s">
        <v>1</v>
      </c>
      <c r="N783" s="162" t="s">
        <v>35</v>
      </c>
      <c r="O783" s="58"/>
      <c r="P783" s="163">
        <f t="shared" si="73"/>
        <v>0</v>
      </c>
      <c r="Q783" s="163">
        <v>4.5899999999999998E-5</v>
      </c>
      <c r="R783" s="163">
        <f t="shared" si="74"/>
        <v>4.422006E-3</v>
      </c>
      <c r="S783" s="163">
        <v>1E-3</v>
      </c>
      <c r="T783" s="164">
        <f t="shared" si="75"/>
        <v>9.6340000000000009E-2</v>
      </c>
      <c r="U783" s="29"/>
      <c r="V783" s="29"/>
      <c r="W783" s="29"/>
      <c r="X783" s="29"/>
      <c r="Y783" s="29"/>
      <c r="Z783" s="29"/>
      <c r="AA783" s="29"/>
      <c r="AB783" s="29"/>
      <c r="AC783" s="29"/>
      <c r="AD783" s="29"/>
      <c r="AE783" s="29"/>
      <c r="AR783" s="165" t="s">
        <v>213</v>
      </c>
      <c r="AT783" s="165" t="s">
        <v>181</v>
      </c>
      <c r="AU783" s="165" t="s">
        <v>82</v>
      </c>
      <c r="AY783" s="14" t="s">
        <v>179</v>
      </c>
      <c r="BE783" s="166">
        <f t="shared" si="76"/>
        <v>0</v>
      </c>
      <c r="BF783" s="166">
        <f t="shared" si="77"/>
        <v>0</v>
      </c>
      <c r="BG783" s="166">
        <f t="shared" si="78"/>
        <v>0</v>
      </c>
      <c r="BH783" s="166">
        <f t="shared" si="79"/>
        <v>0</v>
      </c>
      <c r="BI783" s="166">
        <f t="shared" si="80"/>
        <v>0</v>
      </c>
      <c r="BJ783" s="14" t="s">
        <v>82</v>
      </c>
      <c r="BK783" s="166">
        <f t="shared" si="81"/>
        <v>0</v>
      </c>
      <c r="BL783" s="14" t="s">
        <v>213</v>
      </c>
      <c r="BM783" s="165" t="s">
        <v>874</v>
      </c>
    </row>
    <row r="784" spans="1:65" s="209" customFormat="1" ht="22.5">
      <c r="A784" s="195"/>
      <c r="B784" s="196"/>
      <c r="C784" s="197"/>
      <c r="D784" s="197"/>
      <c r="E784" s="198"/>
      <c r="F784" s="184" t="s">
        <v>3221</v>
      </c>
      <c r="G784" s="185"/>
      <c r="H784" s="192">
        <v>96.34</v>
      </c>
      <c r="I784" s="194"/>
      <c r="J784" s="194"/>
      <c r="K784" s="202"/>
      <c r="L784" s="203"/>
      <c r="M784" s="204"/>
      <c r="N784" s="205"/>
      <c r="O784" s="206"/>
      <c r="P784" s="207"/>
      <c r="Q784" s="207"/>
      <c r="R784" s="207"/>
      <c r="S784" s="207"/>
      <c r="T784" s="208"/>
      <c r="U784" s="195"/>
      <c r="V784" s="195"/>
      <c r="W784" s="195"/>
      <c r="X784" s="195"/>
      <c r="Y784" s="195"/>
      <c r="Z784" s="195"/>
      <c r="AA784" s="195"/>
      <c r="AB784" s="195"/>
      <c r="AC784" s="195"/>
      <c r="AD784" s="195"/>
      <c r="AE784" s="195"/>
      <c r="AR784" s="210"/>
      <c r="AT784" s="210"/>
      <c r="AU784" s="210"/>
      <c r="AY784" s="211"/>
      <c r="BE784" s="212"/>
      <c r="BF784" s="212"/>
      <c r="BG784" s="212"/>
      <c r="BH784" s="212"/>
      <c r="BI784" s="212"/>
      <c r="BJ784" s="211"/>
      <c r="BK784" s="212"/>
      <c r="BL784" s="211"/>
      <c r="BM784" s="210"/>
    </row>
    <row r="785" spans="1:65" s="209" customFormat="1" ht="12">
      <c r="A785" s="195"/>
      <c r="B785" s="196"/>
      <c r="C785" s="197"/>
      <c r="D785" s="197"/>
      <c r="E785" s="198"/>
      <c r="F785" s="187" t="s">
        <v>2983</v>
      </c>
      <c r="G785" s="188"/>
      <c r="H785" s="189">
        <f>SUM(H784)</f>
        <v>96.34</v>
      </c>
      <c r="I785" s="194"/>
      <c r="J785" s="194"/>
      <c r="K785" s="202"/>
      <c r="L785" s="203"/>
      <c r="M785" s="204"/>
      <c r="N785" s="205"/>
      <c r="O785" s="206"/>
      <c r="P785" s="207"/>
      <c r="Q785" s="207"/>
      <c r="R785" s="207"/>
      <c r="S785" s="207"/>
      <c r="T785" s="208"/>
      <c r="U785" s="195"/>
      <c r="V785" s="195"/>
      <c r="W785" s="195"/>
      <c r="X785" s="195"/>
      <c r="Y785" s="195"/>
      <c r="Z785" s="195"/>
      <c r="AA785" s="195"/>
      <c r="AB785" s="195"/>
      <c r="AC785" s="195"/>
      <c r="AD785" s="195"/>
      <c r="AE785" s="195"/>
      <c r="AR785" s="210"/>
      <c r="AT785" s="210"/>
      <c r="AU785" s="210"/>
      <c r="AY785" s="211"/>
      <c r="BE785" s="212"/>
      <c r="BF785" s="212"/>
      <c r="BG785" s="212"/>
      <c r="BH785" s="212"/>
      <c r="BI785" s="212"/>
      <c r="BJ785" s="211"/>
      <c r="BK785" s="212"/>
      <c r="BL785" s="211"/>
      <c r="BM785" s="210"/>
    </row>
    <row r="786" spans="1:65" s="2" customFormat="1" ht="33" customHeight="1">
      <c r="A786" s="29"/>
      <c r="B786" s="152"/>
      <c r="C786" s="153" t="s">
        <v>875</v>
      </c>
      <c r="D786" s="153" t="s">
        <v>181</v>
      </c>
      <c r="E786" s="154" t="s">
        <v>876</v>
      </c>
      <c r="F786" s="155" t="s">
        <v>877</v>
      </c>
      <c r="G786" s="156" t="s">
        <v>574</v>
      </c>
      <c r="H786" s="157">
        <v>982.29</v>
      </c>
      <c r="I786" s="158"/>
      <c r="J786" s="159">
        <v>0</v>
      </c>
      <c r="K786" s="160"/>
      <c r="L786" s="30"/>
      <c r="M786" s="161" t="s">
        <v>1</v>
      </c>
      <c r="N786" s="162" t="s">
        <v>35</v>
      </c>
      <c r="O786" s="58"/>
      <c r="P786" s="163">
        <f t="shared" si="73"/>
        <v>0</v>
      </c>
      <c r="Q786" s="163">
        <v>4.5899999999999998E-5</v>
      </c>
      <c r="R786" s="163">
        <f t="shared" si="74"/>
        <v>4.5087110999999999E-2</v>
      </c>
      <c r="S786" s="163">
        <v>1E-3</v>
      </c>
      <c r="T786" s="164">
        <f t="shared" si="75"/>
        <v>0.98229</v>
      </c>
      <c r="U786" s="29"/>
      <c r="V786" s="29"/>
      <c r="W786" s="29"/>
      <c r="X786" s="29"/>
      <c r="Y786" s="29"/>
      <c r="Z786" s="29"/>
      <c r="AA786" s="29"/>
      <c r="AB786" s="29"/>
      <c r="AC786" s="29"/>
      <c r="AD786" s="29"/>
      <c r="AE786" s="29"/>
      <c r="AR786" s="165" t="s">
        <v>213</v>
      </c>
      <c r="AT786" s="165" t="s">
        <v>181</v>
      </c>
      <c r="AU786" s="165" t="s">
        <v>82</v>
      </c>
      <c r="AY786" s="14" t="s">
        <v>179</v>
      </c>
      <c r="BE786" s="166">
        <f t="shared" si="76"/>
        <v>0</v>
      </c>
      <c r="BF786" s="166">
        <f t="shared" si="77"/>
        <v>0</v>
      </c>
      <c r="BG786" s="166">
        <f t="shared" si="78"/>
        <v>0</v>
      </c>
      <c r="BH786" s="166">
        <f t="shared" si="79"/>
        <v>0</v>
      </c>
      <c r="BI786" s="166">
        <f t="shared" si="80"/>
        <v>0</v>
      </c>
      <c r="BJ786" s="14" t="s">
        <v>82</v>
      </c>
      <c r="BK786" s="166">
        <f t="shared" si="81"/>
        <v>0</v>
      </c>
      <c r="BL786" s="14" t="s">
        <v>213</v>
      </c>
      <c r="BM786" s="165" t="s">
        <v>878</v>
      </c>
    </row>
    <row r="787" spans="1:65" s="209" customFormat="1" ht="22.5">
      <c r="A787" s="195"/>
      <c r="B787" s="196"/>
      <c r="C787" s="197"/>
      <c r="D787" s="197"/>
      <c r="E787" s="198"/>
      <c r="F787" s="184" t="s">
        <v>3222</v>
      </c>
      <c r="G787" s="185"/>
      <c r="H787" s="192">
        <f>4*3.2*16</f>
        <v>204.8</v>
      </c>
      <c r="I787" s="194"/>
      <c r="J787" s="194"/>
      <c r="K787" s="202"/>
      <c r="L787" s="203"/>
      <c r="M787" s="204"/>
      <c r="N787" s="205"/>
      <c r="O787" s="206"/>
      <c r="P787" s="207"/>
      <c r="Q787" s="207"/>
      <c r="R787" s="207"/>
      <c r="S787" s="207"/>
      <c r="T787" s="208"/>
      <c r="U787" s="195"/>
      <c r="V787" s="195"/>
      <c r="W787" s="195"/>
      <c r="X787" s="195"/>
      <c r="Y787" s="195"/>
      <c r="Z787" s="195"/>
      <c r="AA787" s="195"/>
      <c r="AB787" s="195"/>
      <c r="AC787" s="195"/>
      <c r="AD787" s="195"/>
      <c r="AE787" s="195"/>
      <c r="AR787" s="210"/>
      <c r="AT787" s="210"/>
      <c r="AU787" s="210"/>
      <c r="AY787" s="211"/>
      <c r="BE787" s="212"/>
      <c r="BF787" s="212"/>
      <c r="BG787" s="212"/>
      <c r="BH787" s="212"/>
      <c r="BI787" s="212"/>
      <c r="BJ787" s="211"/>
      <c r="BK787" s="212"/>
      <c r="BL787" s="211"/>
      <c r="BM787" s="210"/>
    </row>
    <row r="788" spans="1:65" s="209" customFormat="1" ht="22.5">
      <c r="A788" s="195"/>
      <c r="B788" s="196"/>
      <c r="C788" s="197"/>
      <c r="D788" s="197"/>
      <c r="E788" s="198"/>
      <c r="F788" s="184" t="s">
        <v>3223</v>
      </c>
      <c r="G788" s="185"/>
      <c r="H788" s="192">
        <v>228.7</v>
      </c>
      <c r="I788" s="194"/>
      <c r="J788" s="194"/>
      <c r="K788" s="202"/>
      <c r="L788" s="203"/>
      <c r="M788" s="204"/>
      <c r="N788" s="205"/>
      <c r="O788" s="206"/>
      <c r="P788" s="207"/>
      <c r="Q788" s="207"/>
      <c r="R788" s="207"/>
      <c r="S788" s="207"/>
      <c r="T788" s="208"/>
      <c r="U788" s="195"/>
      <c r="V788" s="195"/>
      <c r="W788" s="195"/>
      <c r="X788" s="195"/>
      <c r="Y788" s="195"/>
      <c r="Z788" s="195"/>
      <c r="AA788" s="195"/>
      <c r="AB788" s="195"/>
      <c r="AC788" s="195"/>
      <c r="AD788" s="195"/>
      <c r="AE788" s="195"/>
      <c r="AR788" s="210"/>
      <c r="AT788" s="210"/>
      <c r="AU788" s="210"/>
      <c r="AY788" s="211"/>
      <c r="BE788" s="212"/>
      <c r="BF788" s="212"/>
      <c r="BG788" s="212"/>
      <c r="BH788" s="212"/>
      <c r="BI788" s="212"/>
      <c r="BJ788" s="211"/>
      <c r="BK788" s="212"/>
      <c r="BL788" s="211"/>
      <c r="BM788" s="210"/>
    </row>
    <row r="789" spans="1:65" s="209" customFormat="1" ht="22.5">
      <c r="A789" s="195"/>
      <c r="B789" s="196"/>
      <c r="C789" s="197"/>
      <c r="D789" s="197"/>
      <c r="E789" s="198"/>
      <c r="F789" s="184" t="s">
        <v>3224</v>
      </c>
      <c r="G789" s="185"/>
      <c r="H789" s="192">
        <v>161.1</v>
      </c>
      <c r="I789" s="194"/>
      <c r="J789" s="194"/>
      <c r="K789" s="202"/>
      <c r="L789" s="203"/>
      <c r="M789" s="204"/>
      <c r="N789" s="205"/>
      <c r="O789" s="206"/>
      <c r="P789" s="207"/>
      <c r="Q789" s="207"/>
      <c r="R789" s="207"/>
      <c r="S789" s="207"/>
      <c r="T789" s="208"/>
      <c r="U789" s="195"/>
      <c r="V789" s="195"/>
      <c r="W789" s="195"/>
      <c r="X789" s="195"/>
      <c r="Y789" s="195"/>
      <c r="Z789" s="195"/>
      <c r="AA789" s="195"/>
      <c r="AB789" s="195"/>
      <c r="AC789" s="195"/>
      <c r="AD789" s="195"/>
      <c r="AE789" s="195"/>
      <c r="AR789" s="210"/>
      <c r="AT789" s="210"/>
      <c r="AU789" s="210"/>
      <c r="AY789" s="211"/>
      <c r="BE789" s="212"/>
      <c r="BF789" s="212"/>
      <c r="BG789" s="212"/>
      <c r="BH789" s="212"/>
      <c r="BI789" s="212"/>
      <c r="BJ789" s="211"/>
      <c r="BK789" s="212"/>
      <c r="BL789" s="211"/>
      <c r="BM789" s="210"/>
    </row>
    <row r="790" spans="1:65" s="209" customFormat="1" ht="22.5">
      <c r="A790" s="195"/>
      <c r="B790" s="196"/>
      <c r="C790" s="197"/>
      <c r="D790" s="197"/>
      <c r="E790" s="198"/>
      <c r="F790" s="184" t="s">
        <v>3225</v>
      </c>
      <c r="G790" s="185"/>
      <c r="H790" s="192">
        <v>169.34</v>
      </c>
      <c r="I790" s="194"/>
      <c r="J790" s="194"/>
      <c r="K790" s="202"/>
      <c r="L790" s="203"/>
      <c r="M790" s="204"/>
      <c r="N790" s="205"/>
      <c r="O790" s="206"/>
      <c r="P790" s="207"/>
      <c r="Q790" s="207"/>
      <c r="R790" s="207"/>
      <c r="S790" s="207"/>
      <c r="T790" s="208"/>
      <c r="U790" s="195"/>
      <c r="V790" s="195"/>
      <c r="W790" s="195"/>
      <c r="X790" s="195"/>
      <c r="Y790" s="195"/>
      <c r="Z790" s="195"/>
      <c r="AA790" s="195"/>
      <c r="AB790" s="195"/>
      <c r="AC790" s="195"/>
      <c r="AD790" s="195"/>
      <c r="AE790" s="195"/>
      <c r="AR790" s="210"/>
      <c r="AT790" s="210"/>
      <c r="AU790" s="210"/>
      <c r="AY790" s="211"/>
      <c r="BE790" s="212"/>
      <c r="BF790" s="212"/>
      <c r="BG790" s="212"/>
      <c r="BH790" s="212"/>
      <c r="BI790" s="212"/>
      <c r="BJ790" s="211"/>
      <c r="BK790" s="212"/>
      <c r="BL790" s="211"/>
      <c r="BM790" s="210"/>
    </row>
    <row r="791" spans="1:65" s="209" customFormat="1" ht="22.5">
      <c r="A791" s="195"/>
      <c r="B791" s="196"/>
      <c r="C791" s="197"/>
      <c r="D791" s="197"/>
      <c r="E791" s="198"/>
      <c r="F791" s="184" t="s">
        <v>3226</v>
      </c>
      <c r="G791" s="185"/>
      <c r="H791" s="192">
        <v>218.35</v>
      </c>
      <c r="I791" s="194"/>
      <c r="J791" s="194"/>
      <c r="K791" s="202"/>
      <c r="L791" s="203"/>
      <c r="M791" s="204"/>
      <c r="N791" s="205"/>
      <c r="O791" s="206"/>
      <c r="P791" s="207"/>
      <c r="Q791" s="207"/>
      <c r="R791" s="207"/>
      <c r="S791" s="207"/>
      <c r="T791" s="208"/>
      <c r="U791" s="195"/>
      <c r="V791" s="195"/>
      <c r="W791" s="195"/>
      <c r="X791" s="195"/>
      <c r="Y791" s="195"/>
      <c r="Z791" s="195"/>
      <c r="AA791" s="195"/>
      <c r="AB791" s="195"/>
      <c r="AC791" s="195"/>
      <c r="AD791" s="195"/>
      <c r="AE791" s="195"/>
      <c r="AR791" s="210"/>
      <c r="AT791" s="210"/>
      <c r="AU791" s="210"/>
      <c r="AY791" s="211"/>
      <c r="BE791" s="212"/>
      <c r="BF791" s="212"/>
      <c r="BG791" s="212"/>
      <c r="BH791" s="212"/>
      <c r="BI791" s="212"/>
      <c r="BJ791" s="211"/>
      <c r="BK791" s="212"/>
      <c r="BL791" s="211"/>
      <c r="BM791" s="210"/>
    </row>
    <row r="792" spans="1:65" s="209" customFormat="1" ht="12">
      <c r="A792" s="195"/>
      <c r="B792" s="196"/>
      <c r="C792" s="197"/>
      <c r="D792" s="197"/>
      <c r="E792" s="198"/>
      <c r="F792" s="187" t="s">
        <v>2983</v>
      </c>
      <c r="G792" s="188"/>
      <c r="H792" s="189">
        <f>SUM(H787:H791)</f>
        <v>982.29000000000008</v>
      </c>
      <c r="I792" s="194"/>
      <c r="J792" s="194"/>
      <c r="K792" s="202"/>
      <c r="L792" s="203"/>
      <c r="M792" s="204"/>
      <c r="N792" s="205"/>
      <c r="O792" s="206"/>
      <c r="P792" s="207"/>
      <c r="Q792" s="207"/>
      <c r="R792" s="207"/>
      <c r="S792" s="207"/>
      <c r="T792" s="208"/>
      <c r="U792" s="195"/>
      <c r="V792" s="195"/>
      <c r="W792" s="195"/>
      <c r="X792" s="195"/>
      <c r="Y792" s="195"/>
      <c r="Z792" s="195"/>
      <c r="AA792" s="195"/>
      <c r="AB792" s="195"/>
      <c r="AC792" s="195"/>
      <c r="AD792" s="195"/>
      <c r="AE792" s="195"/>
      <c r="AR792" s="210"/>
      <c r="AT792" s="210"/>
      <c r="AU792" s="210"/>
      <c r="AY792" s="211"/>
      <c r="BE792" s="212"/>
      <c r="BF792" s="212"/>
      <c r="BG792" s="212"/>
      <c r="BH792" s="212"/>
      <c r="BI792" s="212"/>
      <c r="BJ792" s="211"/>
      <c r="BK792" s="212"/>
      <c r="BL792" s="211"/>
      <c r="BM792" s="210"/>
    </row>
    <row r="793" spans="1:65" s="2" customFormat="1" ht="33" customHeight="1">
      <c r="A793" s="29"/>
      <c r="B793" s="152"/>
      <c r="C793" s="153" t="s">
        <v>541</v>
      </c>
      <c r="D793" s="153" t="s">
        <v>181</v>
      </c>
      <c r="E793" s="154" t="s">
        <v>879</v>
      </c>
      <c r="F793" s="155" t="s">
        <v>880</v>
      </c>
      <c r="G793" s="156" t="s">
        <v>574</v>
      </c>
      <c r="H793" s="157">
        <v>2887.56</v>
      </c>
      <c r="I793" s="158"/>
      <c r="J793" s="159">
        <v>0</v>
      </c>
      <c r="K793" s="160"/>
      <c r="L793" s="30"/>
      <c r="M793" s="161" t="s">
        <v>1</v>
      </c>
      <c r="N793" s="162" t="s">
        <v>35</v>
      </c>
      <c r="O793" s="58"/>
      <c r="P793" s="163">
        <f t="shared" si="73"/>
        <v>0</v>
      </c>
      <c r="Q793" s="163">
        <v>4.5899999999999998E-5</v>
      </c>
      <c r="R793" s="163">
        <f t="shared" si="74"/>
        <v>0.13253900399999999</v>
      </c>
      <c r="S793" s="163">
        <v>1E-3</v>
      </c>
      <c r="T793" s="164">
        <f t="shared" si="75"/>
        <v>2.8875600000000001</v>
      </c>
      <c r="U793" s="29"/>
      <c r="V793" s="29"/>
      <c r="W793" s="29"/>
      <c r="X793" s="29"/>
      <c r="Y793" s="29"/>
      <c r="Z793" s="29"/>
      <c r="AA793" s="29"/>
      <c r="AB793" s="29"/>
      <c r="AC793" s="29"/>
      <c r="AD793" s="29"/>
      <c r="AE793" s="29"/>
      <c r="AR793" s="165" t="s">
        <v>213</v>
      </c>
      <c r="AT793" s="165" t="s">
        <v>181</v>
      </c>
      <c r="AU793" s="165" t="s">
        <v>82</v>
      </c>
      <c r="AY793" s="14" t="s">
        <v>179</v>
      </c>
      <c r="BE793" s="166">
        <f t="shared" si="76"/>
        <v>0</v>
      </c>
      <c r="BF793" s="166">
        <f t="shared" si="77"/>
        <v>0</v>
      </c>
      <c r="BG793" s="166">
        <f t="shared" si="78"/>
        <v>0</v>
      </c>
      <c r="BH793" s="166">
        <f t="shared" si="79"/>
        <v>0</v>
      </c>
      <c r="BI793" s="166">
        <f t="shared" si="80"/>
        <v>0</v>
      </c>
      <c r="BJ793" s="14" t="s">
        <v>82</v>
      </c>
      <c r="BK793" s="166">
        <f t="shared" si="81"/>
        <v>0</v>
      </c>
      <c r="BL793" s="14" t="s">
        <v>213</v>
      </c>
      <c r="BM793" s="165" t="s">
        <v>881</v>
      </c>
    </row>
    <row r="794" spans="1:65" s="209" customFormat="1" ht="22.5">
      <c r="A794" s="195"/>
      <c r="B794" s="196"/>
      <c r="C794" s="197"/>
      <c r="D794" s="197"/>
      <c r="E794" s="198"/>
      <c r="F794" s="184" t="s">
        <v>3227</v>
      </c>
      <c r="G794" s="185"/>
      <c r="H794" s="192">
        <v>865.56</v>
      </c>
      <c r="I794" s="194"/>
      <c r="J794" s="194"/>
      <c r="K794" s="202"/>
      <c r="L794" s="203"/>
      <c r="M794" s="204"/>
      <c r="N794" s="205"/>
      <c r="O794" s="206"/>
      <c r="P794" s="207"/>
      <c r="Q794" s="207"/>
      <c r="R794" s="207"/>
      <c r="S794" s="207"/>
      <c r="T794" s="208"/>
      <c r="U794" s="195"/>
      <c r="V794" s="195"/>
      <c r="W794" s="195"/>
      <c r="X794" s="195"/>
      <c r="Y794" s="195"/>
      <c r="Z794" s="195"/>
      <c r="AA794" s="195"/>
      <c r="AB794" s="195"/>
      <c r="AC794" s="195"/>
      <c r="AD794" s="195"/>
      <c r="AE794" s="195"/>
      <c r="AR794" s="210"/>
      <c r="AT794" s="210"/>
      <c r="AU794" s="210"/>
      <c r="AY794" s="211"/>
      <c r="BE794" s="212"/>
      <c r="BF794" s="212"/>
      <c r="BG794" s="212"/>
      <c r="BH794" s="212"/>
      <c r="BI794" s="212"/>
      <c r="BJ794" s="211"/>
      <c r="BK794" s="212"/>
      <c r="BL794" s="211"/>
      <c r="BM794" s="210"/>
    </row>
    <row r="795" spans="1:65" s="209" customFormat="1" ht="22.5">
      <c r="A795" s="195"/>
      <c r="B795" s="196"/>
      <c r="C795" s="197"/>
      <c r="D795" s="197"/>
      <c r="E795" s="198"/>
      <c r="F795" s="184" t="s">
        <v>3228</v>
      </c>
      <c r="G795" s="185"/>
      <c r="H795" s="192">
        <v>614.28</v>
      </c>
      <c r="I795" s="194"/>
      <c r="J795" s="194"/>
      <c r="K795" s="202"/>
      <c r="L795" s="203"/>
      <c r="M795" s="204"/>
      <c r="N795" s="205"/>
      <c r="O795" s="206"/>
      <c r="P795" s="207"/>
      <c r="Q795" s="207"/>
      <c r="R795" s="207"/>
      <c r="S795" s="207"/>
      <c r="T795" s="208"/>
      <c r="U795" s="195"/>
      <c r="V795" s="195"/>
      <c r="W795" s="195"/>
      <c r="X795" s="195"/>
      <c r="Y795" s="195"/>
      <c r="Z795" s="195"/>
      <c r="AA795" s="195"/>
      <c r="AB795" s="195"/>
      <c r="AC795" s="195"/>
      <c r="AD795" s="195"/>
      <c r="AE795" s="195"/>
      <c r="AR795" s="210"/>
      <c r="AT795" s="210"/>
      <c r="AU795" s="210"/>
      <c r="AY795" s="211"/>
      <c r="BE795" s="212"/>
      <c r="BF795" s="212"/>
      <c r="BG795" s="212"/>
      <c r="BH795" s="212"/>
      <c r="BI795" s="212"/>
      <c r="BJ795" s="211"/>
      <c r="BK795" s="212"/>
      <c r="BL795" s="211"/>
      <c r="BM795" s="210"/>
    </row>
    <row r="796" spans="1:65" s="209" customFormat="1" ht="22.5">
      <c r="A796" s="195"/>
      <c r="B796" s="196"/>
      <c r="C796" s="197"/>
      <c r="D796" s="197"/>
      <c r="E796" s="198"/>
      <c r="F796" s="184" t="s">
        <v>3229</v>
      </c>
      <c r="G796" s="185"/>
      <c r="H796" s="192">
        <v>735.62</v>
      </c>
      <c r="I796" s="194"/>
      <c r="J796" s="194"/>
      <c r="K796" s="202"/>
      <c r="L796" s="203"/>
      <c r="M796" s="204"/>
      <c r="N796" s="205"/>
      <c r="O796" s="206"/>
      <c r="P796" s="207"/>
      <c r="Q796" s="207"/>
      <c r="R796" s="207"/>
      <c r="S796" s="207"/>
      <c r="T796" s="208"/>
      <c r="U796" s="195"/>
      <c r="V796" s="195"/>
      <c r="W796" s="195"/>
      <c r="X796" s="195"/>
      <c r="Y796" s="195"/>
      <c r="Z796" s="195"/>
      <c r="AA796" s="195"/>
      <c r="AB796" s="195"/>
      <c r="AC796" s="195"/>
      <c r="AD796" s="195"/>
      <c r="AE796" s="195"/>
      <c r="AR796" s="210"/>
      <c r="AT796" s="210"/>
      <c r="AU796" s="210"/>
      <c r="AY796" s="211"/>
      <c r="BE796" s="212"/>
      <c r="BF796" s="212"/>
      <c r="BG796" s="212"/>
      <c r="BH796" s="212"/>
      <c r="BI796" s="212"/>
      <c r="BJ796" s="211"/>
      <c r="BK796" s="212"/>
      <c r="BL796" s="211"/>
      <c r="BM796" s="210"/>
    </row>
    <row r="797" spans="1:65" s="209" customFormat="1" ht="22.5">
      <c r="A797" s="195"/>
      <c r="B797" s="196"/>
      <c r="C797" s="197"/>
      <c r="D797" s="197"/>
      <c r="E797" s="198"/>
      <c r="F797" s="184" t="s">
        <v>3230</v>
      </c>
      <c r="G797" s="185"/>
      <c r="H797" s="192">
        <v>672.1</v>
      </c>
      <c r="I797" s="194"/>
      <c r="J797" s="194"/>
      <c r="K797" s="202"/>
      <c r="L797" s="203"/>
      <c r="M797" s="204"/>
      <c r="N797" s="205"/>
      <c r="O797" s="206"/>
      <c r="P797" s="207"/>
      <c r="Q797" s="207"/>
      <c r="R797" s="207"/>
      <c r="S797" s="207"/>
      <c r="T797" s="208"/>
      <c r="U797" s="195"/>
      <c r="V797" s="195"/>
      <c r="W797" s="195"/>
      <c r="X797" s="195"/>
      <c r="Y797" s="195"/>
      <c r="Z797" s="195"/>
      <c r="AA797" s="195"/>
      <c r="AB797" s="195"/>
      <c r="AC797" s="195"/>
      <c r="AD797" s="195"/>
      <c r="AE797" s="195"/>
      <c r="AR797" s="210"/>
      <c r="AT797" s="210"/>
      <c r="AU797" s="210"/>
      <c r="AY797" s="211"/>
      <c r="BE797" s="212"/>
      <c r="BF797" s="212"/>
      <c r="BG797" s="212"/>
      <c r="BH797" s="212"/>
      <c r="BI797" s="212"/>
      <c r="BJ797" s="211"/>
      <c r="BK797" s="212"/>
      <c r="BL797" s="211"/>
      <c r="BM797" s="210"/>
    </row>
    <row r="798" spans="1:65" s="209" customFormat="1" ht="12">
      <c r="A798" s="195"/>
      <c r="B798" s="196"/>
      <c r="C798" s="197"/>
      <c r="D798" s="197"/>
      <c r="E798" s="198"/>
      <c r="F798" s="187" t="s">
        <v>2983</v>
      </c>
      <c r="G798" s="188"/>
      <c r="H798" s="189">
        <f>SUM(H794:H797)</f>
        <v>2887.56</v>
      </c>
      <c r="I798" s="194"/>
      <c r="J798" s="194"/>
      <c r="K798" s="202"/>
      <c r="L798" s="203"/>
      <c r="M798" s="204"/>
      <c r="N798" s="205"/>
      <c r="O798" s="206"/>
      <c r="P798" s="207"/>
      <c r="Q798" s="207"/>
      <c r="R798" s="207"/>
      <c r="S798" s="207"/>
      <c r="T798" s="208"/>
      <c r="U798" s="195"/>
      <c r="V798" s="195"/>
      <c r="W798" s="195"/>
      <c r="X798" s="195"/>
      <c r="Y798" s="195"/>
      <c r="Z798" s="195"/>
      <c r="AA798" s="195"/>
      <c r="AB798" s="195"/>
      <c r="AC798" s="195"/>
      <c r="AD798" s="195"/>
      <c r="AE798" s="195"/>
      <c r="AR798" s="210"/>
      <c r="AT798" s="210"/>
      <c r="AU798" s="210"/>
      <c r="AY798" s="211"/>
      <c r="BE798" s="212"/>
      <c r="BF798" s="212"/>
      <c r="BG798" s="212"/>
      <c r="BH798" s="212"/>
      <c r="BI798" s="212"/>
      <c r="BJ798" s="211"/>
      <c r="BK798" s="212"/>
      <c r="BL798" s="211"/>
      <c r="BM798" s="210"/>
    </row>
    <row r="799" spans="1:65" s="2" customFormat="1" ht="24.2" customHeight="1">
      <c r="A799" s="29"/>
      <c r="B799" s="152"/>
      <c r="C799" s="153" t="s">
        <v>882</v>
      </c>
      <c r="D799" s="153" t="s">
        <v>181</v>
      </c>
      <c r="E799" s="154" t="s">
        <v>883</v>
      </c>
      <c r="F799" s="155" t="s">
        <v>884</v>
      </c>
      <c r="G799" s="156" t="s">
        <v>585</v>
      </c>
      <c r="H799" s="178"/>
      <c r="I799" s="158"/>
      <c r="J799" s="159">
        <v>0</v>
      </c>
      <c r="K799" s="160"/>
      <c r="L799" s="30"/>
      <c r="M799" s="161" t="s">
        <v>1</v>
      </c>
      <c r="N799" s="162" t="s">
        <v>35</v>
      </c>
      <c r="O799" s="58"/>
      <c r="P799" s="163">
        <f t="shared" si="73"/>
        <v>0</v>
      </c>
      <c r="Q799" s="163">
        <v>0</v>
      </c>
      <c r="R799" s="163">
        <f t="shared" si="74"/>
        <v>0</v>
      </c>
      <c r="S799" s="163">
        <v>0</v>
      </c>
      <c r="T799" s="164">
        <f t="shared" si="75"/>
        <v>0</v>
      </c>
      <c r="U799" s="29"/>
      <c r="V799" s="29"/>
      <c r="W799" s="29"/>
      <c r="X799" s="29"/>
      <c r="Y799" s="29"/>
      <c r="Z799" s="29"/>
      <c r="AA799" s="29"/>
      <c r="AB799" s="29"/>
      <c r="AC799" s="29"/>
      <c r="AD799" s="29"/>
      <c r="AE799" s="29"/>
      <c r="AR799" s="165" t="s">
        <v>213</v>
      </c>
      <c r="AT799" s="165" t="s">
        <v>181</v>
      </c>
      <c r="AU799" s="165" t="s">
        <v>82</v>
      </c>
      <c r="AY799" s="14" t="s">
        <v>179</v>
      </c>
      <c r="BE799" s="166">
        <f t="shared" si="76"/>
        <v>0</v>
      </c>
      <c r="BF799" s="166">
        <f t="shared" si="77"/>
        <v>0</v>
      </c>
      <c r="BG799" s="166">
        <f t="shared" si="78"/>
        <v>0</v>
      </c>
      <c r="BH799" s="166">
        <f t="shared" si="79"/>
        <v>0</v>
      </c>
      <c r="BI799" s="166">
        <f t="shared" si="80"/>
        <v>0</v>
      </c>
      <c r="BJ799" s="14" t="s">
        <v>82</v>
      </c>
      <c r="BK799" s="166">
        <f t="shared" si="81"/>
        <v>0</v>
      </c>
      <c r="BL799" s="14" t="s">
        <v>213</v>
      </c>
      <c r="BM799" s="165" t="s">
        <v>885</v>
      </c>
    </row>
    <row r="800" spans="1:65" s="12" customFormat="1" ht="22.9" customHeight="1">
      <c r="B800" s="139"/>
      <c r="D800" s="140" t="s">
        <v>68</v>
      </c>
      <c r="E800" s="150" t="s">
        <v>886</v>
      </c>
      <c r="F800" s="150" t="s">
        <v>887</v>
      </c>
      <c r="I800" s="142"/>
      <c r="J800" s="151">
        <v>0</v>
      </c>
      <c r="L800" s="139"/>
      <c r="M800" s="144"/>
      <c r="N800" s="145"/>
      <c r="O800" s="145"/>
      <c r="P800" s="146">
        <f>SUM(P801:P804)</f>
        <v>0</v>
      </c>
      <c r="Q800" s="145"/>
      <c r="R800" s="146">
        <f>SUM(R801:R804)</f>
        <v>0</v>
      </c>
      <c r="S800" s="145"/>
      <c r="T800" s="147">
        <f>SUM(T801:T804)</f>
        <v>0.11513999999999999</v>
      </c>
      <c r="AR800" s="140" t="s">
        <v>82</v>
      </c>
      <c r="AT800" s="148" t="s">
        <v>68</v>
      </c>
      <c r="AU800" s="148" t="s">
        <v>76</v>
      </c>
      <c r="AY800" s="140" t="s">
        <v>179</v>
      </c>
      <c r="BK800" s="149">
        <f>SUM(BK801:BK804)</f>
        <v>0</v>
      </c>
    </row>
    <row r="801" spans="1:65" s="2" customFormat="1" ht="49.15" customHeight="1">
      <c r="A801" s="29"/>
      <c r="B801" s="152"/>
      <c r="C801" s="153" t="s">
        <v>545</v>
      </c>
      <c r="D801" s="153" t="s">
        <v>181</v>
      </c>
      <c r="E801" s="154" t="s">
        <v>888</v>
      </c>
      <c r="F801" s="155" t="s">
        <v>889</v>
      </c>
      <c r="G801" s="156" t="s">
        <v>217</v>
      </c>
      <c r="H801" s="157">
        <v>3</v>
      </c>
      <c r="I801" s="158"/>
      <c r="J801" s="159">
        <v>0</v>
      </c>
      <c r="K801" s="160"/>
      <c r="L801" s="30"/>
      <c r="M801" s="161" t="s">
        <v>1</v>
      </c>
      <c r="N801" s="162" t="s">
        <v>35</v>
      </c>
      <c r="O801" s="58"/>
      <c r="P801" s="163">
        <f>O801*H801</f>
        <v>0</v>
      </c>
      <c r="Q801" s="163">
        <v>0</v>
      </c>
      <c r="R801" s="163">
        <f>Q801*H801</f>
        <v>0</v>
      </c>
      <c r="S801" s="163">
        <v>0</v>
      </c>
      <c r="T801" s="164">
        <f>S801*H801</f>
        <v>0</v>
      </c>
      <c r="U801" s="29"/>
      <c r="V801" s="29"/>
      <c r="W801" s="29"/>
      <c r="X801" s="29"/>
      <c r="Y801" s="29"/>
      <c r="Z801" s="29"/>
      <c r="AA801" s="29"/>
      <c r="AB801" s="29"/>
      <c r="AC801" s="29"/>
      <c r="AD801" s="29"/>
      <c r="AE801" s="29"/>
      <c r="AR801" s="165" t="s">
        <v>213</v>
      </c>
      <c r="AT801" s="165" t="s">
        <v>181</v>
      </c>
      <c r="AU801" s="165" t="s">
        <v>82</v>
      </c>
      <c r="AY801" s="14" t="s">
        <v>179</v>
      </c>
      <c r="BE801" s="166">
        <f>IF(N801="základná",J801,0)</f>
        <v>0</v>
      </c>
      <c r="BF801" s="166">
        <f>IF(N801="znížená",J801,0)</f>
        <v>0</v>
      </c>
      <c r="BG801" s="166">
        <f>IF(N801="zákl. prenesená",J801,0)</f>
        <v>0</v>
      </c>
      <c r="BH801" s="166">
        <f>IF(N801="zníž. prenesená",J801,0)</f>
        <v>0</v>
      </c>
      <c r="BI801" s="166">
        <f>IF(N801="nulová",J801,0)</f>
        <v>0</v>
      </c>
      <c r="BJ801" s="14" t="s">
        <v>82</v>
      </c>
      <c r="BK801" s="166">
        <f>ROUND(I801*H801,2)</f>
        <v>0</v>
      </c>
      <c r="BL801" s="14" t="s">
        <v>213</v>
      </c>
      <c r="BM801" s="165" t="s">
        <v>890</v>
      </c>
    </row>
    <row r="802" spans="1:65" s="209" customFormat="1" ht="12">
      <c r="A802" s="195"/>
      <c r="B802" s="196"/>
      <c r="C802" s="197"/>
      <c r="D802" s="197"/>
      <c r="E802" s="198"/>
      <c r="F802" s="184" t="s">
        <v>3231</v>
      </c>
      <c r="G802" s="226"/>
      <c r="H802" s="186">
        <v>3</v>
      </c>
      <c r="I802" s="194"/>
      <c r="J802" s="194"/>
      <c r="K802" s="202"/>
      <c r="L802" s="203"/>
      <c r="M802" s="204"/>
      <c r="N802" s="205"/>
      <c r="O802" s="206"/>
      <c r="P802" s="207"/>
      <c r="Q802" s="207"/>
      <c r="R802" s="207"/>
      <c r="S802" s="207"/>
      <c r="T802" s="208"/>
      <c r="U802" s="195"/>
      <c r="V802" s="195"/>
      <c r="W802" s="195"/>
      <c r="X802" s="195"/>
      <c r="Y802" s="195"/>
      <c r="Z802" s="195"/>
      <c r="AA802" s="195"/>
      <c r="AB802" s="195"/>
      <c r="AC802" s="195"/>
      <c r="AD802" s="195"/>
      <c r="AE802" s="195"/>
      <c r="AR802" s="210"/>
      <c r="AT802" s="210"/>
      <c r="AU802" s="210"/>
      <c r="AY802" s="211"/>
      <c r="BE802" s="212"/>
      <c r="BF802" s="212"/>
      <c r="BG802" s="212"/>
      <c r="BH802" s="212"/>
      <c r="BI802" s="212"/>
      <c r="BJ802" s="211"/>
      <c r="BK802" s="212"/>
      <c r="BL802" s="211"/>
      <c r="BM802" s="210"/>
    </row>
    <row r="803" spans="1:65" s="209" customFormat="1" ht="12">
      <c r="A803" s="195"/>
      <c r="B803" s="196"/>
      <c r="C803" s="197"/>
      <c r="D803" s="197"/>
      <c r="E803" s="198"/>
      <c r="F803" s="187" t="s">
        <v>2983</v>
      </c>
      <c r="G803" s="188"/>
      <c r="H803" s="189">
        <f>SUM(H802:H802)</f>
        <v>3</v>
      </c>
      <c r="I803" s="194"/>
      <c r="J803" s="194"/>
      <c r="K803" s="202"/>
      <c r="L803" s="203"/>
      <c r="M803" s="204"/>
      <c r="N803" s="205"/>
      <c r="O803" s="206"/>
      <c r="P803" s="207"/>
      <c r="Q803" s="207"/>
      <c r="R803" s="207"/>
      <c r="S803" s="207"/>
      <c r="T803" s="208"/>
      <c r="U803" s="195"/>
      <c r="V803" s="195"/>
      <c r="W803" s="195"/>
      <c r="X803" s="195"/>
      <c r="Y803" s="195"/>
      <c r="Z803" s="195"/>
      <c r="AA803" s="195"/>
      <c r="AB803" s="195"/>
      <c r="AC803" s="195"/>
      <c r="AD803" s="195"/>
      <c r="AE803" s="195"/>
      <c r="AR803" s="210"/>
      <c r="AT803" s="210"/>
      <c r="AU803" s="210"/>
      <c r="AY803" s="211"/>
      <c r="BE803" s="212"/>
      <c r="BF803" s="212"/>
      <c r="BG803" s="212"/>
      <c r="BH803" s="212"/>
      <c r="BI803" s="212"/>
      <c r="BJ803" s="211"/>
      <c r="BK803" s="212"/>
      <c r="BL803" s="211"/>
      <c r="BM803" s="210"/>
    </row>
    <row r="804" spans="1:65" s="2" customFormat="1" ht="24.2" customHeight="1">
      <c r="A804" s="29"/>
      <c r="B804" s="152"/>
      <c r="C804" s="153" t="s">
        <v>891</v>
      </c>
      <c r="D804" s="153" t="s">
        <v>181</v>
      </c>
      <c r="E804" s="154" t="s">
        <v>892</v>
      </c>
      <c r="F804" s="155" t="s">
        <v>893</v>
      </c>
      <c r="G804" s="156" t="s">
        <v>293</v>
      </c>
      <c r="H804" s="157">
        <v>11.4</v>
      </c>
      <c r="I804" s="158"/>
      <c r="J804" s="159">
        <v>0</v>
      </c>
      <c r="K804" s="160"/>
      <c r="L804" s="30"/>
      <c r="M804" s="161" t="s">
        <v>1</v>
      </c>
      <c r="N804" s="162" t="s">
        <v>35</v>
      </c>
      <c r="O804" s="58"/>
      <c r="P804" s="163">
        <f>O804*H804</f>
        <v>0</v>
      </c>
      <c r="Q804" s="163">
        <v>0</v>
      </c>
      <c r="R804" s="163">
        <f>Q804*H804</f>
        <v>0</v>
      </c>
      <c r="S804" s="163">
        <v>1.01E-2</v>
      </c>
      <c r="T804" s="164">
        <f>S804*H804</f>
        <v>0.11513999999999999</v>
      </c>
      <c r="U804" s="29"/>
      <c r="V804" s="29"/>
      <c r="W804" s="29"/>
      <c r="X804" s="29"/>
      <c r="Y804" s="29"/>
      <c r="Z804" s="29"/>
      <c r="AA804" s="29"/>
      <c r="AB804" s="29"/>
      <c r="AC804" s="29"/>
      <c r="AD804" s="29"/>
      <c r="AE804" s="29"/>
      <c r="AR804" s="165" t="s">
        <v>213</v>
      </c>
      <c r="AT804" s="165" t="s">
        <v>181</v>
      </c>
      <c r="AU804" s="165" t="s">
        <v>82</v>
      </c>
      <c r="AY804" s="14" t="s">
        <v>179</v>
      </c>
      <c r="BE804" s="166">
        <f>IF(N804="základná",J804,0)</f>
        <v>0</v>
      </c>
      <c r="BF804" s="166">
        <f>IF(N804="znížená",J804,0)</f>
        <v>0</v>
      </c>
      <c r="BG804" s="166">
        <f>IF(N804="zákl. prenesená",J804,0)</f>
        <v>0</v>
      </c>
      <c r="BH804" s="166">
        <f>IF(N804="zníž. prenesená",J804,0)</f>
        <v>0</v>
      </c>
      <c r="BI804" s="166">
        <f>IF(N804="nulová",J804,0)</f>
        <v>0</v>
      </c>
      <c r="BJ804" s="14" t="s">
        <v>82</v>
      </c>
      <c r="BK804" s="166">
        <f>ROUND(I804*H804,2)</f>
        <v>0</v>
      </c>
      <c r="BL804" s="14" t="s">
        <v>213</v>
      </c>
      <c r="BM804" s="165" t="s">
        <v>894</v>
      </c>
    </row>
    <row r="805" spans="1:65" s="209" customFormat="1" ht="22.5">
      <c r="A805" s="195"/>
      <c r="B805" s="196"/>
      <c r="C805" s="197"/>
      <c r="D805" s="197"/>
      <c r="E805" s="198"/>
      <c r="F805" s="184" t="s">
        <v>3232</v>
      </c>
      <c r="G805" s="185"/>
      <c r="H805" s="192">
        <v>11.4</v>
      </c>
      <c r="I805" s="194"/>
      <c r="J805" s="194"/>
      <c r="K805" s="202"/>
      <c r="L805" s="203"/>
      <c r="M805" s="204"/>
      <c r="N805" s="205"/>
      <c r="O805" s="206"/>
      <c r="P805" s="207"/>
      <c r="Q805" s="207"/>
      <c r="R805" s="207"/>
      <c r="S805" s="207"/>
      <c r="T805" s="208"/>
      <c r="U805" s="195"/>
      <c r="V805" s="195"/>
      <c r="W805" s="195"/>
      <c r="X805" s="195"/>
      <c r="Y805" s="195"/>
      <c r="Z805" s="195"/>
      <c r="AA805" s="195"/>
      <c r="AB805" s="195"/>
      <c r="AC805" s="195"/>
      <c r="AD805" s="195"/>
      <c r="AE805" s="195"/>
      <c r="AR805" s="210"/>
      <c r="AT805" s="210"/>
      <c r="AU805" s="210"/>
      <c r="AY805" s="211"/>
      <c r="BE805" s="212"/>
      <c r="BF805" s="212"/>
      <c r="BG805" s="212"/>
      <c r="BH805" s="212"/>
      <c r="BI805" s="212"/>
      <c r="BJ805" s="211"/>
      <c r="BK805" s="212"/>
      <c r="BL805" s="211"/>
      <c r="BM805" s="210"/>
    </row>
    <row r="806" spans="1:65" s="209" customFormat="1" ht="12">
      <c r="A806" s="195"/>
      <c r="B806" s="196"/>
      <c r="C806" s="197"/>
      <c r="D806" s="197"/>
      <c r="E806" s="198"/>
      <c r="F806" s="187" t="s">
        <v>2983</v>
      </c>
      <c r="G806" s="188"/>
      <c r="H806" s="189">
        <f>SUM(H805)</f>
        <v>11.4</v>
      </c>
      <c r="I806" s="194"/>
      <c r="J806" s="194"/>
      <c r="K806" s="202"/>
      <c r="L806" s="203"/>
      <c r="M806" s="204"/>
      <c r="N806" s="205"/>
      <c r="O806" s="206"/>
      <c r="P806" s="207"/>
      <c r="Q806" s="207"/>
      <c r="R806" s="207"/>
      <c r="S806" s="207"/>
      <c r="T806" s="208"/>
      <c r="U806" s="195"/>
      <c r="V806" s="195"/>
      <c r="W806" s="195"/>
      <c r="X806" s="195"/>
      <c r="Y806" s="195"/>
      <c r="Z806" s="195"/>
      <c r="AA806" s="195"/>
      <c r="AB806" s="195"/>
      <c r="AC806" s="195"/>
      <c r="AD806" s="195"/>
      <c r="AE806" s="195"/>
      <c r="AR806" s="210"/>
      <c r="AT806" s="210"/>
      <c r="AU806" s="210"/>
      <c r="AY806" s="211"/>
      <c r="BE806" s="212"/>
      <c r="BF806" s="212"/>
      <c r="BG806" s="212"/>
      <c r="BH806" s="212"/>
      <c r="BI806" s="212"/>
      <c r="BJ806" s="211"/>
      <c r="BK806" s="212"/>
      <c r="BL806" s="211"/>
      <c r="BM806" s="210"/>
    </row>
    <row r="807" spans="1:65" s="12" customFormat="1" ht="22.9" customHeight="1">
      <c r="B807" s="139"/>
      <c r="D807" s="140" t="s">
        <v>68</v>
      </c>
      <c r="E807" s="150" t="s">
        <v>895</v>
      </c>
      <c r="F807" s="150" t="s">
        <v>896</v>
      </c>
      <c r="I807" s="142"/>
      <c r="J807" s="151">
        <f>BK807</f>
        <v>0</v>
      </c>
      <c r="L807" s="139"/>
      <c r="M807" s="144"/>
      <c r="N807" s="145"/>
      <c r="O807" s="145"/>
      <c r="P807" s="146">
        <f>SUM(P808:P817)</f>
        <v>0</v>
      </c>
      <c r="Q807" s="145"/>
      <c r="R807" s="146">
        <f>SUM(R808:R817)</f>
        <v>1.96692</v>
      </c>
      <c r="S807" s="145"/>
      <c r="T807" s="147">
        <f>SUM(T808:T817)</f>
        <v>0</v>
      </c>
      <c r="AR807" s="140" t="s">
        <v>82</v>
      </c>
      <c r="AT807" s="148" t="s">
        <v>68</v>
      </c>
      <c r="AU807" s="148" t="s">
        <v>76</v>
      </c>
      <c r="AY807" s="140" t="s">
        <v>179</v>
      </c>
      <c r="BK807" s="149">
        <f>SUM(BK808:BK817)</f>
        <v>0</v>
      </c>
    </row>
    <row r="808" spans="1:65" s="2" customFormat="1" ht="24.2" customHeight="1">
      <c r="A808" s="29"/>
      <c r="B808" s="152"/>
      <c r="C808" s="153" t="s">
        <v>548</v>
      </c>
      <c r="D808" s="153" t="s">
        <v>181</v>
      </c>
      <c r="E808" s="154" t="s">
        <v>897</v>
      </c>
      <c r="F808" s="155" t="s">
        <v>898</v>
      </c>
      <c r="G808" s="156" t="s">
        <v>184</v>
      </c>
      <c r="H808" s="157">
        <v>44.3</v>
      </c>
      <c r="I808" s="158"/>
      <c r="J808" s="159">
        <v>0</v>
      </c>
      <c r="K808" s="160"/>
      <c r="L808" s="30"/>
      <c r="M808" s="161" t="s">
        <v>1</v>
      </c>
      <c r="N808" s="162" t="s">
        <v>35</v>
      </c>
      <c r="O808" s="58"/>
      <c r="P808" s="163">
        <f>O808*H808</f>
        <v>0</v>
      </c>
      <c r="Q808" s="163">
        <v>4.4400000000000002E-2</v>
      </c>
      <c r="R808" s="163">
        <f>Q808*H808</f>
        <v>1.96692</v>
      </c>
      <c r="S808" s="163">
        <v>0</v>
      </c>
      <c r="T808" s="164">
        <f>S808*H808</f>
        <v>0</v>
      </c>
      <c r="U808" s="29"/>
      <c r="V808" s="29"/>
      <c r="W808" s="29"/>
      <c r="X808" s="29"/>
      <c r="Y808" s="29"/>
      <c r="Z808" s="29"/>
      <c r="AA808" s="29"/>
      <c r="AB808" s="29"/>
      <c r="AC808" s="29"/>
      <c r="AD808" s="29"/>
      <c r="AE808" s="29"/>
      <c r="AR808" s="165" t="s">
        <v>213</v>
      </c>
      <c r="AT808" s="165" t="s">
        <v>181</v>
      </c>
      <c r="AU808" s="165" t="s">
        <v>82</v>
      </c>
      <c r="AY808" s="14" t="s">
        <v>179</v>
      </c>
      <c r="BE808" s="166">
        <f>IF(N808="základná",J808,0)</f>
        <v>0</v>
      </c>
      <c r="BF808" s="166">
        <f>IF(N808="znížená",J808,0)</f>
        <v>0</v>
      </c>
      <c r="BG808" s="166">
        <f>IF(N808="zákl. prenesená",J808,0)</f>
        <v>0</v>
      </c>
      <c r="BH808" s="166">
        <f>IF(N808="zníž. prenesená",J808,0)</f>
        <v>0</v>
      </c>
      <c r="BI808" s="166">
        <f>IF(N808="nulová",J808,0)</f>
        <v>0</v>
      </c>
      <c r="BJ808" s="14" t="s">
        <v>82</v>
      </c>
      <c r="BK808" s="166">
        <f>ROUND(I808*H808,2)</f>
        <v>0</v>
      </c>
      <c r="BL808" s="14" t="s">
        <v>213</v>
      </c>
      <c r="BM808" s="165" t="s">
        <v>899</v>
      </c>
    </row>
    <row r="809" spans="1:65" s="209" customFormat="1" ht="12">
      <c r="A809" s="195"/>
      <c r="B809" s="196"/>
      <c r="C809" s="197"/>
      <c r="D809" s="197"/>
      <c r="E809" s="198"/>
      <c r="F809" s="184" t="s">
        <v>3233</v>
      </c>
      <c r="G809" s="185"/>
      <c r="H809" s="192">
        <v>44.3</v>
      </c>
      <c r="I809" s="194"/>
      <c r="J809" s="194"/>
      <c r="K809" s="202"/>
      <c r="L809" s="203"/>
      <c r="M809" s="204"/>
      <c r="N809" s="205"/>
      <c r="O809" s="206"/>
      <c r="P809" s="207"/>
      <c r="Q809" s="207"/>
      <c r="R809" s="207"/>
      <c r="S809" s="207"/>
      <c r="T809" s="208"/>
      <c r="U809" s="195"/>
      <c r="V809" s="195"/>
      <c r="W809" s="195"/>
      <c r="X809" s="195"/>
      <c r="Y809" s="195"/>
      <c r="Z809" s="195"/>
      <c r="AA809" s="195"/>
      <c r="AB809" s="195"/>
      <c r="AC809" s="195"/>
      <c r="AD809" s="195"/>
      <c r="AE809" s="195"/>
      <c r="AR809" s="210"/>
      <c r="AT809" s="210"/>
      <c r="AU809" s="210"/>
      <c r="AY809" s="211"/>
      <c r="BE809" s="212"/>
      <c r="BF809" s="212"/>
      <c r="BG809" s="212"/>
      <c r="BH809" s="212"/>
      <c r="BI809" s="212"/>
      <c r="BJ809" s="211"/>
      <c r="BK809" s="212"/>
      <c r="BL809" s="211"/>
      <c r="BM809" s="210"/>
    </row>
    <row r="810" spans="1:65" s="209" customFormat="1" ht="12">
      <c r="A810" s="195"/>
      <c r="B810" s="196"/>
      <c r="C810" s="197"/>
      <c r="D810" s="197"/>
      <c r="E810" s="198"/>
      <c r="F810" s="187" t="s">
        <v>2983</v>
      </c>
      <c r="G810" s="188"/>
      <c r="H810" s="189">
        <f>SUM(H809:H809)</f>
        <v>44.3</v>
      </c>
      <c r="I810" s="194"/>
      <c r="J810" s="194"/>
      <c r="K810" s="202"/>
      <c r="L810" s="203"/>
      <c r="M810" s="204"/>
      <c r="N810" s="205"/>
      <c r="O810" s="206"/>
      <c r="P810" s="207"/>
      <c r="Q810" s="207"/>
      <c r="R810" s="207"/>
      <c r="S810" s="207"/>
      <c r="T810" s="208"/>
      <c r="U810" s="195"/>
      <c r="V810" s="195"/>
      <c r="W810" s="195"/>
      <c r="X810" s="195"/>
      <c r="Y810" s="195"/>
      <c r="Z810" s="195"/>
      <c r="AA810" s="195"/>
      <c r="AB810" s="195"/>
      <c r="AC810" s="195"/>
      <c r="AD810" s="195"/>
      <c r="AE810" s="195"/>
      <c r="AR810" s="210"/>
      <c r="AT810" s="210"/>
      <c r="AU810" s="210"/>
      <c r="AY810" s="211"/>
      <c r="BE810" s="212"/>
      <c r="BF810" s="212"/>
      <c r="BG810" s="212"/>
      <c r="BH810" s="212"/>
      <c r="BI810" s="212"/>
      <c r="BJ810" s="211"/>
      <c r="BK810" s="212"/>
      <c r="BL810" s="211"/>
      <c r="BM810" s="210"/>
    </row>
    <row r="811" spans="1:65" s="2" customFormat="1" ht="24.2" customHeight="1">
      <c r="A811" s="29"/>
      <c r="B811" s="152"/>
      <c r="C811" s="153" t="s">
        <v>900</v>
      </c>
      <c r="D811" s="153" t="s">
        <v>181</v>
      </c>
      <c r="E811" s="154" t="s">
        <v>901</v>
      </c>
      <c r="F811" s="155" t="s">
        <v>902</v>
      </c>
      <c r="G811" s="156" t="s">
        <v>184</v>
      </c>
      <c r="H811" s="157">
        <v>44.3</v>
      </c>
      <c r="I811" s="158"/>
      <c r="J811" s="159">
        <v>0</v>
      </c>
      <c r="K811" s="160"/>
      <c r="L811" s="30"/>
      <c r="M811" s="161" t="s">
        <v>1</v>
      </c>
      <c r="N811" s="162" t="s">
        <v>35</v>
      </c>
      <c r="O811" s="58"/>
      <c r="P811" s="163">
        <f>O811*H811</f>
        <v>0</v>
      </c>
      <c r="Q811" s="163">
        <v>0</v>
      </c>
      <c r="R811" s="163">
        <f>Q811*H811</f>
        <v>0</v>
      </c>
      <c r="S811" s="163">
        <v>0</v>
      </c>
      <c r="T811" s="164">
        <f>S811*H811</f>
        <v>0</v>
      </c>
      <c r="U811" s="29"/>
      <c r="V811" s="29"/>
      <c r="W811" s="29"/>
      <c r="X811" s="29"/>
      <c r="Y811" s="29"/>
      <c r="Z811" s="29"/>
      <c r="AA811" s="29"/>
      <c r="AB811" s="29"/>
      <c r="AC811" s="29"/>
      <c r="AD811" s="29"/>
      <c r="AE811" s="29"/>
      <c r="AR811" s="165" t="s">
        <v>213</v>
      </c>
      <c r="AT811" s="165" t="s">
        <v>181</v>
      </c>
      <c r="AU811" s="165" t="s">
        <v>82</v>
      </c>
      <c r="AY811" s="14" t="s">
        <v>179</v>
      </c>
      <c r="BE811" s="166">
        <f>IF(N811="základná",J811,0)</f>
        <v>0</v>
      </c>
      <c r="BF811" s="166">
        <f>IF(N811="znížená",J811,0)</f>
        <v>0</v>
      </c>
      <c r="BG811" s="166">
        <f>IF(N811="zákl. prenesená",J811,0)</f>
        <v>0</v>
      </c>
      <c r="BH811" s="166">
        <f>IF(N811="zníž. prenesená",J811,0)</f>
        <v>0</v>
      </c>
      <c r="BI811" s="166">
        <f>IF(N811="nulová",J811,0)</f>
        <v>0</v>
      </c>
      <c r="BJ811" s="14" t="s">
        <v>82</v>
      </c>
      <c r="BK811" s="166">
        <f>ROUND(I811*H811,2)</f>
        <v>0</v>
      </c>
      <c r="BL811" s="14" t="s">
        <v>213</v>
      </c>
      <c r="BM811" s="165" t="s">
        <v>903</v>
      </c>
    </row>
    <row r="812" spans="1:65" s="209" customFormat="1" ht="12">
      <c r="A812" s="195"/>
      <c r="B812" s="196"/>
      <c r="C812" s="197"/>
      <c r="D812" s="197"/>
      <c r="E812" s="198"/>
      <c r="F812" s="184" t="s">
        <v>3234</v>
      </c>
      <c r="G812" s="185"/>
      <c r="H812" s="192">
        <v>44.3</v>
      </c>
      <c r="I812" s="194"/>
      <c r="J812" s="194"/>
      <c r="K812" s="202"/>
      <c r="L812" s="203"/>
      <c r="M812" s="204"/>
      <c r="N812" s="205"/>
      <c r="O812" s="206"/>
      <c r="P812" s="207"/>
      <c r="Q812" s="207"/>
      <c r="R812" s="207"/>
      <c r="S812" s="207"/>
      <c r="T812" s="208"/>
      <c r="U812" s="195"/>
      <c r="V812" s="195"/>
      <c r="W812" s="195"/>
      <c r="X812" s="195"/>
      <c r="Y812" s="195"/>
      <c r="Z812" s="195"/>
      <c r="AA812" s="195"/>
      <c r="AB812" s="195"/>
      <c r="AC812" s="195"/>
      <c r="AD812" s="195"/>
      <c r="AE812" s="195"/>
      <c r="AR812" s="210"/>
      <c r="AT812" s="210"/>
      <c r="AU812" s="210"/>
      <c r="AY812" s="211"/>
      <c r="BE812" s="212"/>
      <c r="BF812" s="212"/>
      <c r="BG812" s="212"/>
      <c r="BH812" s="212"/>
      <c r="BI812" s="212"/>
      <c r="BJ812" s="211"/>
      <c r="BK812" s="212"/>
      <c r="BL812" s="211"/>
      <c r="BM812" s="210"/>
    </row>
    <row r="813" spans="1:65" s="209" customFormat="1" ht="12">
      <c r="A813" s="195"/>
      <c r="B813" s="196"/>
      <c r="C813" s="197"/>
      <c r="D813" s="197"/>
      <c r="E813" s="198"/>
      <c r="F813" s="187" t="s">
        <v>2983</v>
      </c>
      <c r="G813" s="188"/>
      <c r="H813" s="189">
        <f>SUM(H812:H812)</f>
        <v>44.3</v>
      </c>
      <c r="I813" s="194"/>
      <c r="J813" s="194"/>
      <c r="K813" s="202"/>
      <c r="L813" s="203"/>
      <c r="M813" s="204"/>
      <c r="N813" s="205"/>
      <c r="O813" s="206"/>
      <c r="P813" s="207"/>
      <c r="Q813" s="207"/>
      <c r="R813" s="207"/>
      <c r="S813" s="207"/>
      <c r="T813" s="208"/>
      <c r="U813" s="195"/>
      <c r="V813" s="195"/>
      <c r="W813" s="195"/>
      <c r="X813" s="195"/>
      <c r="Y813" s="195"/>
      <c r="Z813" s="195"/>
      <c r="AA813" s="195"/>
      <c r="AB813" s="195"/>
      <c r="AC813" s="195"/>
      <c r="AD813" s="195"/>
      <c r="AE813" s="195"/>
      <c r="AR813" s="210"/>
      <c r="AT813" s="210"/>
      <c r="AU813" s="210"/>
      <c r="AY813" s="211"/>
      <c r="BE813" s="212"/>
      <c r="BF813" s="212"/>
      <c r="BG813" s="212"/>
      <c r="BH813" s="212"/>
      <c r="BI813" s="212"/>
      <c r="BJ813" s="211"/>
      <c r="BK813" s="212"/>
      <c r="BL813" s="211"/>
      <c r="BM813" s="210"/>
    </row>
    <row r="814" spans="1:65" s="2" customFormat="1" ht="37.9" customHeight="1">
      <c r="A814" s="29"/>
      <c r="B814" s="152"/>
      <c r="C814" s="167" t="s">
        <v>553</v>
      </c>
      <c r="D814" s="167" t="s">
        <v>202</v>
      </c>
      <c r="E814" s="168" t="s">
        <v>904</v>
      </c>
      <c r="F814" s="169" t="s">
        <v>905</v>
      </c>
      <c r="G814" s="170" t="s">
        <v>184</v>
      </c>
      <c r="H814" s="171">
        <v>46.5</v>
      </c>
      <c r="I814" s="172"/>
      <c r="J814" s="173">
        <v>0</v>
      </c>
      <c r="K814" s="174"/>
      <c r="L814" s="175"/>
      <c r="M814" s="176" t="s">
        <v>1</v>
      </c>
      <c r="N814" s="177" t="s">
        <v>35</v>
      </c>
      <c r="O814" s="58"/>
      <c r="P814" s="163">
        <f>O814*H814</f>
        <v>0</v>
      </c>
      <c r="Q814" s="163">
        <v>0</v>
      </c>
      <c r="R814" s="163">
        <f>Q814*H814</f>
        <v>0</v>
      </c>
      <c r="S814" s="163">
        <v>0</v>
      </c>
      <c r="T814" s="164">
        <f>S814*H814</f>
        <v>0</v>
      </c>
      <c r="U814" s="29"/>
      <c r="V814" s="29"/>
      <c r="W814" s="29"/>
      <c r="X814" s="29"/>
      <c r="Y814" s="29"/>
      <c r="Z814" s="29"/>
      <c r="AA814" s="29"/>
      <c r="AB814" s="29"/>
      <c r="AC814" s="29"/>
      <c r="AD814" s="29"/>
      <c r="AE814" s="29"/>
      <c r="AR814" s="165" t="s">
        <v>242</v>
      </c>
      <c r="AT814" s="165" t="s">
        <v>202</v>
      </c>
      <c r="AU814" s="165" t="s">
        <v>82</v>
      </c>
      <c r="AY814" s="14" t="s">
        <v>179</v>
      </c>
      <c r="BE814" s="166">
        <f>IF(N814="základná",J814,0)</f>
        <v>0</v>
      </c>
      <c r="BF814" s="166">
        <f>IF(N814="znížená",J814,0)</f>
        <v>0</v>
      </c>
      <c r="BG814" s="166">
        <f>IF(N814="zákl. prenesená",J814,0)</f>
        <v>0</v>
      </c>
      <c r="BH814" s="166">
        <f>IF(N814="zníž. prenesená",J814,0)</f>
        <v>0</v>
      </c>
      <c r="BI814" s="166">
        <f>IF(N814="nulová",J814,0)</f>
        <v>0</v>
      </c>
      <c r="BJ814" s="14" t="s">
        <v>82</v>
      </c>
      <c r="BK814" s="166">
        <f>ROUND(I814*H814,2)</f>
        <v>0</v>
      </c>
      <c r="BL814" s="14" t="s">
        <v>213</v>
      </c>
      <c r="BM814" s="165" t="s">
        <v>906</v>
      </c>
    </row>
    <row r="815" spans="1:65" s="209" customFormat="1" ht="12">
      <c r="A815" s="195"/>
      <c r="B815" s="196"/>
      <c r="C815" s="197"/>
      <c r="D815" s="197"/>
      <c r="E815" s="198"/>
      <c r="F815" s="184" t="s">
        <v>3235</v>
      </c>
      <c r="G815" s="226"/>
      <c r="H815" s="186">
        <f>ROUND(44.3*1.05,1)</f>
        <v>46.5</v>
      </c>
      <c r="I815" s="194"/>
      <c r="J815" s="194"/>
      <c r="K815" s="202"/>
      <c r="L815" s="203"/>
      <c r="M815" s="204"/>
      <c r="N815" s="205"/>
      <c r="O815" s="206"/>
      <c r="P815" s="207"/>
      <c r="Q815" s="207"/>
      <c r="R815" s="207"/>
      <c r="S815" s="207"/>
      <c r="T815" s="208"/>
      <c r="U815" s="195"/>
      <c r="V815" s="195"/>
      <c r="W815" s="195"/>
      <c r="X815" s="195"/>
      <c r="Y815" s="195"/>
      <c r="Z815" s="195"/>
      <c r="AA815" s="195"/>
      <c r="AB815" s="195"/>
      <c r="AC815" s="195"/>
      <c r="AD815" s="195"/>
      <c r="AE815" s="195"/>
      <c r="AR815" s="210"/>
      <c r="AT815" s="210"/>
      <c r="AU815" s="210"/>
      <c r="AY815" s="211"/>
      <c r="BE815" s="212"/>
      <c r="BF815" s="212"/>
      <c r="BG815" s="212"/>
      <c r="BH815" s="212"/>
      <c r="BI815" s="212"/>
      <c r="BJ815" s="211"/>
      <c r="BK815" s="212"/>
      <c r="BL815" s="211"/>
      <c r="BM815" s="210"/>
    </row>
    <row r="816" spans="1:65" s="209" customFormat="1" ht="12">
      <c r="A816" s="195"/>
      <c r="B816" s="196"/>
      <c r="C816" s="197"/>
      <c r="D816" s="197"/>
      <c r="E816" s="198"/>
      <c r="F816" s="187" t="s">
        <v>2983</v>
      </c>
      <c r="G816" s="188"/>
      <c r="H816" s="189">
        <f>ROUND(SUM(H815:H815),2)</f>
        <v>46.5</v>
      </c>
      <c r="I816" s="194"/>
      <c r="J816" s="194"/>
      <c r="K816" s="202"/>
      <c r="L816" s="203"/>
      <c r="M816" s="204"/>
      <c r="N816" s="205"/>
      <c r="O816" s="206"/>
      <c r="P816" s="207"/>
      <c r="Q816" s="207"/>
      <c r="R816" s="207"/>
      <c r="S816" s="207"/>
      <c r="T816" s="208"/>
      <c r="U816" s="195"/>
      <c r="V816" s="195"/>
      <c r="W816" s="195"/>
      <c r="X816" s="195"/>
      <c r="Y816" s="195"/>
      <c r="Z816" s="195"/>
      <c r="AA816" s="195"/>
      <c r="AB816" s="195"/>
      <c r="AC816" s="195"/>
      <c r="AD816" s="195"/>
      <c r="AE816" s="195"/>
      <c r="AR816" s="210"/>
      <c r="AT816" s="210"/>
      <c r="AU816" s="210"/>
      <c r="AY816" s="211"/>
      <c r="BE816" s="212"/>
      <c r="BF816" s="212"/>
      <c r="BG816" s="212"/>
      <c r="BH816" s="212"/>
      <c r="BI816" s="212"/>
      <c r="BJ816" s="211"/>
      <c r="BK816" s="212"/>
      <c r="BL816" s="211"/>
      <c r="BM816" s="210"/>
    </row>
    <row r="817" spans="1:65" s="2" customFormat="1" ht="24.2" customHeight="1">
      <c r="A817" s="29"/>
      <c r="B817" s="152"/>
      <c r="C817" s="153" t="s">
        <v>907</v>
      </c>
      <c r="D817" s="153" t="s">
        <v>181</v>
      </c>
      <c r="E817" s="154" t="s">
        <v>908</v>
      </c>
      <c r="F817" s="155" t="s">
        <v>909</v>
      </c>
      <c r="G817" s="156" t="s">
        <v>585</v>
      </c>
      <c r="H817" s="178"/>
      <c r="I817" s="158"/>
      <c r="J817" s="159">
        <v>0</v>
      </c>
      <c r="K817" s="160"/>
      <c r="L817" s="30"/>
      <c r="M817" s="161" t="s">
        <v>1</v>
      </c>
      <c r="N817" s="162" t="s">
        <v>35</v>
      </c>
      <c r="O817" s="58"/>
      <c r="P817" s="163">
        <f>O817*H817</f>
        <v>0</v>
      </c>
      <c r="Q817" s="163">
        <v>0</v>
      </c>
      <c r="R817" s="163">
        <f>Q817*H817</f>
        <v>0</v>
      </c>
      <c r="S817" s="163">
        <v>0</v>
      </c>
      <c r="T817" s="164">
        <f>S817*H817</f>
        <v>0</v>
      </c>
      <c r="U817" s="29"/>
      <c r="V817" s="29"/>
      <c r="W817" s="29"/>
      <c r="X817" s="29"/>
      <c r="Y817" s="29"/>
      <c r="Z817" s="29"/>
      <c r="AA817" s="29"/>
      <c r="AB817" s="29"/>
      <c r="AC817" s="29"/>
      <c r="AD817" s="29"/>
      <c r="AE817" s="29"/>
      <c r="AR817" s="165" t="s">
        <v>213</v>
      </c>
      <c r="AT817" s="165" t="s">
        <v>181</v>
      </c>
      <c r="AU817" s="165" t="s">
        <v>82</v>
      </c>
      <c r="AY817" s="14" t="s">
        <v>179</v>
      </c>
      <c r="BE817" s="166">
        <f>IF(N817="základná",J817,0)</f>
        <v>0</v>
      </c>
      <c r="BF817" s="166">
        <f>IF(N817="znížená",J817,0)</f>
        <v>0</v>
      </c>
      <c r="BG817" s="166">
        <f>IF(N817="zákl. prenesená",J817,0)</f>
        <v>0</v>
      </c>
      <c r="BH817" s="166">
        <f>IF(N817="zníž. prenesená",J817,0)</f>
        <v>0</v>
      </c>
      <c r="BI817" s="166">
        <f>IF(N817="nulová",J817,0)</f>
        <v>0</v>
      </c>
      <c r="BJ817" s="14" t="s">
        <v>82</v>
      </c>
      <c r="BK817" s="166">
        <f>ROUND(I817*H817,2)</f>
        <v>0</v>
      </c>
      <c r="BL817" s="14" t="s">
        <v>213</v>
      </c>
      <c r="BM817" s="165" t="s">
        <v>910</v>
      </c>
    </row>
    <row r="818" spans="1:65" s="12" customFormat="1" ht="22.9" customHeight="1">
      <c r="B818" s="139"/>
      <c r="D818" s="140" t="s">
        <v>68</v>
      </c>
      <c r="E818" s="150" t="s">
        <v>911</v>
      </c>
      <c r="F818" s="150" t="s">
        <v>912</v>
      </c>
      <c r="I818" s="142"/>
      <c r="J818" s="151">
        <v>0</v>
      </c>
      <c r="L818" s="139"/>
      <c r="M818" s="144"/>
      <c r="N818" s="145"/>
      <c r="O818" s="145"/>
      <c r="P818" s="146">
        <f>SUM(P819:P825)</f>
        <v>0</v>
      </c>
      <c r="Q818" s="145"/>
      <c r="R818" s="146">
        <f>SUM(R819:R825)</f>
        <v>1.3476467000000001</v>
      </c>
      <c r="S818" s="145"/>
      <c r="T818" s="147">
        <f>SUM(T819:T825)</f>
        <v>0</v>
      </c>
      <c r="AR818" s="140" t="s">
        <v>82</v>
      </c>
      <c r="AT818" s="148" t="s">
        <v>68</v>
      </c>
      <c r="AU818" s="148" t="s">
        <v>76</v>
      </c>
      <c r="AY818" s="140" t="s">
        <v>179</v>
      </c>
      <c r="BK818" s="149">
        <f>SUM(BK819:BK825)</f>
        <v>0</v>
      </c>
    </row>
    <row r="819" spans="1:65" s="2" customFormat="1" ht="37.9" customHeight="1">
      <c r="A819" s="29"/>
      <c r="B819" s="152"/>
      <c r="C819" s="153" t="s">
        <v>560</v>
      </c>
      <c r="D819" s="153" t="s">
        <v>181</v>
      </c>
      <c r="E819" s="154" t="s">
        <v>913</v>
      </c>
      <c r="F819" s="155" t="s">
        <v>914</v>
      </c>
      <c r="G819" s="156" t="s">
        <v>184</v>
      </c>
      <c r="H819" s="157">
        <v>27.8</v>
      </c>
      <c r="I819" s="158"/>
      <c r="J819" s="159">
        <v>0</v>
      </c>
      <c r="K819" s="160"/>
      <c r="L819" s="30"/>
      <c r="M819" s="161" t="s">
        <v>1</v>
      </c>
      <c r="N819" s="162" t="s">
        <v>35</v>
      </c>
      <c r="O819" s="58"/>
      <c r="P819" s="163">
        <f>O819*H819</f>
        <v>0</v>
      </c>
      <c r="Q819" s="163">
        <v>4.8476499999999999E-2</v>
      </c>
      <c r="R819" s="163">
        <f>Q819*H819</f>
        <v>1.3476467000000001</v>
      </c>
      <c r="S819" s="163">
        <v>0</v>
      </c>
      <c r="T819" s="164">
        <f>S819*H819</f>
        <v>0</v>
      </c>
      <c r="U819" s="29"/>
      <c r="V819" s="29"/>
      <c r="W819" s="29"/>
      <c r="X819" s="29"/>
      <c r="Y819" s="29"/>
      <c r="Z819" s="29"/>
      <c r="AA819" s="29"/>
      <c r="AB819" s="29"/>
      <c r="AC819" s="29"/>
      <c r="AD819" s="29"/>
      <c r="AE819" s="29"/>
      <c r="AR819" s="165" t="s">
        <v>213</v>
      </c>
      <c r="AT819" s="165" t="s">
        <v>181</v>
      </c>
      <c r="AU819" s="165" t="s">
        <v>82</v>
      </c>
      <c r="AY819" s="14" t="s">
        <v>179</v>
      </c>
      <c r="BE819" s="166">
        <f>IF(N819="základná",J819,0)</f>
        <v>0</v>
      </c>
      <c r="BF819" s="166">
        <f>IF(N819="znížená",J819,0)</f>
        <v>0</v>
      </c>
      <c r="BG819" s="166">
        <f>IF(N819="zákl. prenesená",J819,0)</f>
        <v>0</v>
      </c>
      <c r="BH819" s="166">
        <f>IF(N819="zníž. prenesená",J819,0)</f>
        <v>0</v>
      </c>
      <c r="BI819" s="166">
        <f>IF(N819="nulová",J819,0)</f>
        <v>0</v>
      </c>
      <c r="BJ819" s="14" t="s">
        <v>82</v>
      </c>
      <c r="BK819" s="166">
        <f>ROUND(I819*H819,2)</f>
        <v>0</v>
      </c>
      <c r="BL819" s="14" t="s">
        <v>213</v>
      </c>
      <c r="BM819" s="165" t="s">
        <v>915</v>
      </c>
    </row>
    <row r="820" spans="1:65" s="209" customFormat="1" ht="12">
      <c r="A820" s="195"/>
      <c r="B820" s="196"/>
      <c r="C820" s="197"/>
      <c r="D820" s="197"/>
      <c r="E820" s="198"/>
      <c r="F820" s="184" t="s">
        <v>3019</v>
      </c>
      <c r="G820" s="226"/>
      <c r="H820" s="192">
        <v>27.8</v>
      </c>
      <c r="I820" s="194"/>
      <c r="J820" s="194"/>
      <c r="K820" s="202"/>
      <c r="L820" s="203"/>
      <c r="M820" s="204"/>
      <c r="N820" s="205"/>
      <c r="O820" s="206"/>
      <c r="P820" s="207"/>
      <c r="Q820" s="207"/>
      <c r="R820" s="207"/>
      <c r="S820" s="207"/>
      <c r="T820" s="208"/>
      <c r="U820" s="195"/>
      <c r="V820" s="195"/>
      <c r="W820" s="195"/>
      <c r="X820" s="195"/>
      <c r="Y820" s="195"/>
      <c r="Z820" s="195"/>
      <c r="AA820" s="195"/>
      <c r="AB820" s="195"/>
      <c r="AC820" s="195"/>
      <c r="AD820" s="195"/>
      <c r="AE820" s="195"/>
      <c r="AR820" s="210"/>
      <c r="AT820" s="210"/>
      <c r="AU820" s="210"/>
      <c r="AY820" s="211"/>
      <c r="BE820" s="212"/>
      <c r="BF820" s="212"/>
      <c r="BG820" s="212"/>
      <c r="BH820" s="212"/>
      <c r="BI820" s="212"/>
      <c r="BJ820" s="211"/>
      <c r="BK820" s="212"/>
      <c r="BL820" s="211"/>
      <c r="BM820" s="210"/>
    </row>
    <row r="821" spans="1:65" s="209" customFormat="1" ht="12">
      <c r="A821" s="195"/>
      <c r="B821" s="196"/>
      <c r="C821" s="197"/>
      <c r="D821" s="197"/>
      <c r="E821" s="198"/>
      <c r="F821" s="187" t="s">
        <v>2983</v>
      </c>
      <c r="G821" s="188"/>
      <c r="H821" s="189">
        <f>ROUND(SUM(H820:H820),2)</f>
        <v>27.8</v>
      </c>
      <c r="I821" s="194"/>
      <c r="J821" s="194"/>
      <c r="K821" s="202"/>
      <c r="L821" s="203"/>
      <c r="M821" s="204"/>
      <c r="N821" s="205"/>
      <c r="O821" s="206"/>
      <c r="P821" s="207"/>
      <c r="Q821" s="207"/>
      <c r="R821" s="207"/>
      <c r="S821" s="207"/>
      <c r="T821" s="208"/>
      <c r="U821" s="195"/>
      <c r="V821" s="195"/>
      <c r="W821" s="195"/>
      <c r="X821" s="195"/>
      <c r="Y821" s="195"/>
      <c r="Z821" s="195"/>
      <c r="AA821" s="195"/>
      <c r="AB821" s="195"/>
      <c r="AC821" s="195"/>
      <c r="AD821" s="195"/>
      <c r="AE821" s="195"/>
      <c r="AR821" s="210"/>
      <c r="AT821" s="210"/>
      <c r="AU821" s="210"/>
      <c r="AY821" s="211"/>
      <c r="BE821" s="212"/>
      <c r="BF821" s="212"/>
      <c r="BG821" s="212"/>
      <c r="BH821" s="212"/>
      <c r="BI821" s="212"/>
      <c r="BJ821" s="211"/>
      <c r="BK821" s="212"/>
      <c r="BL821" s="211"/>
      <c r="BM821" s="210"/>
    </row>
    <row r="822" spans="1:65" s="2" customFormat="1" ht="24.2" customHeight="1">
      <c r="A822" s="29"/>
      <c r="B822" s="152"/>
      <c r="C822" s="167" t="s">
        <v>916</v>
      </c>
      <c r="D822" s="167" t="s">
        <v>202</v>
      </c>
      <c r="E822" s="168" t="s">
        <v>917</v>
      </c>
      <c r="F822" s="169" t="s">
        <v>918</v>
      </c>
      <c r="G822" s="170" t="s">
        <v>184</v>
      </c>
      <c r="H822" s="171">
        <v>29.2</v>
      </c>
      <c r="I822" s="172"/>
      <c r="J822" s="173">
        <v>0</v>
      </c>
      <c r="K822" s="174"/>
      <c r="L822" s="175"/>
      <c r="M822" s="176" t="s">
        <v>1</v>
      </c>
      <c r="N822" s="177" t="s">
        <v>35</v>
      </c>
      <c r="O822" s="58"/>
      <c r="P822" s="163">
        <f>O822*H822</f>
        <v>0</v>
      </c>
      <c r="Q822" s="163">
        <v>0</v>
      </c>
      <c r="R822" s="163">
        <f>Q822*H822</f>
        <v>0</v>
      </c>
      <c r="S822" s="163">
        <v>0</v>
      </c>
      <c r="T822" s="164">
        <f>S822*H822</f>
        <v>0</v>
      </c>
      <c r="U822" s="29"/>
      <c r="V822" s="29"/>
      <c r="W822" s="29"/>
      <c r="X822" s="29"/>
      <c r="Y822" s="29"/>
      <c r="Z822" s="29"/>
      <c r="AA822" s="29"/>
      <c r="AB822" s="29"/>
      <c r="AC822" s="29"/>
      <c r="AD822" s="29"/>
      <c r="AE822" s="29"/>
      <c r="AR822" s="165" t="s">
        <v>242</v>
      </c>
      <c r="AT822" s="165" t="s">
        <v>202</v>
      </c>
      <c r="AU822" s="165" t="s">
        <v>82</v>
      </c>
      <c r="AY822" s="14" t="s">
        <v>179</v>
      </c>
      <c r="BE822" s="166">
        <f>IF(N822="základná",J822,0)</f>
        <v>0</v>
      </c>
      <c r="BF822" s="166">
        <f>IF(N822="znížená",J822,0)</f>
        <v>0</v>
      </c>
      <c r="BG822" s="166">
        <f>IF(N822="zákl. prenesená",J822,0)</f>
        <v>0</v>
      </c>
      <c r="BH822" s="166">
        <f>IF(N822="zníž. prenesená",J822,0)</f>
        <v>0</v>
      </c>
      <c r="BI822" s="166">
        <f>IF(N822="nulová",J822,0)</f>
        <v>0</v>
      </c>
      <c r="BJ822" s="14" t="s">
        <v>82</v>
      </c>
      <c r="BK822" s="166">
        <f>ROUND(I822*H822,2)</f>
        <v>0</v>
      </c>
      <c r="BL822" s="14" t="s">
        <v>213</v>
      </c>
      <c r="BM822" s="165" t="s">
        <v>919</v>
      </c>
    </row>
    <row r="823" spans="1:65" s="209" customFormat="1" ht="12">
      <c r="A823" s="195"/>
      <c r="B823" s="196"/>
      <c r="C823" s="197"/>
      <c r="D823" s="197"/>
      <c r="E823" s="198"/>
      <c r="F823" s="184" t="s">
        <v>3236</v>
      </c>
      <c r="G823" s="226"/>
      <c r="H823" s="186">
        <f>ROUND(27.8*1.05,1)</f>
        <v>29.2</v>
      </c>
      <c r="I823" s="194"/>
      <c r="J823" s="194"/>
      <c r="K823" s="202"/>
      <c r="L823" s="203"/>
      <c r="M823" s="204"/>
      <c r="N823" s="205"/>
      <c r="O823" s="206"/>
      <c r="P823" s="207"/>
      <c r="Q823" s="207"/>
      <c r="R823" s="207"/>
      <c r="S823" s="207"/>
      <c r="T823" s="208"/>
      <c r="U823" s="195"/>
      <c r="V823" s="195"/>
      <c r="W823" s="195"/>
      <c r="X823" s="195"/>
      <c r="Y823" s="195"/>
      <c r="Z823" s="195"/>
      <c r="AA823" s="195"/>
      <c r="AB823" s="195"/>
      <c r="AC823" s="195"/>
      <c r="AD823" s="195"/>
      <c r="AE823" s="195"/>
      <c r="AR823" s="210"/>
      <c r="AT823" s="210"/>
      <c r="AU823" s="210"/>
      <c r="AY823" s="211"/>
      <c r="BE823" s="212"/>
      <c r="BF823" s="212"/>
      <c r="BG823" s="212"/>
      <c r="BH823" s="212"/>
      <c r="BI823" s="212"/>
      <c r="BJ823" s="211"/>
      <c r="BK823" s="212"/>
      <c r="BL823" s="211"/>
      <c r="BM823" s="210"/>
    </row>
    <row r="824" spans="1:65" s="209" customFormat="1" ht="12">
      <c r="A824" s="195"/>
      <c r="B824" s="196"/>
      <c r="C824" s="197"/>
      <c r="D824" s="197"/>
      <c r="E824" s="198"/>
      <c r="F824" s="187" t="s">
        <v>2983</v>
      </c>
      <c r="G824" s="188"/>
      <c r="H824" s="189">
        <f>ROUND(SUM(H823:H823),2)</f>
        <v>29.2</v>
      </c>
      <c r="I824" s="194"/>
      <c r="J824" s="194"/>
      <c r="K824" s="202"/>
      <c r="L824" s="203"/>
      <c r="M824" s="204"/>
      <c r="N824" s="205"/>
      <c r="O824" s="206"/>
      <c r="P824" s="207"/>
      <c r="Q824" s="207"/>
      <c r="R824" s="207"/>
      <c r="S824" s="207"/>
      <c r="T824" s="208"/>
      <c r="U824" s="195"/>
      <c r="V824" s="195"/>
      <c r="W824" s="195"/>
      <c r="X824" s="195"/>
      <c r="Y824" s="195"/>
      <c r="Z824" s="195"/>
      <c r="AA824" s="195"/>
      <c r="AB824" s="195"/>
      <c r="AC824" s="195"/>
      <c r="AD824" s="195"/>
      <c r="AE824" s="195"/>
      <c r="AR824" s="210"/>
      <c r="AT824" s="210"/>
      <c r="AU824" s="210"/>
      <c r="AY824" s="211"/>
      <c r="BE824" s="212"/>
      <c r="BF824" s="212"/>
      <c r="BG824" s="212"/>
      <c r="BH824" s="212"/>
      <c r="BI824" s="212"/>
      <c r="BJ824" s="211"/>
      <c r="BK824" s="212"/>
      <c r="BL824" s="211"/>
      <c r="BM824" s="210"/>
    </row>
    <row r="825" spans="1:65" s="2" customFormat="1" ht="24.2" customHeight="1">
      <c r="A825" s="29"/>
      <c r="B825" s="152"/>
      <c r="C825" s="153" t="s">
        <v>567</v>
      </c>
      <c r="D825" s="153" t="s">
        <v>181</v>
      </c>
      <c r="E825" s="154" t="s">
        <v>920</v>
      </c>
      <c r="F825" s="155" t="s">
        <v>921</v>
      </c>
      <c r="G825" s="156" t="s">
        <v>585</v>
      </c>
      <c r="H825" s="178"/>
      <c r="I825" s="158"/>
      <c r="J825" s="159">
        <v>0</v>
      </c>
      <c r="K825" s="160"/>
      <c r="L825" s="30"/>
      <c r="M825" s="161" t="s">
        <v>1</v>
      </c>
      <c r="N825" s="162" t="s">
        <v>35</v>
      </c>
      <c r="O825" s="58"/>
      <c r="P825" s="163">
        <f>O825*H825</f>
        <v>0</v>
      </c>
      <c r="Q825" s="163">
        <v>0</v>
      </c>
      <c r="R825" s="163">
        <f>Q825*H825</f>
        <v>0</v>
      </c>
      <c r="S825" s="163">
        <v>0</v>
      </c>
      <c r="T825" s="164">
        <f>S825*H825</f>
        <v>0</v>
      </c>
      <c r="U825" s="29"/>
      <c r="V825" s="29"/>
      <c r="W825" s="29"/>
      <c r="X825" s="29"/>
      <c r="Y825" s="29"/>
      <c r="Z825" s="29"/>
      <c r="AA825" s="29"/>
      <c r="AB825" s="29"/>
      <c r="AC825" s="29"/>
      <c r="AD825" s="29"/>
      <c r="AE825" s="29"/>
      <c r="AR825" s="165" t="s">
        <v>213</v>
      </c>
      <c r="AT825" s="165" t="s">
        <v>181</v>
      </c>
      <c r="AU825" s="165" t="s">
        <v>82</v>
      </c>
      <c r="AY825" s="14" t="s">
        <v>179</v>
      </c>
      <c r="BE825" s="166">
        <f>IF(N825="základná",J825,0)</f>
        <v>0</v>
      </c>
      <c r="BF825" s="166">
        <f>IF(N825="znížená",J825,0)</f>
        <v>0</v>
      </c>
      <c r="BG825" s="166">
        <f>IF(N825="zákl. prenesená",J825,0)</f>
        <v>0</v>
      </c>
      <c r="BH825" s="166">
        <f>IF(N825="zníž. prenesená",J825,0)</f>
        <v>0</v>
      </c>
      <c r="BI825" s="166">
        <f>IF(N825="nulová",J825,0)</f>
        <v>0</v>
      </c>
      <c r="BJ825" s="14" t="s">
        <v>82</v>
      </c>
      <c r="BK825" s="166">
        <f>ROUND(I825*H825,2)</f>
        <v>0</v>
      </c>
      <c r="BL825" s="14" t="s">
        <v>213</v>
      </c>
      <c r="BM825" s="165" t="s">
        <v>922</v>
      </c>
    </row>
    <row r="826" spans="1:65" s="12" customFormat="1" ht="22.9" customHeight="1">
      <c r="B826" s="139"/>
      <c r="D826" s="140" t="s">
        <v>68</v>
      </c>
      <c r="E826" s="150" t="s">
        <v>923</v>
      </c>
      <c r="F826" s="150" t="s">
        <v>924</v>
      </c>
      <c r="I826" s="142"/>
      <c r="J826" s="151">
        <v>0</v>
      </c>
      <c r="L826" s="139"/>
      <c r="M826" s="144"/>
      <c r="N826" s="145"/>
      <c r="O826" s="145"/>
      <c r="P826" s="146">
        <f>SUM(P827:P857)</f>
        <v>0</v>
      </c>
      <c r="Q826" s="145"/>
      <c r="R826" s="146">
        <f>SUM(R827:R857)</f>
        <v>0.35815140000000001</v>
      </c>
      <c r="S826" s="145"/>
      <c r="T826" s="147">
        <f>SUM(T827:T857)</f>
        <v>0</v>
      </c>
      <c r="AR826" s="140" t="s">
        <v>82</v>
      </c>
      <c r="AT826" s="148" t="s">
        <v>68</v>
      </c>
      <c r="AU826" s="148" t="s">
        <v>76</v>
      </c>
      <c r="AY826" s="140" t="s">
        <v>179</v>
      </c>
      <c r="BK826" s="149">
        <f>SUM(BK827:BK857)</f>
        <v>0</v>
      </c>
    </row>
    <row r="827" spans="1:65" s="2" customFormat="1" ht="37.9" customHeight="1">
      <c r="A827" s="29"/>
      <c r="B827" s="152"/>
      <c r="C827" s="153" t="s">
        <v>925</v>
      </c>
      <c r="D827" s="153" t="s">
        <v>181</v>
      </c>
      <c r="E827" s="154" t="s">
        <v>926</v>
      </c>
      <c r="F827" s="155" t="s">
        <v>927</v>
      </c>
      <c r="G827" s="156" t="s">
        <v>184</v>
      </c>
      <c r="H827" s="157">
        <v>72.39</v>
      </c>
      <c r="I827" s="158"/>
      <c r="J827" s="159">
        <v>0</v>
      </c>
      <c r="K827" s="160"/>
      <c r="L827" s="30"/>
      <c r="M827" s="161" t="s">
        <v>1</v>
      </c>
      <c r="N827" s="162" t="s">
        <v>35</v>
      </c>
      <c r="O827" s="58"/>
      <c r="P827" s="163">
        <f>O827*H827</f>
        <v>0</v>
      </c>
      <c r="Q827" s="163">
        <v>0</v>
      </c>
      <c r="R827" s="163">
        <f>Q827*H827</f>
        <v>0</v>
      </c>
      <c r="S827" s="163">
        <v>0</v>
      </c>
      <c r="T827" s="164">
        <f>S827*H827</f>
        <v>0</v>
      </c>
      <c r="U827" s="29"/>
      <c r="V827" s="29"/>
      <c r="W827" s="29"/>
      <c r="X827" s="29"/>
      <c r="Y827" s="29"/>
      <c r="Z827" s="29"/>
      <c r="AA827" s="29"/>
      <c r="AB827" s="29"/>
      <c r="AC827" s="29"/>
      <c r="AD827" s="29"/>
      <c r="AE827" s="29"/>
      <c r="AR827" s="165" t="s">
        <v>213</v>
      </c>
      <c r="AT827" s="165" t="s">
        <v>181</v>
      </c>
      <c r="AU827" s="165" t="s">
        <v>82</v>
      </c>
      <c r="AY827" s="14" t="s">
        <v>179</v>
      </c>
      <c r="BE827" s="166">
        <f>IF(N827="základná",J827,0)</f>
        <v>0</v>
      </c>
      <c r="BF827" s="166">
        <f>IF(N827="znížená",J827,0)</f>
        <v>0</v>
      </c>
      <c r="BG827" s="166">
        <f>IF(N827="zákl. prenesená",J827,0)</f>
        <v>0</v>
      </c>
      <c r="BH827" s="166">
        <f>IF(N827="zníž. prenesená",J827,0)</f>
        <v>0</v>
      </c>
      <c r="BI827" s="166">
        <f>IF(N827="nulová",J827,0)</f>
        <v>0</v>
      </c>
      <c r="BJ827" s="14" t="s">
        <v>82</v>
      </c>
      <c r="BK827" s="166">
        <f>ROUND(I827*H827,2)</f>
        <v>0</v>
      </c>
      <c r="BL827" s="14" t="s">
        <v>213</v>
      </c>
      <c r="BM827" s="165" t="s">
        <v>928</v>
      </c>
    </row>
    <row r="828" spans="1:65" s="209" customFormat="1" ht="12">
      <c r="A828" s="195"/>
      <c r="B828" s="196"/>
      <c r="C828" s="197"/>
      <c r="D828" s="197"/>
      <c r="E828" s="198"/>
      <c r="F828" s="213" t="s">
        <v>3237</v>
      </c>
      <c r="G828" s="222"/>
      <c r="H828" s="214">
        <v>2.56</v>
      </c>
      <c r="I828" s="194"/>
      <c r="J828" s="194"/>
      <c r="K828" s="202"/>
      <c r="L828" s="203"/>
      <c r="M828" s="204"/>
      <c r="N828" s="205"/>
      <c r="O828" s="206"/>
      <c r="P828" s="207"/>
      <c r="Q828" s="207"/>
      <c r="R828" s="207"/>
      <c r="S828" s="207"/>
      <c r="T828" s="208"/>
      <c r="U828" s="195"/>
      <c r="V828" s="195"/>
      <c r="W828" s="195"/>
      <c r="X828" s="195"/>
      <c r="Y828" s="195"/>
      <c r="Z828" s="195"/>
      <c r="AA828" s="195"/>
      <c r="AB828" s="195"/>
      <c r="AC828" s="195"/>
      <c r="AD828" s="195"/>
      <c r="AE828" s="195"/>
      <c r="AR828" s="210"/>
      <c r="AT828" s="210"/>
      <c r="AU828" s="210"/>
      <c r="AY828" s="211"/>
      <c r="BE828" s="212"/>
      <c r="BF828" s="212"/>
      <c r="BG828" s="212"/>
      <c r="BH828" s="212"/>
      <c r="BI828" s="212"/>
      <c r="BJ828" s="211"/>
      <c r="BK828" s="212"/>
      <c r="BL828" s="211"/>
      <c r="BM828" s="210"/>
    </row>
    <row r="829" spans="1:65" s="209" customFormat="1" ht="12">
      <c r="A829" s="195"/>
      <c r="B829" s="196"/>
      <c r="C829" s="197"/>
      <c r="D829" s="197"/>
      <c r="E829" s="198"/>
      <c r="F829" s="213" t="s">
        <v>3238</v>
      </c>
      <c r="G829" s="222"/>
      <c r="H829" s="214">
        <v>3.13</v>
      </c>
      <c r="I829" s="194"/>
      <c r="J829" s="194"/>
      <c r="K829" s="202"/>
      <c r="L829" s="203"/>
      <c r="M829" s="204"/>
      <c r="N829" s="205"/>
      <c r="O829" s="206"/>
      <c r="P829" s="207"/>
      <c r="Q829" s="207"/>
      <c r="R829" s="207"/>
      <c r="S829" s="207"/>
      <c r="T829" s="208"/>
      <c r="U829" s="195"/>
      <c r="V829" s="195"/>
      <c r="W829" s="195"/>
      <c r="X829" s="195"/>
      <c r="Y829" s="195"/>
      <c r="Z829" s="195"/>
      <c r="AA829" s="195"/>
      <c r="AB829" s="195"/>
      <c r="AC829" s="195"/>
      <c r="AD829" s="195"/>
      <c r="AE829" s="195"/>
      <c r="AR829" s="210"/>
      <c r="AT829" s="210"/>
      <c r="AU829" s="210"/>
      <c r="AY829" s="211"/>
      <c r="BE829" s="212"/>
      <c r="BF829" s="212"/>
      <c r="BG829" s="212"/>
      <c r="BH829" s="212"/>
      <c r="BI829" s="212"/>
      <c r="BJ829" s="211"/>
      <c r="BK829" s="212"/>
      <c r="BL829" s="211"/>
      <c r="BM829" s="210"/>
    </row>
    <row r="830" spans="1:65" s="209" customFormat="1" ht="22.5">
      <c r="A830" s="195"/>
      <c r="B830" s="196"/>
      <c r="C830" s="197"/>
      <c r="D830" s="197"/>
      <c r="E830" s="198"/>
      <c r="F830" s="213" t="s">
        <v>3239</v>
      </c>
      <c r="G830" s="222"/>
      <c r="H830" s="214">
        <v>6.7</v>
      </c>
      <c r="I830" s="194"/>
      <c r="J830" s="194"/>
      <c r="K830" s="202"/>
      <c r="L830" s="203"/>
      <c r="M830" s="204"/>
      <c r="N830" s="205"/>
      <c r="O830" s="206"/>
      <c r="P830" s="207"/>
      <c r="Q830" s="207"/>
      <c r="R830" s="207"/>
      <c r="S830" s="207"/>
      <c r="T830" s="208"/>
      <c r="U830" s="195"/>
      <c r="V830" s="195"/>
      <c r="W830" s="195"/>
      <c r="X830" s="195"/>
      <c r="Y830" s="195"/>
      <c r="Z830" s="195"/>
      <c r="AA830" s="195"/>
      <c r="AB830" s="195"/>
      <c r="AC830" s="195"/>
      <c r="AD830" s="195"/>
      <c r="AE830" s="195"/>
      <c r="AR830" s="210"/>
      <c r="AT830" s="210"/>
      <c r="AU830" s="210"/>
      <c r="AY830" s="211"/>
      <c r="BE830" s="212"/>
      <c r="BF830" s="212"/>
      <c r="BG830" s="212"/>
      <c r="BH830" s="212"/>
      <c r="BI830" s="212"/>
      <c r="BJ830" s="211"/>
      <c r="BK830" s="212"/>
      <c r="BL830" s="211"/>
      <c r="BM830" s="210"/>
    </row>
    <row r="831" spans="1:65" s="209" customFormat="1" ht="12">
      <c r="A831" s="195"/>
      <c r="B831" s="196"/>
      <c r="C831" s="197"/>
      <c r="D831" s="197"/>
      <c r="E831" s="198"/>
      <c r="F831" s="247" t="s">
        <v>3240</v>
      </c>
      <c r="G831" s="222"/>
      <c r="H831" s="214">
        <f>50*1.2</f>
        <v>60</v>
      </c>
      <c r="I831" s="194"/>
      <c r="J831" s="194"/>
      <c r="K831" s="202"/>
      <c r="L831" s="203"/>
      <c r="M831" s="204"/>
      <c r="N831" s="205"/>
      <c r="O831" s="206"/>
      <c r="P831" s="207"/>
      <c r="Q831" s="207"/>
      <c r="R831" s="207"/>
      <c r="S831" s="207"/>
      <c r="T831" s="208"/>
      <c r="U831" s="195"/>
      <c r="V831" s="195"/>
      <c r="W831" s="195"/>
      <c r="X831" s="195"/>
      <c r="Y831" s="195"/>
      <c r="Z831" s="195"/>
      <c r="AA831" s="195"/>
      <c r="AB831" s="195"/>
      <c r="AC831" s="195"/>
      <c r="AD831" s="195"/>
      <c r="AE831" s="195"/>
      <c r="AR831" s="210"/>
      <c r="AT831" s="210"/>
      <c r="AU831" s="210"/>
      <c r="AY831" s="211"/>
      <c r="BE831" s="212"/>
      <c r="BF831" s="212"/>
      <c r="BG831" s="212"/>
      <c r="BH831" s="212"/>
      <c r="BI831" s="212"/>
      <c r="BJ831" s="211"/>
      <c r="BK831" s="212"/>
      <c r="BL831" s="211"/>
      <c r="BM831" s="210"/>
    </row>
    <row r="832" spans="1:65" s="209" customFormat="1" ht="12">
      <c r="A832" s="195"/>
      <c r="B832" s="196"/>
      <c r="C832" s="197"/>
      <c r="D832" s="197"/>
      <c r="E832" s="198"/>
      <c r="F832" s="248" t="s">
        <v>2983</v>
      </c>
      <c r="G832" s="249"/>
      <c r="H832" s="250">
        <f>SUM(H828:H831)</f>
        <v>72.39</v>
      </c>
      <c r="I832" s="194"/>
      <c r="J832" s="194"/>
      <c r="K832" s="202"/>
      <c r="L832" s="203"/>
      <c r="M832" s="204"/>
      <c r="N832" s="205"/>
      <c r="O832" s="206"/>
      <c r="P832" s="207"/>
      <c r="Q832" s="207"/>
      <c r="R832" s="207"/>
      <c r="S832" s="207"/>
      <c r="T832" s="208"/>
      <c r="U832" s="195"/>
      <c r="V832" s="195"/>
      <c r="W832" s="195"/>
      <c r="X832" s="195"/>
      <c r="Y832" s="195"/>
      <c r="Z832" s="195"/>
      <c r="AA832" s="195"/>
      <c r="AB832" s="195"/>
      <c r="AC832" s="195"/>
      <c r="AD832" s="195"/>
      <c r="AE832" s="195"/>
      <c r="AR832" s="210"/>
      <c r="AT832" s="210"/>
      <c r="AU832" s="210"/>
      <c r="AY832" s="211"/>
      <c r="BE832" s="212"/>
      <c r="BF832" s="212"/>
      <c r="BG832" s="212"/>
      <c r="BH832" s="212"/>
      <c r="BI832" s="212"/>
      <c r="BJ832" s="211"/>
      <c r="BK832" s="212"/>
      <c r="BL832" s="211"/>
      <c r="BM832" s="210"/>
    </row>
    <row r="833" spans="1:65" s="2" customFormat="1" ht="37.9" customHeight="1">
      <c r="A833" s="29"/>
      <c r="B833" s="152"/>
      <c r="C833" s="153" t="s">
        <v>571</v>
      </c>
      <c r="D833" s="153" t="s">
        <v>181</v>
      </c>
      <c r="E833" s="154" t="s">
        <v>929</v>
      </c>
      <c r="F833" s="155" t="s">
        <v>930</v>
      </c>
      <c r="G833" s="156" t="s">
        <v>184</v>
      </c>
      <c r="H833" s="157">
        <v>72.39</v>
      </c>
      <c r="I833" s="158"/>
      <c r="J833" s="159">
        <v>0</v>
      </c>
      <c r="K833" s="160"/>
      <c r="L833" s="30"/>
      <c r="M833" s="161" t="s">
        <v>1</v>
      </c>
      <c r="N833" s="162" t="s">
        <v>35</v>
      </c>
      <c r="O833" s="58"/>
      <c r="P833" s="163">
        <f>O833*H833</f>
        <v>0</v>
      </c>
      <c r="Q833" s="163">
        <v>0</v>
      </c>
      <c r="R833" s="163">
        <f>Q833*H833</f>
        <v>0</v>
      </c>
      <c r="S833" s="163">
        <v>0</v>
      </c>
      <c r="T833" s="164">
        <f>S833*H833</f>
        <v>0</v>
      </c>
      <c r="U833" s="29"/>
      <c r="V833" s="29"/>
      <c r="W833" s="29"/>
      <c r="X833" s="29"/>
      <c r="Y833" s="29"/>
      <c r="Z833" s="29"/>
      <c r="AA833" s="29"/>
      <c r="AB833" s="29"/>
      <c r="AC833" s="29"/>
      <c r="AD833" s="29"/>
      <c r="AE833" s="29"/>
      <c r="AR833" s="165" t="s">
        <v>213</v>
      </c>
      <c r="AT833" s="165" t="s">
        <v>181</v>
      </c>
      <c r="AU833" s="165" t="s">
        <v>82</v>
      </c>
      <c r="AY833" s="14" t="s">
        <v>179</v>
      </c>
      <c r="BE833" s="166">
        <f>IF(N833="základná",J833,0)</f>
        <v>0</v>
      </c>
      <c r="BF833" s="166">
        <f>IF(N833="znížená",J833,0)</f>
        <v>0</v>
      </c>
      <c r="BG833" s="166">
        <f>IF(N833="zákl. prenesená",J833,0)</f>
        <v>0</v>
      </c>
      <c r="BH833" s="166">
        <f>IF(N833="zníž. prenesená",J833,0)</f>
        <v>0</v>
      </c>
      <c r="BI833" s="166">
        <f>IF(N833="nulová",J833,0)</f>
        <v>0</v>
      </c>
      <c r="BJ833" s="14" t="s">
        <v>82</v>
      </c>
      <c r="BK833" s="166">
        <f>ROUND(I833*H833,2)</f>
        <v>0</v>
      </c>
      <c r="BL833" s="14" t="s">
        <v>213</v>
      </c>
      <c r="BM833" s="165" t="s">
        <v>931</v>
      </c>
    </row>
    <row r="834" spans="1:65" s="209" customFormat="1" ht="12">
      <c r="A834" s="195"/>
      <c r="B834" s="196"/>
      <c r="C834" s="197"/>
      <c r="D834" s="197"/>
      <c r="E834" s="198"/>
      <c r="F834" s="184" t="s">
        <v>3237</v>
      </c>
      <c r="G834" s="226"/>
      <c r="H834" s="186">
        <v>2.56</v>
      </c>
      <c r="I834" s="194"/>
      <c r="J834" s="194"/>
      <c r="K834" s="202"/>
      <c r="L834" s="203"/>
      <c r="M834" s="204"/>
      <c r="N834" s="205"/>
      <c r="O834" s="206"/>
      <c r="P834" s="207"/>
      <c r="Q834" s="207"/>
      <c r="R834" s="207"/>
      <c r="S834" s="207"/>
      <c r="T834" s="208"/>
      <c r="U834" s="195"/>
      <c r="V834" s="195"/>
      <c r="W834" s="195"/>
      <c r="X834" s="195"/>
      <c r="Y834" s="195"/>
      <c r="Z834" s="195"/>
      <c r="AA834" s="195"/>
      <c r="AB834" s="195"/>
      <c r="AC834" s="195"/>
      <c r="AD834" s="195"/>
      <c r="AE834" s="195"/>
      <c r="AR834" s="210"/>
      <c r="AT834" s="210"/>
      <c r="AU834" s="210"/>
      <c r="AY834" s="211"/>
      <c r="BE834" s="212"/>
      <c r="BF834" s="212"/>
      <c r="BG834" s="212"/>
      <c r="BH834" s="212"/>
      <c r="BI834" s="212"/>
      <c r="BJ834" s="211"/>
      <c r="BK834" s="212"/>
      <c r="BL834" s="211"/>
      <c r="BM834" s="210"/>
    </row>
    <row r="835" spans="1:65" s="209" customFormat="1" ht="12">
      <c r="A835" s="195"/>
      <c r="B835" s="196"/>
      <c r="C835" s="197"/>
      <c r="D835" s="197"/>
      <c r="E835" s="198"/>
      <c r="F835" s="184" t="s">
        <v>3238</v>
      </c>
      <c r="G835" s="226"/>
      <c r="H835" s="186">
        <v>3.13</v>
      </c>
      <c r="I835" s="194"/>
      <c r="J835" s="194"/>
      <c r="K835" s="202"/>
      <c r="L835" s="203"/>
      <c r="M835" s="204"/>
      <c r="N835" s="205"/>
      <c r="O835" s="206"/>
      <c r="P835" s="207"/>
      <c r="Q835" s="207"/>
      <c r="R835" s="207"/>
      <c r="S835" s="207"/>
      <c r="T835" s="208"/>
      <c r="U835" s="195"/>
      <c r="V835" s="195"/>
      <c r="W835" s="195"/>
      <c r="X835" s="195"/>
      <c r="Y835" s="195"/>
      <c r="Z835" s="195"/>
      <c r="AA835" s="195"/>
      <c r="AB835" s="195"/>
      <c r="AC835" s="195"/>
      <c r="AD835" s="195"/>
      <c r="AE835" s="195"/>
      <c r="AR835" s="210"/>
      <c r="AT835" s="210"/>
      <c r="AU835" s="210"/>
      <c r="AY835" s="211"/>
      <c r="BE835" s="212"/>
      <c r="BF835" s="212"/>
      <c r="BG835" s="212"/>
      <c r="BH835" s="212"/>
      <c r="BI835" s="212"/>
      <c r="BJ835" s="211"/>
      <c r="BK835" s="212"/>
      <c r="BL835" s="211"/>
      <c r="BM835" s="210"/>
    </row>
    <row r="836" spans="1:65" s="209" customFormat="1" ht="22.5">
      <c r="A836" s="195"/>
      <c r="B836" s="196"/>
      <c r="C836" s="197"/>
      <c r="D836" s="197"/>
      <c r="E836" s="198"/>
      <c r="F836" s="184" t="s">
        <v>3239</v>
      </c>
      <c r="G836" s="226"/>
      <c r="H836" s="186">
        <v>6.7</v>
      </c>
      <c r="I836" s="194"/>
      <c r="J836" s="194"/>
      <c r="K836" s="202"/>
      <c r="L836" s="203"/>
      <c r="M836" s="204"/>
      <c r="N836" s="205"/>
      <c r="O836" s="206"/>
      <c r="P836" s="207"/>
      <c r="Q836" s="207"/>
      <c r="R836" s="207"/>
      <c r="S836" s="207"/>
      <c r="T836" s="208"/>
      <c r="U836" s="195"/>
      <c r="V836" s="195"/>
      <c r="W836" s="195"/>
      <c r="X836" s="195"/>
      <c r="Y836" s="195"/>
      <c r="Z836" s="195"/>
      <c r="AA836" s="195"/>
      <c r="AB836" s="195"/>
      <c r="AC836" s="195"/>
      <c r="AD836" s="195"/>
      <c r="AE836" s="195"/>
      <c r="AR836" s="210"/>
      <c r="AT836" s="210"/>
      <c r="AU836" s="210"/>
      <c r="AY836" s="211"/>
      <c r="BE836" s="212"/>
      <c r="BF836" s="212"/>
      <c r="BG836" s="212"/>
      <c r="BH836" s="212"/>
      <c r="BI836" s="212"/>
      <c r="BJ836" s="211"/>
      <c r="BK836" s="212"/>
      <c r="BL836" s="211"/>
      <c r="BM836" s="210"/>
    </row>
    <row r="837" spans="1:65" s="209" customFormat="1" ht="12">
      <c r="A837" s="195"/>
      <c r="B837" s="196"/>
      <c r="C837" s="197"/>
      <c r="D837" s="197"/>
      <c r="E837" s="198"/>
      <c r="F837" s="247" t="s">
        <v>3240</v>
      </c>
      <c r="G837" s="222"/>
      <c r="H837" s="214">
        <f>50*1.2</f>
        <v>60</v>
      </c>
      <c r="I837" s="194"/>
      <c r="J837" s="194"/>
      <c r="K837" s="202"/>
      <c r="L837" s="203"/>
      <c r="M837" s="204"/>
      <c r="N837" s="205"/>
      <c r="O837" s="206"/>
      <c r="P837" s="207"/>
      <c r="Q837" s="207"/>
      <c r="R837" s="207"/>
      <c r="S837" s="207"/>
      <c r="T837" s="208"/>
      <c r="U837" s="195"/>
      <c r="V837" s="195"/>
      <c r="W837" s="195"/>
      <c r="X837" s="195"/>
      <c r="Y837" s="195"/>
      <c r="Z837" s="195"/>
      <c r="AA837" s="195"/>
      <c r="AB837" s="195"/>
      <c r="AC837" s="195"/>
      <c r="AD837" s="195"/>
      <c r="AE837" s="195"/>
      <c r="AR837" s="210"/>
      <c r="AT837" s="210"/>
      <c r="AU837" s="210"/>
      <c r="AY837" s="211"/>
      <c r="BE837" s="212"/>
      <c r="BF837" s="212"/>
      <c r="BG837" s="212"/>
      <c r="BH837" s="212"/>
      <c r="BI837" s="212"/>
      <c r="BJ837" s="211"/>
      <c r="BK837" s="212"/>
      <c r="BL837" s="211"/>
      <c r="BM837" s="210"/>
    </row>
    <row r="838" spans="1:65" s="209" customFormat="1" ht="12">
      <c r="A838" s="195"/>
      <c r="B838" s="196"/>
      <c r="C838" s="197"/>
      <c r="D838" s="197"/>
      <c r="E838" s="198"/>
      <c r="F838" s="248" t="s">
        <v>2983</v>
      </c>
      <c r="G838" s="249"/>
      <c r="H838" s="250">
        <f>SUM(H834:H837)</f>
        <v>72.39</v>
      </c>
      <c r="I838" s="194"/>
      <c r="J838" s="194"/>
      <c r="K838" s="202"/>
      <c r="L838" s="203"/>
      <c r="M838" s="204"/>
      <c r="N838" s="205"/>
      <c r="O838" s="206"/>
      <c r="P838" s="207"/>
      <c r="Q838" s="207"/>
      <c r="R838" s="207"/>
      <c r="S838" s="207"/>
      <c r="T838" s="208"/>
      <c r="U838" s="195"/>
      <c r="V838" s="195"/>
      <c r="W838" s="195"/>
      <c r="X838" s="195"/>
      <c r="Y838" s="195"/>
      <c r="Z838" s="195"/>
      <c r="AA838" s="195"/>
      <c r="AB838" s="195"/>
      <c r="AC838" s="195"/>
      <c r="AD838" s="195"/>
      <c r="AE838" s="195"/>
      <c r="AR838" s="210"/>
      <c r="AT838" s="210"/>
      <c r="AU838" s="210"/>
      <c r="AY838" s="211"/>
      <c r="BE838" s="212"/>
      <c r="BF838" s="212"/>
      <c r="BG838" s="212"/>
      <c r="BH838" s="212"/>
      <c r="BI838" s="212"/>
      <c r="BJ838" s="211"/>
      <c r="BK838" s="212"/>
      <c r="BL838" s="211"/>
      <c r="BM838" s="210"/>
    </row>
    <row r="839" spans="1:65" s="2" customFormat="1" ht="24.2" customHeight="1">
      <c r="A839" s="29"/>
      <c r="B839" s="152"/>
      <c r="C839" s="153" t="s">
        <v>932</v>
      </c>
      <c r="D839" s="153" t="s">
        <v>181</v>
      </c>
      <c r="E839" s="154" t="s">
        <v>933</v>
      </c>
      <c r="F839" s="155" t="s">
        <v>934</v>
      </c>
      <c r="G839" s="156" t="s">
        <v>184</v>
      </c>
      <c r="H839" s="157">
        <v>414</v>
      </c>
      <c r="I839" s="158"/>
      <c r="J839" s="159">
        <v>0</v>
      </c>
      <c r="K839" s="160"/>
      <c r="L839" s="30"/>
      <c r="M839" s="161" t="s">
        <v>1</v>
      </c>
      <c r="N839" s="162" t="s">
        <v>35</v>
      </c>
      <c r="O839" s="58"/>
      <c r="P839" s="163">
        <f>O839*H839</f>
        <v>0</v>
      </c>
      <c r="Q839" s="163">
        <v>1.7323999999999999E-4</v>
      </c>
      <c r="R839" s="163">
        <f>Q839*H839</f>
        <v>7.1721359999999998E-2</v>
      </c>
      <c r="S839" s="163">
        <v>0</v>
      </c>
      <c r="T839" s="164">
        <f>S839*H839</f>
        <v>0</v>
      </c>
      <c r="U839" s="29"/>
      <c r="V839" s="29"/>
      <c r="W839" s="29"/>
      <c r="X839" s="29"/>
      <c r="Y839" s="29"/>
      <c r="Z839" s="29"/>
      <c r="AA839" s="29"/>
      <c r="AB839" s="29"/>
      <c r="AC839" s="29"/>
      <c r="AD839" s="29"/>
      <c r="AE839" s="29"/>
      <c r="AR839" s="165" t="s">
        <v>213</v>
      </c>
      <c r="AT839" s="165" t="s">
        <v>181</v>
      </c>
      <c r="AU839" s="165" t="s">
        <v>82</v>
      </c>
      <c r="AY839" s="14" t="s">
        <v>179</v>
      </c>
      <c r="BE839" s="166">
        <f>IF(N839="základná",J839,0)</f>
        <v>0</v>
      </c>
      <c r="BF839" s="166">
        <f>IF(N839="znížená",J839,0)</f>
        <v>0</v>
      </c>
      <c r="BG839" s="166">
        <f>IF(N839="zákl. prenesená",J839,0)</f>
        <v>0</v>
      </c>
      <c r="BH839" s="166">
        <f>IF(N839="zníž. prenesená",J839,0)</f>
        <v>0</v>
      </c>
      <c r="BI839" s="166">
        <f>IF(N839="nulová",J839,0)</f>
        <v>0</v>
      </c>
      <c r="BJ839" s="14" t="s">
        <v>82</v>
      </c>
      <c r="BK839" s="166">
        <f>ROUND(I839*H839,2)</f>
        <v>0</v>
      </c>
      <c r="BL839" s="14" t="s">
        <v>213</v>
      </c>
      <c r="BM839" s="165" t="s">
        <v>935</v>
      </c>
    </row>
    <row r="840" spans="1:65" s="209" customFormat="1" ht="12">
      <c r="A840" s="195"/>
      <c r="B840" s="196"/>
      <c r="C840" s="197"/>
      <c r="D840" s="197"/>
      <c r="E840" s="198"/>
      <c r="F840" s="213" t="s">
        <v>3241</v>
      </c>
      <c r="G840" s="222"/>
      <c r="H840" s="214">
        <v>8.6</v>
      </c>
      <c r="I840" s="194"/>
      <c r="J840" s="194"/>
      <c r="K840" s="202"/>
      <c r="L840" s="203"/>
      <c r="M840" s="204"/>
      <c r="N840" s="205"/>
      <c r="O840" s="206"/>
      <c r="P840" s="207"/>
      <c r="Q840" s="207"/>
      <c r="R840" s="207"/>
      <c r="S840" s="207"/>
      <c r="T840" s="208"/>
      <c r="U840" s="195"/>
      <c r="V840" s="195"/>
      <c r="W840" s="195"/>
      <c r="X840" s="195"/>
      <c r="Y840" s="195"/>
      <c r="Z840" s="195"/>
      <c r="AA840" s="195"/>
      <c r="AB840" s="195"/>
      <c r="AC840" s="195"/>
      <c r="AD840" s="195"/>
      <c r="AE840" s="195"/>
      <c r="AR840" s="210"/>
      <c r="AT840" s="210"/>
      <c r="AU840" s="210"/>
      <c r="AY840" s="211"/>
      <c r="BE840" s="212"/>
      <c r="BF840" s="212"/>
      <c r="BG840" s="212"/>
      <c r="BH840" s="212"/>
      <c r="BI840" s="212"/>
      <c r="BJ840" s="211"/>
      <c r="BK840" s="212"/>
      <c r="BL840" s="211"/>
      <c r="BM840" s="210"/>
    </row>
    <row r="841" spans="1:65" s="209" customFormat="1" ht="22.5">
      <c r="A841" s="195"/>
      <c r="B841" s="196"/>
      <c r="C841" s="197"/>
      <c r="D841" s="197"/>
      <c r="E841" s="198"/>
      <c r="F841" s="213" t="s">
        <v>3242</v>
      </c>
      <c r="G841" s="222"/>
      <c r="H841" s="214">
        <v>11</v>
      </c>
      <c r="I841" s="194"/>
      <c r="J841" s="194"/>
      <c r="K841" s="202"/>
      <c r="L841" s="203"/>
      <c r="M841" s="204"/>
      <c r="N841" s="205"/>
      <c r="O841" s="206"/>
      <c r="P841" s="207"/>
      <c r="Q841" s="207"/>
      <c r="R841" s="207"/>
      <c r="S841" s="207"/>
      <c r="T841" s="208"/>
      <c r="U841" s="195"/>
      <c r="V841" s="195"/>
      <c r="W841" s="195"/>
      <c r="X841" s="195"/>
      <c r="Y841" s="195"/>
      <c r="Z841" s="195"/>
      <c r="AA841" s="195"/>
      <c r="AB841" s="195"/>
      <c r="AC841" s="195"/>
      <c r="AD841" s="195"/>
      <c r="AE841" s="195"/>
      <c r="AR841" s="210"/>
      <c r="AT841" s="210"/>
      <c r="AU841" s="210"/>
      <c r="AY841" s="211"/>
      <c r="BE841" s="212"/>
      <c r="BF841" s="212"/>
      <c r="BG841" s="212"/>
      <c r="BH841" s="212"/>
      <c r="BI841" s="212"/>
      <c r="BJ841" s="211"/>
      <c r="BK841" s="212"/>
      <c r="BL841" s="211"/>
      <c r="BM841" s="210"/>
    </row>
    <row r="842" spans="1:65" s="209" customFormat="1" ht="22.5">
      <c r="A842" s="195"/>
      <c r="B842" s="196"/>
      <c r="C842" s="197"/>
      <c r="D842" s="197"/>
      <c r="E842" s="198"/>
      <c r="F842" s="213" t="s">
        <v>3243</v>
      </c>
      <c r="G842" s="222"/>
      <c r="H842" s="214">
        <v>11.2</v>
      </c>
      <c r="I842" s="194"/>
      <c r="J842" s="194"/>
      <c r="K842" s="202"/>
      <c r="L842" s="203"/>
      <c r="M842" s="204"/>
      <c r="N842" s="205"/>
      <c r="O842" s="206"/>
      <c r="P842" s="207"/>
      <c r="Q842" s="207"/>
      <c r="R842" s="207"/>
      <c r="S842" s="207"/>
      <c r="T842" s="208"/>
      <c r="U842" s="195"/>
      <c r="V842" s="195"/>
      <c r="W842" s="195"/>
      <c r="X842" s="195"/>
      <c r="Y842" s="195"/>
      <c r="Z842" s="195"/>
      <c r="AA842" s="195"/>
      <c r="AB842" s="195"/>
      <c r="AC842" s="195"/>
      <c r="AD842" s="195"/>
      <c r="AE842" s="195"/>
      <c r="AR842" s="210"/>
      <c r="AT842" s="210"/>
      <c r="AU842" s="210"/>
      <c r="AY842" s="211"/>
      <c r="BE842" s="212"/>
      <c r="BF842" s="212"/>
      <c r="BG842" s="212"/>
      <c r="BH842" s="212"/>
      <c r="BI842" s="212"/>
      <c r="BJ842" s="211"/>
      <c r="BK842" s="212"/>
      <c r="BL842" s="211"/>
      <c r="BM842" s="210"/>
    </row>
    <row r="843" spans="1:65" s="209" customFormat="1" ht="22.5">
      <c r="A843" s="195"/>
      <c r="B843" s="196"/>
      <c r="C843" s="197"/>
      <c r="D843" s="197"/>
      <c r="E843" s="198"/>
      <c r="F843" s="213" t="s">
        <v>3244</v>
      </c>
      <c r="G843" s="222"/>
      <c r="H843" s="214">
        <v>5.9</v>
      </c>
      <c r="I843" s="194"/>
      <c r="J843" s="194"/>
      <c r="K843" s="202"/>
      <c r="L843" s="203"/>
      <c r="M843" s="204"/>
      <c r="N843" s="205"/>
      <c r="O843" s="206"/>
      <c r="P843" s="207"/>
      <c r="Q843" s="207"/>
      <c r="R843" s="207"/>
      <c r="S843" s="207"/>
      <c r="T843" s="208"/>
      <c r="U843" s="195"/>
      <c r="V843" s="195"/>
      <c r="W843" s="195"/>
      <c r="X843" s="195"/>
      <c r="Y843" s="195"/>
      <c r="Z843" s="195"/>
      <c r="AA843" s="195"/>
      <c r="AB843" s="195"/>
      <c r="AC843" s="195"/>
      <c r="AD843" s="195"/>
      <c r="AE843" s="195"/>
      <c r="AR843" s="210"/>
      <c r="AT843" s="210"/>
      <c r="AU843" s="210"/>
      <c r="AY843" s="211"/>
      <c r="BE843" s="212"/>
      <c r="BF843" s="212"/>
      <c r="BG843" s="212"/>
      <c r="BH843" s="212"/>
      <c r="BI843" s="212"/>
      <c r="BJ843" s="211"/>
      <c r="BK843" s="212"/>
      <c r="BL843" s="211"/>
      <c r="BM843" s="210"/>
    </row>
    <row r="844" spans="1:65" s="209" customFormat="1" ht="22.5">
      <c r="A844" s="195"/>
      <c r="B844" s="196"/>
      <c r="C844" s="197"/>
      <c r="D844" s="197"/>
      <c r="E844" s="198"/>
      <c r="F844" s="213" t="s">
        <v>3245</v>
      </c>
      <c r="G844" s="222"/>
      <c r="H844" s="214">
        <f>2*3.8</f>
        <v>7.6</v>
      </c>
      <c r="I844" s="194"/>
      <c r="J844" s="194"/>
      <c r="K844" s="202"/>
      <c r="L844" s="203"/>
      <c r="M844" s="204"/>
      <c r="N844" s="205"/>
      <c r="O844" s="206"/>
      <c r="P844" s="207"/>
      <c r="Q844" s="207"/>
      <c r="R844" s="207"/>
      <c r="S844" s="207"/>
      <c r="T844" s="208"/>
      <c r="U844" s="195"/>
      <c r="V844" s="195"/>
      <c r="W844" s="195"/>
      <c r="X844" s="195"/>
      <c r="Y844" s="195"/>
      <c r="Z844" s="195"/>
      <c r="AA844" s="195"/>
      <c r="AB844" s="195"/>
      <c r="AC844" s="195"/>
      <c r="AD844" s="195"/>
      <c r="AE844" s="195"/>
      <c r="AR844" s="210"/>
      <c r="AT844" s="210"/>
      <c r="AU844" s="210"/>
      <c r="AY844" s="211"/>
      <c r="BE844" s="212"/>
      <c r="BF844" s="212"/>
      <c r="BG844" s="212"/>
      <c r="BH844" s="212"/>
      <c r="BI844" s="212"/>
      <c r="BJ844" s="211"/>
      <c r="BK844" s="212"/>
      <c r="BL844" s="211"/>
      <c r="BM844" s="210"/>
    </row>
    <row r="845" spans="1:65" s="209" customFormat="1" ht="33.75">
      <c r="A845" s="195"/>
      <c r="B845" s="196"/>
      <c r="C845" s="197"/>
      <c r="D845" s="197"/>
      <c r="E845" s="198"/>
      <c r="F845" s="213" t="s">
        <v>3246</v>
      </c>
      <c r="G845" s="222"/>
      <c r="H845" s="214">
        <v>4</v>
      </c>
      <c r="I845" s="194"/>
      <c r="J845" s="194"/>
      <c r="K845" s="202"/>
      <c r="L845" s="203"/>
      <c r="M845" s="204"/>
      <c r="N845" s="205"/>
      <c r="O845" s="206"/>
      <c r="P845" s="207"/>
      <c r="Q845" s="207"/>
      <c r="R845" s="207"/>
      <c r="S845" s="207"/>
      <c r="T845" s="208"/>
      <c r="U845" s="195"/>
      <c r="V845" s="195"/>
      <c r="W845" s="195"/>
      <c r="X845" s="195"/>
      <c r="Y845" s="195"/>
      <c r="Z845" s="195"/>
      <c r="AA845" s="195"/>
      <c r="AB845" s="195"/>
      <c r="AC845" s="195"/>
      <c r="AD845" s="195"/>
      <c r="AE845" s="195"/>
      <c r="AR845" s="210"/>
      <c r="AT845" s="210"/>
      <c r="AU845" s="210"/>
      <c r="AY845" s="211"/>
      <c r="BE845" s="212"/>
      <c r="BF845" s="212"/>
      <c r="BG845" s="212"/>
      <c r="BH845" s="212"/>
      <c r="BI845" s="212"/>
      <c r="BJ845" s="211"/>
      <c r="BK845" s="212"/>
      <c r="BL845" s="211"/>
      <c r="BM845" s="210"/>
    </row>
    <row r="846" spans="1:65" s="209" customFormat="1" ht="22.5">
      <c r="A846" s="195"/>
      <c r="B846" s="196"/>
      <c r="C846" s="197"/>
      <c r="D846" s="197"/>
      <c r="E846" s="198"/>
      <c r="F846" s="213" t="s">
        <v>3247</v>
      </c>
      <c r="G846" s="222"/>
      <c r="H846" s="214">
        <v>0.8</v>
      </c>
      <c r="I846" s="194"/>
      <c r="J846" s="194"/>
      <c r="K846" s="202"/>
      <c r="L846" s="203"/>
      <c r="M846" s="204"/>
      <c r="N846" s="205"/>
      <c r="O846" s="206"/>
      <c r="P846" s="207"/>
      <c r="Q846" s="207"/>
      <c r="R846" s="207"/>
      <c r="S846" s="207"/>
      <c r="T846" s="208"/>
      <c r="U846" s="195"/>
      <c r="V846" s="195"/>
      <c r="W846" s="195"/>
      <c r="X846" s="195"/>
      <c r="Y846" s="195"/>
      <c r="Z846" s="195"/>
      <c r="AA846" s="195"/>
      <c r="AB846" s="195"/>
      <c r="AC846" s="195"/>
      <c r="AD846" s="195"/>
      <c r="AE846" s="195"/>
      <c r="AR846" s="210"/>
      <c r="AT846" s="210"/>
      <c r="AU846" s="210"/>
      <c r="AY846" s="211"/>
      <c r="BE846" s="212"/>
      <c r="BF846" s="212"/>
      <c r="BG846" s="212"/>
      <c r="BH846" s="212"/>
      <c r="BI846" s="212"/>
      <c r="BJ846" s="211"/>
      <c r="BK846" s="212"/>
      <c r="BL846" s="211"/>
      <c r="BM846" s="210"/>
    </row>
    <row r="847" spans="1:65" s="209" customFormat="1" ht="22.5">
      <c r="A847" s="195"/>
      <c r="B847" s="196"/>
      <c r="C847" s="197"/>
      <c r="D847" s="197"/>
      <c r="E847" s="198"/>
      <c r="F847" s="213" t="s">
        <v>3248</v>
      </c>
      <c r="G847" s="222"/>
      <c r="H847" s="214">
        <f>2*2.2</f>
        <v>4.4000000000000004</v>
      </c>
      <c r="I847" s="194"/>
      <c r="J847" s="194"/>
      <c r="K847" s="202"/>
      <c r="L847" s="203"/>
      <c r="M847" s="204"/>
      <c r="N847" s="205"/>
      <c r="O847" s="206"/>
      <c r="P847" s="207"/>
      <c r="Q847" s="207"/>
      <c r="R847" s="207"/>
      <c r="S847" s="207"/>
      <c r="T847" s="208"/>
      <c r="U847" s="195"/>
      <c r="V847" s="195"/>
      <c r="W847" s="195"/>
      <c r="X847" s="195"/>
      <c r="Y847" s="195"/>
      <c r="Z847" s="195"/>
      <c r="AA847" s="195"/>
      <c r="AB847" s="195"/>
      <c r="AC847" s="195"/>
      <c r="AD847" s="195"/>
      <c r="AE847" s="195"/>
      <c r="AR847" s="210"/>
      <c r="AT847" s="210"/>
      <c r="AU847" s="210"/>
      <c r="AY847" s="211"/>
      <c r="BE847" s="212"/>
      <c r="BF847" s="212"/>
      <c r="BG847" s="212"/>
      <c r="BH847" s="212"/>
      <c r="BI847" s="212"/>
      <c r="BJ847" s="211"/>
      <c r="BK847" s="212"/>
      <c r="BL847" s="211"/>
      <c r="BM847" s="210"/>
    </row>
    <row r="848" spans="1:65" s="209" customFormat="1" ht="22.5">
      <c r="A848" s="195"/>
      <c r="B848" s="196"/>
      <c r="C848" s="197"/>
      <c r="D848" s="197"/>
      <c r="E848" s="198"/>
      <c r="F848" s="213" t="s">
        <v>3249</v>
      </c>
      <c r="G848" s="222"/>
      <c r="H848" s="214">
        <v>2.2000000000000002</v>
      </c>
      <c r="I848" s="194"/>
      <c r="J848" s="194"/>
      <c r="K848" s="202"/>
      <c r="L848" s="203"/>
      <c r="M848" s="204"/>
      <c r="N848" s="205"/>
      <c r="O848" s="206"/>
      <c r="P848" s="207"/>
      <c r="Q848" s="207"/>
      <c r="R848" s="207"/>
      <c r="S848" s="207"/>
      <c r="T848" s="208"/>
      <c r="U848" s="195"/>
      <c r="V848" s="195"/>
      <c r="W848" s="195"/>
      <c r="X848" s="195"/>
      <c r="Y848" s="195"/>
      <c r="Z848" s="195"/>
      <c r="AA848" s="195"/>
      <c r="AB848" s="195"/>
      <c r="AC848" s="195"/>
      <c r="AD848" s="195"/>
      <c r="AE848" s="195"/>
      <c r="AR848" s="210"/>
      <c r="AT848" s="210"/>
      <c r="AU848" s="210"/>
      <c r="AY848" s="211"/>
      <c r="BE848" s="212"/>
      <c r="BF848" s="212"/>
      <c r="BG848" s="212"/>
      <c r="BH848" s="212"/>
      <c r="BI848" s="212"/>
      <c r="BJ848" s="211"/>
      <c r="BK848" s="212"/>
      <c r="BL848" s="211"/>
      <c r="BM848" s="210"/>
    </row>
    <row r="849" spans="1:65" s="209" customFormat="1" ht="12">
      <c r="A849" s="195"/>
      <c r="B849" s="196"/>
      <c r="C849" s="197"/>
      <c r="D849" s="197"/>
      <c r="E849" s="198"/>
      <c r="F849" s="213" t="s">
        <v>3237</v>
      </c>
      <c r="G849" s="222"/>
      <c r="H849" s="214">
        <v>2.56</v>
      </c>
      <c r="I849" s="194"/>
      <c r="J849" s="194"/>
      <c r="K849" s="202"/>
      <c r="L849" s="203"/>
      <c r="M849" s="204"/>
      <c r="N849" s="205"/>
      <c r="O849" s="206"/>
      <c r="P849" s="207"/>
      <c r="Q849" s="207"/>
      <c r="R849" s="207"/>
      <c r="S849" s="207"/>
      <c r="T849" s="208"/>
      <c r="U849" s="195"/>
      <c r="V849" s="195"/>
      <c r="W849" s="195"/>
      <c r="X849" s="195"/>
      <c r="Y849" s="195"/>
      <c r="Z849" s="195"/>
      <c r="AA849" s="195"/>
      <c r="AB849" s="195"/>
      <c r="AC849" s="195"/>
      <c r="AD849" s="195"/>
      <c r="AE849" s="195"/>
      <c r="AR849" s="210"/>
      <c r="AT849" s="210"/>
      <c r="AU849" s="210"/>
      <c r="AY849" s="211"/>
      <c r="BE849" s="212"/>
      <c r="BF849" s="212"/>
      <c r="BG849" s="212"/>
      <c r="BH849" s="212"/>
      <c r="BI849" s="212"/>
      <c r="BJ849" s="211"/>
      <c r="BK849" s="212"/>
      <c r="BL849" s="211"/>
      <c r="BM849" s="210"/>
    </row>
    <row r="850" spans="1:65" s="209" customFormat="1" ht="12">
      <c r="A850" s="195"/>
      <c r="B850" s="196"/>
      <c r="C850" s="197"/>
      <c r="D850" s="197"/>
      <c r="E850" s="198"/>
      <c r="F850" s="213" t="s">
        <v>3250</v>
      </c>
      <c r="G850" s="222"/>
      <c r="H850" s="214">
        <v>0.5</v>
      </c>
      <c r="I850" s="194"/>
      <c r="J850" s="194"/>
      <c r="K850" s="202"/>
      <c r="L850" s="203"/>
      <c r="M850" s="204"/>
      <c r="N850" s="205"/>
      <c r="O850" s="206"/>
      <c r="P850" s="207"/>
      <c r="Q850" s="207"/>
      <c r="R850" s="207"/>
      <c r="S850" s="207"/>
      <c r="T850" s="208"/>
      <c r="U850" s="195"/>
      <c r="V850" s="195"/>
      <c r="W850" s="195"/>
      <c r="X850" s="195"/>
      <c r="Y850" s="195"/>
      <c r="Z850" s="195"/>
      <c r="AA850" s="195"/>
      <c r="AB850" s="195"/>
      <c r="AC850" s="195"/>
      <c r="AD850" s="195"/>
      <c r="AE850" s="195"/>
      <c r="AR850" s="210"/>
      <c r="AT850" s="210"/>
      <c r="AU850" s="210"/>
      <c r="AY850" s="211"/>
      <c r="BE850" s="212"/>
      <c r="BF850" s="212"/>
      <c r="BG850" s="212"/>
      <c r="BH850" s="212"/>
      <c r="BI850" s="212"/>
      <c r="BJ850" s="211"/>
      <c r="BK850" s="212"/>
      <c r="BL850" s="211"/>
      <c r="BM850" s="210"/>
    </row>
    <row r="851" spans="1:65" s="209" customFormat="1" ht="12">
      <c r="A851" s="195"/>
      <c r="B851" s="196"/>
      <c r="C851" s="197"/>
      <c r="D851" s="197"/>
      <c r="E851" s="198"/>
      <c r="F851" s="213" t="s">
        <v>3238</v>
      </c>
      <c r="G851" s="222"/>
      <c r="H851" s="214">
        <v>3.13</v>
      </c>
      <c r="I851" s="194"/>
      <c r="J851" s="194"/>
      <c r="K851" s="202"/>
      <c r="L851" s="203"/>
      <c r="M851" s="204"/>
      <c r="N851" s="205"/>
      <c r="O851" s="206"/>
      <c r="P851" s="207"/>
      <c r="Q851" s="207"/>
      <c r="R851" s="207"/>
      <c r="S851" s="207"/>
      <c r="T851" s="208"/>
      <c r="U851" s="195"/>
      <c r="V851" s="195"/>
      <c r="W851" s="195"/>
      <c r="X851" s="195"/>
      <c r="Y851" s="195"/>
      <c r="Z851" s="195"/>
      <c r="AA851" s="195"/>
      <c r="AB851" s="195"/>
      <c r="AC851" s="195"/>
      <c r="AD851" s="195"/>
      <c r="AE851" s="195"/>
      <c r="AR851" s="210"/>
      <c r="AT851" s="210"/>
      <c r="AU851" s="210"/>
      <c r="AY851" s="211"/>
      <c r="BE851" s="212"/>
      <c r="BF851" s="212"/>
      <c r="BG851" s="212"/>
      <c r="BH851" s="212"/>
      <c r="BI851" s="212"/>
      <c r="BJ851" s="211"/>
      <c r="BK851" s="212"/>
      <c r="BL851" s="211"/>
      <c r="BM851" s="210"/>
    </row>
    <row r="852" spans="1:65" s="209" customFormat="1" ht="22.5">
      <c r="A852" s="195"/>
      <c r="B852" s="196"/>
      <c r="C852" s="197"/>
      <c r="D852" s="197"/>
      <c r="E852" s="198"/>
      <c r="F852" s="213" t="s">
        <v>3251</v>
      </c>
      <c r="G852" s="222"/>
      <c r="H852" s="214">
        <v>2.84</v>
      </c>
      <c r="I852" s="194"/>
      <c r="J852" s="194"/>
      <c r="K852" s="202"/>
      <c r="L852" s="203"/>
      <c r="M852" s="204"/>
      <c r="N852" s="205"/>
      <c r="O852" s="206"/>
      <c r="P852" s="207"/>
      <c r="Q852" s="207"/>
      <c r="R852" s="207"/>
      <c r="S852" s="207"/>
      <c r="T852" s="208"/>
      <c r="U852" s="195"/>
      <c r="V852" s="195"/>
      <c r="W852" s="195"/>
      <c r="X852" s="195"/>
      <c r="Y852" s="195"/>
      <c r="Z852" s="195"/>
      <c r="AA852" s="195"/>
      <c r="AB852" s="195"/>
      <c r="AC852" s="195"/>
      <c r="AD852" s="195"/>
      <c r="AE852" s="195"/>
      <c r="AR852" s="210"/>
      <c r="AT852" s="210"/>
      <c r="AU852" s="210"/>
      <c r="AY852" s="211"/>
      <c r="BE852" s="212"/>
      <c r="BF852" s="212"/>
      <c r="BG852" s="212"/>
      <c r="BH852" s="212"/>
      <c r="BI852" s="212"/>
      <c r="BJ852" s="211"/>
      <c r="BK852" s="212"/>
      <c r="BL852" s="211"/>
      <c r="BM852" s="210"/>
    </row>
    <row r="853" spans="1:65" s="209" customFormat="1" ht="12">
      <c r="A853" s="195"/>
      <c r="B853" s="196"/>
      <c r="C853" s="197"/>
      <c r="D853" s="197"/>
      <c r="E853" s="198"/>
      <c r="F853" s="247" t="s">
        <v>3239</v>
      </c>
      <c r="G853" s="222"/>
      <c r="H853" s="214">
        <v>6.7</v>
      </c>
      <c r="I853" s="194"/>
      <c r="J853" s="194"/>
      <c r="K853" s="202"/>
      <c r="L853" s="203"/>
      <c r="M853" s="204"/>
      <c r="N853" s="205"/>
      <c r="O853" s="206"/>
      <c r="P853" s="207"/>
      <c r="Q853" s="207"/>
      <c r="R853" s="207"/>
      <c r="S853" s="207"/>
      <c r="T853" s="208"/>
      <c r="U853" s="195"/>
      <c r="V853" s="195"/>
      <c r="W853" s="195"/>
      <c r="X853" s="195"/>
      <c r="Y853" s="195"/>
      <c r="Z853" s="195"/>
      <c r="AA853" s="195"/>
      <c r="AB853" s="195"/>
      <c r="AC853" s="195"/>
      <c r="AD853" s="195"/>
      <c r="AE853" s="195"/>
      <c r="AR853" s="210"/>
      <c r="AT853" s="210"/>
      <c r="AU853" s="210"/>
      <c r="AY853" s="211"/>
      <c r="BE853" s="212"/>
      <c r="BF853" s="212"/>
      <c r="BG853" s="212"/>
      <c r="BH853" s="212"/>
      <c r="BI853" s="212"/>
      <c r="BJ853" s="211"/>
      <c r="BK853" s="212"/>
      <c r="BL853" s="211"/>
      <c r="BM853" s="210"/>
    </row>
    <row r="854" spans="1:65" s="209" customFormat="1" ht="12">
      <c r="A854" s="195"/>
      <c r="B854" s="196"/>
      <c r="C854" s="197"/>
      <c r="D854" s="197"/>
      <c r="E854" s="198"/>
      <c r="F854" s="247" t="s">
        <v>3252</v>
      </c>
      <c r="G854" s="222"/>
      <c r="H854" s="214">
        <v>187.32</v>
      </c>
      <c r="I854" s="194"/>
      <c r="J854" s="194"/>
      <c r="K854" s="202"/>
      <c r="L854" s="203"/>
      <c r="M854" s="204"/>
      <c r="N854" s="205"/>
      <c r="O854" s="206"/>
      <c r="P854" s="207"/>
      <c r="Q854" s="207"/>
      <c r="R854" s="207"/>
      <c r="S854" s="207"/>
      <c r="T854" s="208"/>
      <c r="U854" s="195"/>
      <c r="V854" s="195"/>
      <c r="W854" s="195"/>
      <c r="X854" s="195"/>
      <c r="Y854" s="195"/>
      <c r="Z854" s="195"/>
      <c r="AA854" s="195"/>
      <c r="AB854" s="195"/>
      <c r="AC854" s="195"/>
      <c r="AD854" s="195"/>
      <c r="AE854" s="195"/>
      <c r="AR854" s="210"/>
      <c r="AT854" s="210"/>
      <c r="AU854" s="210"/>
      <c r="AY854" s="211"/>
      <c r="BE854" s="212"/>
      <c r="BF854" s="212"/>
      <c r="BG854" s="212"/>
      <c r="BH854" s="212"/>
      <c r="BI854" s="212"/>
      <c r="BJ854" s="211"/>
      <c r="BK854" s="212"/>
      <c r="BL854" s="211"/>
      <c r="BM854" s="210"/>
    </row>
    <row r="855" spans="1:65" s="209" customFormat="1" ht="12">
      <c r="A855" s="195"/>
      <c r="B855" s="196"/>
      <c r="C855" s="197"/>
      <c r="D855" s="197"/>
      <c r="E855" s="198"/>
      <c r="F855" s="213" t="s">
        <v>3253</v>
      </c>
      <c r="G855" s="222"/>
      <c r="H855" s="214">
        <v>155.19999999999999</v>
      </c>
      <c r="I855" s="194"/>
      <c r="J855" s="194"/>
      <c r="K855" s="202"/>
      <c r="L855" s="203"/>
      <c r="M855" s="204"/>
      <c r="N855" s="205"/>
      <c r="O855" s="206"/>
      <c r="P855" s="207"/>
      <c r="Q855" s="207"/>
      <c r="R855" s="207"/>
      <c r="S855" s="207"/>
      <c r="T855" s="208"/>
      <c r="U855" s="195"/>
      <c r="V855" s="195"/>
      <c r="W855" s="195"/>
      <c r="X855" s="195"/>
      <c r="Y855" s="195"/>
      <c r="Z855" s="195"/>
      <c r="AA855" s="195"/>
      <c r="AB855" s="195"/>
      <c r="AC855" s="195"/>
      <c r="AD855" s="195"/>
      <c r="AE855" s="195"/>
      <c r="AR855" s="210"/>
      <c r="AT855" s="210"/>
      <c r="AU855" s="210"/>
      <c r="AY855" s="211"/>
      <c r="BE855" s="212"/>
      <c r="BF855" s="212"/>
      <c r="BG855" s="212"/>
      <c r="BH855" s="212"/>
      <c r="BI855" s="212"/>
      <c r="BJ855" s="211"/>
      <c r="BK855" s="212"/>
      <c r="BL855" s="211"/>
      <c r="BM855" s="210"/>
    </row>
    <row r="856" spans="1:65" s="209" customFormat="1" ht="12">
      <c r="A856" s="195"/>
      <c r="B856" s="196"/>
      <c r="C856" s="197"/>
      <c r="D856" s="197"/>
      <c r="E856" s="198"/>
      <c r="F856" s="215" t="s">
        <v>2983</v>
      </c>
      <c r="G856" s="216"/>
      <c r="H856" s="217">
        <f>ROUNDUP(SUM(H840:H855),1)</f>
        <v>414</v>
      </c>
      <c r="I856" s="194"/>
      <c r="J856" s="194"/>
      <c r="K856" s="202"/>
      <c r="L856" s="203"/>
      <c r="M856" s="204"/>
      <c r="N856" s="205"/>
      <c r="O856" s="206"/>
      <c r="P856" s="207"/>
      <c r="Q856" s="207"/>
      <c r="R856" s="207"/>
      <c r="S856" s="207"/>
      <c r="T856" s="208"/>
      <c r="U856" s="195"/>
      <c r="V856" s="195"/>
      <c r="W856" s="195"/>
      <c r="X856" s="195"/>
      <c r="Y856" s="195"/>
      <c r="Z856" s="195"/>
      <c r="AA856" s="195"/>
      <c r="AB856" s="195"/>
      <c r="AC856" s="195"/>
      <c r="AD856" s="195"/>
      <c r="AE856" s="195"/>
      <c r="AR856" s="210"/>
      <c r="AT856" s="210"/>
      <c r="AU856" s="210"/>
      <c r="AY856" s="211"/>
      <c r="BE856" s="212"/>
      <c r="BF856" s="212"/>
      <c r="BG856" s="212"/>
      <c r="BH856" s="212"/>
      <c r="BI856" s="212"/>
      <c r="BJ856" s="211"/>
      <c r="BK856" s="212"/>
      <c r="BL856" s="211"/>
      <c r="BM856" s="210"/>
    </row>
    <row r="857" spans="1:65" s="2" customFormat="1" ht="24.2" customHeight="1">
      <c r="A857" s="29"/>
      <c r="B857" s="152"/>
      <c r="C857" s="153" t="s">
        <v>575</v>
      </c>
      <c r="D857" s="153" t="s">
        <v>181</v>
      </c>
      <c r="E857" s="154" t="s">
        <v>936</v>
      </c>
      <c r="F857" s="155" t="s">
        <v>937</v>
      </c>
      <c r="G857" s="156" t="s">
        <v>184</v>
      </c>
      <c r="H857" s="157">
        <v>414</v>
      </c>
      <c r="I857" s="158"/>
      <c r="J857" s="159">
        <v>0</v>
      </c>
      <c r="K857" s="160"/>
      <c r="L857" s="30"/>
      <c r="M857" s="161" t="s">
        <v>1</v>
      </c>
      <c r="N857" s="162" t="s">
        <v>35</v>
      </c>
      <c r="O857" s="58"/>
      <c r="P857" s="163">
        <f>O857*H857</f>
        <v>0</v>
      </c>
      <c r="Q857" s="163">
        <v>6.9185999999999998E-4</v>
      </c>
      <c r="R857" s="163">
        <f>Q857*H857</f>
        <v>0.28643004</v>
      </c>
      <c r="S857" s="163">
        <v>0</v>
      </c>
      <c r="T857" s="164">
        <f>S857*H857</f>
        <v>0</v>
      </c>
      <c r="U857" s="29"/>
      <c r="V857" s="29"/>
      <c r="W857" s="29"/>
      <c r="X857" s="29"/>
      <c r="Y857" s="29"/>
      <c r="Z857" s="29"/>
      <c r="AA857" s="29"/>
      <c r="AB857" s="29"/>
      <c r="AC857" s="29"/>
      <c r="AD857" s="29"/>
      <c r="AE857" s="29"/>
      <c r="AR857" s="165" t="s">
        <v>213</v>
      </c>
      <c r="AT857" s="165" t="s">
        <v>181</v>
      </c>
      <c r="AU857" s="165" t="s">
        <v>82</v>
      </c>
      <c r="AY857" s="14" t="s">
        <v>179</v>
      </c>
      <c r="BE857" s="166">
        <f>IF(N857="základná",J857,0)</f>
        <v>0</v>
      </c>
      <c r="BF857" s="166">
        <f>IF(N857="znížená",J857,0)</f>
        <v>0</v>
      </c>
      <c r="BG857" s="166">
        <f>IF(N857="zákl. prenesená",J857,0)</f>
        <v>0</v>
      </c>
      <c r="BH857" s="166">
        <f>IF(N857="zníž. prenesená",J857,0)</f>
        <v>0</v>
      </c>
      <c r="BI857" s="166">
        <f>IF(N857="nulová",J857,0)</f>
        <v>0</v>
      </c>
      <c r="BJ857" s="14" t="s">
        <v>82</v>
      </c>
      <c r="BK857" s="166">
        <f>ROUND(I857*H857,2)</f>
        <v>0</v>
      </c>
      <c r="BL857" s="14" t="s">
        <v>213</v>
      </c>
      <c r="BM857" s="165" t="s">
        <v>938</v>
      </c>
    </row>
    <row r="858" spans="1:65" s="209" customFormat="1" ht="12">
      <c r="A858" s="195"/>
      <c r="B858" s="196"/>
      <c r="C858" s="197"/>
      <c r="D858" s="197"/>
      <c r="E858" s="198"/>
      <c r="F858" s="213" t="s">
        <v>3241</v>
      </c>
      <c r="G858" s="222"/>
      <c r="H858" s="214">
        <v>8.6</v>
      </c>
      <c r="I858" s="194"/>
      <c r="J858" s="194"/>
      <c r="K858" s="202"/>
      <c r="L858" s="203"/>
      <c r="M858" s="204"/>
      <c r="N858" s="205"/>
      <c r="O858" s="206"/>
      <c r="P858" s="207"/>
      <c r="Q858" s="207"/>
      <c r="R858" s="207"/>
      <c r="S858" s="207"/>
      <c r="T858" s="208"/>
      <c r="U858" s="195"/>
      <c r="V858" s="195"/>
      <c r="W858" s="195"/>
      <c r="X858" s="195"/>
      <c r="Y858" s="195"/>
      <c r="Z858" s="195"/>
      <c r="AA858" s="195"/>
      <c r="AB858" s="195"/>
      <c r="AC858" s="195"/>
      <c r="AD858" s="195"/>
      <c r="AE858" s="195"/>
      <c r="AR858" s="210"/>
      <c r="AT858" s="210"/>
      <c r="AU858" s="210"/>
      <c r="AY858" s="211"/>
      <c r="BE858" s="212"/>
      <c r="BF858" s="212"/>
      <c r="BG858" s="212"/>
      <c r="BH858" s="212"/>
      <c r="BI858" s="212"/>
      <c r="BJ858" s="211"/>
      <c r="BK858" s="212"/>
      <c r="BL858" s="211"/>
      <c r="BM858" s="210"/>
    </row>
    <row r="859" spans="1:65" s="209" customFormat="1" ht="22.5">
      <c r="A859" s="195"/>
      <c r="B859" s="196"/>
      <c r="C859" s="197"/>
      <c r="D859" s="197"/>
      <c r="E859" s="198"/>
      <c r="F859" s="213" t="s">
        <v>3242</v>
      </c>
      <c r="G859" s="222"/>
      <c r="H859" s="214">
        <v>11</v>
      </c>
      <c r="I859" s="194"/>
      <c r="J859" s="194"/>
      <c r="K859" s="202"/>
      <c r="L859" s="203"/>
      <c r="M859" s="204"/>
      <c r="N859" s="205"/>
      <c r="O859" s="206"/>
      <c r="P859" s="207"/>
      <c r="Q859" s="207"/>
      <c r="R859" s="207"/>
      <c r="S859" s="207"/>
      <c r="T859" s="208"/>
      <c r="U859" s="195"/>
      <c r="V859" s="195"/>
      <c r="W859" s="195"/>
      <c r="X859" s="195"/>
      <c r="Y859" s="195"/>
      <c r="Z859" s="195"/>
      <c r="AA859" s="195"/>
      <c r="AB859" s="195"/>
      <c r="AC859" s="195"/>
      <c r="AD859" s="195"/>
      <c r="AE859" s="195"/>
      <c r="AR859" s="210"/>
      <c r="AT859" s="210"/>
      <c r="AU859" s="210"/>
      <c r="AY859" s="211"/>
      <c r="BE859" s="212"/>
      <c r="BF859" s="212"/>
      <c r="BG859" s="212"/>
      <c r="BH859" s="212"/>
      <c r="BI859" s="212"/>
      <c r="BJ859" s="211"/>
      <c r="BK859" s="212"/>
      <c r="BL859" s="211"/>
      <c r="BM859" s="210"/>
    </row>
    <row r="860" spans="1:65" s="209" customFormat="1" ht="22.5">
      <c r="A860" s="195"/>
      <c r="B860" s="196"/>
      <c r="C860" s="197"/>
      <c r="D860" s="197"/>
      <c r="E860" s="198"/>
      <c r="F860" s="213" t="s">
        <v>3243</v>
      </c>
      <c r="G860" s="222"/>
      <c r="H860" s="214">
        <v>11.2</v>
      </c>
      <c r="I860" s="194"/>
      <c r="J860" s="194"/>
      <c r="K860" s="202"/>
      <c r="L860" s="203"/>
      <c r="M860" s="204"/>
      <c r="N860" s="205"/>
      <c r="O860" s="206"/>
      <c r="P860" s="207"/>
      <c r="Q860" s="207"/>
      <c r="R860" s="207"/>
      <c r="S860" s="207"/>
      <c r="T860" s="208"/>
      <c r="U860" s="195"/>
      <c r="V860" s="195"/>
      <c r="W860" s="195"/>
      <c r="X860" s="195"/>
      <c r="Y860" s="195"/>
      <c r="Z860" s="195"/>
      <c r="AA860" s="195"/>
      <c r="AB860" s="195"/>
      <c r="AC860" s="195"/>
      <c r="AD860" s="195"/>
      <c r="AE860" s="195"/>
      <c r="AR860" s="210"/>
      <c r="AT860" s="210"/>
      <c r="AU860" s="210"/>
      <c r="AY860" s="211"/>
      <c r="BE860" s="212"/>
      <c r="BF860" s="212"/>
      <c r="BG860" s="212"/>
      <c r="BH860" s="212"/>
      <c r="BI860" s="212"/>
      <c r="BJ860" s="211"/>
      <c r="BK860" s="212"/>
      <c r="BL860" s="211"/>
      <c r="BM860" s="210"/>
    </row>
    <row r="861" spans="1:65" s="209" customFormat="1" ht="22.5">
      <c r="A861" s="195"/>
      <c r="B861" s="196"/>
      <c r="C861" s="197"/>
      <c r="D861" s="197"/>
      <c r="E861" s="198"/>
      <c r="F861" s="213" t="s">
        <v>3244</v>
      </c>
      <c r="G861" s="222"/>
      <c r="H861" s="214">
        <v>5.9</v>
      </c>
      <c r="I861" s="194"/>
      <c r="J861" s="194"/>
      <c r="K861" s="202"/>
      <c r="L861" s="203"/>
      <c r="M861" s="204"/>
      <c r="N861" s="205"/>
      <c r="O861" s="206"/>
      <c r="P861" s="207"/>
      <c r="Q861" s="207"/>
      <c r="R861" s="207"/>
      <c r="S861" s="207"/>
      <c r="T861" s="208"/>
      <c r="U861" s="195"/>
      <c r="V861" s="195"/>
      <c r="W861" s="195"/>
      <c r="X861" s="195"/>
      <c r="Y861" s="195"/>
      <c r="Z861" s="195"/>
      <c r="AA861" s="195"/>
      <c r="AB861" s="195"/>
      <c r="AC861" s="195"/>
      <c r="AD861" s="195"/>
      <c r="AE861" s="195"/>
      <c r="AR861" s="210"/>
      <c r="AT861" s="210"/>
      <c r="AU861" s="210"/>
      <c r="AY861" s="211"/>
      <c r="BE861" s="212"/>
      <c r="BF861" s="212"/>
      <c r="BG861" s="212"/>
      <c r="BH861" s="212"/>
      <c r="BI861" s="212"/>
      <c r="BJ861" s="211"/>
      <c r="BK861" s="212"/>
      <c r="BL861" s="211"/>
      <c r="BM861" s="210"/>
    </row>
    <row r="862" spans="1:65" s="209" customFormat="1" ht="22.5">
      <c r="A862" s="195"/>
      <c r="B862" s="196"/>
      <c r="C862" s="197"/>
      <c r="D862" s="197"/>
      <c r="E862" s="198"/>
      <c r="F862" s="213" t="s">
        <v>3245</v>
      </c>
      <c r="G862" s="222"/>
      <c r="H862" s="214">
        <f>2*3.8</f>
        <v>7.6</v>
      </c>
      <c r="I862" s="194"/>
      <c r="J862" s="194"/>
      <c r="K862" s="202"/>
      <c r="L862" s="203"/>
      <c r="M862" s="204"/>
      <c r="N862" s="205"/>
      <c r="O862" s="206"/>
      <c r="P862" s="207"/>
      <c r="Q862" s="207"/>
      <c r="R862" s="207"/>
      <c r="S862" s="207"/>
      <c r="T862" s="208"/>
      <c r="U862" s="195"/>
      <c r="V862" s="195"/>
      <c r="W862" s="195"/>
      <c r="X862" s="195"/>
      <c r="Y862" s="195"/>
      <c r="Z862" s="195"/>
      <c r="AA862" s="195"/>
      <c r="AB862" s="195"/>
      <c r="AC862" s="195"/>
      <c r="AD862" s="195"/>
      <c r="AE862" s="195"/>
      <c r="AR862" s="210"/>
      <c r="AT862" s="210"/>
      <c r="AU862" s="210"/>
      <c r="AY862" s="211"/>
      <c r="BE862" s="212"/>
      <c r="BF862" s="212"/>
      <c r="BG862" s="212"/>
      <c r="BH862" s="212"/>
      <c r="BI862" s="212"/>
      <c r="BJ862" s="211"/>
      <c r="BK862" s="212"/>
      <c r="BL862" s="211"/>
      <c r="BM862" s="210"/>
    </row>
    <row r="863" spans="1:65" s="209" customFormat="1" ht="33.75">
      <c r="A863" s="195"/>
      <c r="B863" s="196"/>
      <c r="C863" s="197"/>
      <c r="D863" s="197"/>
      <c r="E863" s="198"/>
      <c r="F863" s="213" t="s">
        <v>3246</v>
      </c>
      <c r="G863" s="222"/>
      <c r="H863" s="214">
        <v>4</v>
      </c>
      <c r="I863" s="194"/>
      <c r="J863" s="194"/>
      <c r="K863" s="202"/>
      <c r="L863" s="203"/>
      <c r="M863" s="204"/>
      <c r="N863" s="205"/>
      <c r="O863" s="206"/>
      <c r="P863" s="207"/>
      <c r="Q863" s="207"/>
      <c r="R863" s="207"/>
      <c r="S863" s="207"/>
      <c r="T863" s="208"/>
      <c r="U863" s="195"/>
      <c r="V863" s="195"/>
      <c r="W863" s="195"/>
      <c r="X863" s="195"/>
      <c r="Y863" s="195"/>
      <c r="Z863" s="195"/>
      <c r="AA863" s="195"/>
      <c r="AB863" s="195"/>
      <c r="AC863" s="195"/>
      <c r="AD863" s="195"/>
      <c r="AE863" s="195"/>
      <c r="AR863" s="210"/>
      <c r="AT863" s="210"/>
      <c r="AU863" s="210"/>
      <c r="AY863" s="211"/>
      <c r="BE863" s="212"/>
      <c r="BF863" s="212"/>
      <c r="BG863" s="212"/>
      <c r="BH863" s="212"/>
      <c r="BI863" s="212"/>
      <c r="BJ863" s="211"/>
      <c r="BK863" s="212"/>
      <c r="BL863" s="211"/>
      <c r="BM863" s="210"/>
    </row>
    <row r="864" spans="1:65" s="209" customFormat="1" ht="22.5">
      <c r="A864" s="195"/>
      <c r="B864" s="196"/>
      <c r="C864" s="197"/>
      <c r="D864" s="197"/>
      <c r="E864" s="198"/>
      <c r="F864" s="213" t="s">
        <v>3247</v>
      </c>
      <c r="G864" s="222"/>
      <c r="H864" s="214">
        <v>0.8</v>
      </c>
      <c r="I864" s="194"/>
      <c r="J864" s="194"/>
      <c r="K864" s="202"/>
      <c r="L864" s="203"/>
      <c r="M864" s="204"/>
      <c r="N864" s="205"/>
      <c r="O864" s="206"/>
      <c r="P864" s="207"/>
      <c r="Q864" s="207"/>
      <c r="R864" s="207"/>
      <c r="S864" s="207"/>
      <c r="T864" s="208"/>
      <c r="U864" s="195"/>
      <c r="V864" s="195"/>
      <c r="W864" s="195"/>
      <c r="X864" s="195"/>
      <c r="Y864" s="195"/>
      <c r="Z864" s="195"/>
      <c r="AA864" s="195"/>
      <c r="AB864" s="195"/>
      <c r="AC864" s="195"/>
      <c r="AD864" s="195"/>
      <c r="AE864" s="195"/>
      <c r="AR864" s="210"/>
      <c r="AT864" s="210"/>
      <c r="AU864" s="210"/>
      <c r="AY864" s="211"/>
      <c r="BE864" s="212"/>
      <c r="BF864" s="212"/>
      <c r="BG864" s="212"/>
      <c r="BH864" s="212"/>
      <c r="BI864" s="212"/>
      <c r="BJ864" s="211"/>
      <c r="BK864" s="212"/>
      <c r="BL864" s="211"/>
      <c r="BM864" s="210"/>
    </row>
    <row r="865" spans="1:65" s="209" customFormat="1" ht="22.5">
      <c r="A865" s="195"/>
      <c r="B865" s="196"/>
      <c r="C865" s="197"/>
      <c r="D865" s="197"/>
      <c r="E865" s="198"/>
      <c r="F865" s="213" t="s">
        <v>3248</v>
      </c>
      <c r="G865" s="222"/>
      <c r="H865" s="214">
        <f>2*2.2</f>
        <v>4.4000000000000004</v>
      </c>
      <c r="I865" s="194"/>
      <c r="J865" s="194"/>
      <c r="K865" s="202"/>
      <c r="L865" s="203"/>
      <c r="M865" s="204"/>
      <c r="N865" s="205"/>
      <c r="O865" s="206"/>
      <c r="P865" s="207"/>
      <c r="Q865" s="207"/>
      <c r="R865" s="207"/>
      <c r="S865" s="207"/>
      <c r="T865" s="208"/>
      <c r="U865" s="195"/>
      <c r="V865" s="195"/>
      <c r="W865" s="195"/>
      <c r="X865" s="195"/>
      <c r="Y865" s="195"/>
      <c r="Z865" s="195"/>
      <c r="AA865" s="195"/>
      <c r="AB865" s="195"/>
      <c r="AC865" s="195"/>
      <c r="AD865" s="195"/>
      <c r="AE865" s="195"/>
      <c r="AR865" s="210"/>
      <c r="AT865" s="210"/>
      <c r="AU865" s="210"/>
      <c r="AY865" s="211"/>
      <c r="BE865" s="212"/>
      <c r="BF865" s="212"/>
      <c r="BG865" s="212"/>
      <c r="BH865" s="212"/>
      <c r="BI865" s="212"/>
      <c r="BJ865" s="211"/>
      <c r="BK865" s="212"/>
      <c r="BL865" s="211"/>
      <c r="BM865" s="210"/>
    </row>
    <row r="866" spans="1:65" s="209" customFormat="1" ht="22.5">
      <c r="A866" s="195"/>
      <c r="B866" s="196"/>
      <c r="C866" s="197"/>
      <c r="D866" s="197"/>
      <c r="E866" s="198"/>
      <c r="F866" s="213" t="s">
        <v>3249</v>
      </c>
      <c r="G866" s="222"/>
      <c r="H866" s="214">
        <v>2.2000000000000002</v>
      </c>
      <c r="I866" s="194"/>
      <c r="J866" s="194"/>
      <c r="K866" s="202"/>
      <c r="L866" s="203"/>
      <c r="M866" s="204"/>
      <c r="N866" s="205"/>
      <c r="O866" s="206"/>
      <c r="P866" s="207"/>
      <c r="Q866" s="207"/>
      <c r="R866" s="207"/>
      <c r="S866" s="207"/>
      <c r="T866" s="208"/>
      <c r="U866" s="195"/>
      <c r="V866" s="195"/>
      <c r="W866" s="195"/>
      <c r="X866" s="195"/>
      <c r="Y866" s="195"/>
      <c r="Z866" s="195"/>
      <c r="AA866" s="195"/>
      <c r="AB866" s="195"/>
      <c r="AC866" s="195"/>
      <c r="AD866" s="195"/>
      <c r="AE866" s="195"/>
      <c r="AR866" s="210"/>
      <c r="AT866" s="210"/>
      <c r="AU866" s="210"/>
      <c r="AY866" s="211"/>
      <c r="BE866" s="212"/>
      <c r="BF866" s="212"/>
      <c r="BG866" s="212"/>
      <c r="BH866" s="212"/>
      <c r="BI866" s="212"/>
      <c r="BJ866" s="211"/>
      <c r="BK866" s="212"/>
      <c r="BL866" s="211"/>
      <c r="BM866" s="210"/>
    </row>
    <row r="867" spans="1:65" s="209" customFormat="1" ht="12">
      <c r="A867" s="195"/>
      <c r="B867" s="196"/>
      <c r="C867" s="197"/>
      <c r="D867" s="197"/>
      <c r="E867" s="198"/>
      <c r="F867" s="213" t="s">
        <v>3237</v>
      </c>
      <c r="G867" s="222"/>
      <c r="H867" s="214">
        <v>2.56</v>
      </c>
      <c r="I867" s="194"/>
      <c r="J867" s="194"/>
      <c r="K867" s="202"/>
      <c r="L867" s="203"/>
      <c r="M867" s="204"/>
      <c r="N867" s="205"/>
      <c r="O867" s="206"/>
      <c r="P867" s="207"/>
      <c r="Q867" s="207"/>
      <c r="R867" s="207"/>
      <c r="S867" s="207"/>
      <c r="T867" s="208"/>
      <c r="U867" s="195"/>
      <c r="V867" s="195"/>
      <c r="W867" s="195"/>
      <c r="X867" s="195"/>
      <c r="Y867" s="195"/>
      <c r="Z867" s="195"/>
      <c r="AA867" s="195"/>
      <c r="AB867" s="195"/>
      <c r="AC867" s="195"/>
      <c r="AD867" s="195"/>
      <c r="AE867" s="195"/>
      <c r="AR867" s="210"/>
      <c r="AT867" s="210"/>
      <c r="AU867" s="210"/>
      <c r="AY867" s="211"/>
      <c r="BE867" s="212"/>
      <c r="BF867" s="212"/>
      <c r="BG867" s="212"/>
      <c r="BH867" s="212"/>
      <c r="BI867" s="212"/>
      <c r="BJ867" s="211"/>
      <c r="BK867" s="212"/>
      <c r="BL867" s="211"/>
      <c r="BM867" s="210"/>
    </row>
    <row r="868" spans="1:65" s="209" customFormat="1" ht="12">
      <c r="A868" s="195"/>
      <c r="B868" s="196"/>
      <c r="C868" s="197"/>
      <c r="D868" s="197"/>
      <c r="E868" s="198"/>
      <c r="F868" s="213" t="s">
        <v>3250</v>
      </c>
      <c r="G868" s="222"/>
      <c r="H868" s="214">
        <v>0.5</v>
      </c>
      <c r="I868" s="194"/>
      <c r="J868" s="194"/>
      <c r="K868" s="202"/>
      <c r="L868" s="203"/>
      <c r="M868" s="204"/>
      <c r="N868" s="205"/>
      <c r="O868" s="206"/>
      <c r="P868" s="207"/>
      <c r="Q868" s="207"/>
      <c r="R868" s="207"/>
      <c r="S868" s="207"/>
      <c r="T868" s="208"/>
      <c r="U868" s="195"/>
      <c r="V868" s="195"/>
      <c r="W868" s="195"/>
      <c r="X868" s="195"/>
      <c r="Y868" s="195"/>
      <c r="Z868" s="195"/>
      <c r="AA868" s="195"/>
      <c r="AB868" s="195"/>
      <c r="AC868" s="195"/>
      <c r="AD868" s="195"/>
      <c r="AE868" s="195"/>
      <c r="AR868" s="210"/>
      <c r="AT868" s="210"/>
      <c r="AU868" s="210"/>
      <c r="AY868" s="211"/>
      <c r="BE868" s="212"/>
      <c r="BF868" s="212"/>
      <c r="BG868" s="212"/>
      <c r="BH868" s="212"/>
      <c r="BI868" s="212"/>
      <c r="BJ868" s="211"/>
      <c r="BK868" s="212"/>
      <c r="BL868" s="211"/>
      <c r="BM868" s="210"/>
    </row>
    <row r="869" spans="1:65" s="209" customFormat="1" ht="12">
      <c r="A869" s="195"/>
      <c r="B869" s="196"/>
      <c r="C869" s="197"/>
      <c r="D869" s="197"/>
      <c r="E869" s="198"/>
      <c r="F869" s="213" t="s">
        <v>3238</v>
      </c>
      <c r="G869" s="222"/>
      <c r="H869" s="214">
        <v>3.13</v>
      </c>
      <c r="I869" s="194"/>
      <c r="J869" s="194"/>
      <c r="K869" s="202"/>
      <c r="L869" s="203"/>
      <c r="M869" s="204"/>
      <c r="N869" s="205"/>
      <c r="O869" s="206"/>
      <c r="P869" s="207"/>
      <c r="Q869" s="207"/>
      <c r="R869" s="207"/>
      <c r="S869" s="207"/>
      <c r="T869" s="208"/>
      <c r="U869" s="195"/>
      <c r="V869" s="195"/>
      <c r="W869" s="195"/>
      <c r="X869" s="195"/>
      <c r="Y869" s="195"/>
      <c r="Z869" s="195"/>
      <c r="AA869" s="195"/>
      <c r="AB869" s="195"/>
      <c r="AC869" s="195"/>
      <c r="AD869" s="195"/>
      <c r="AE869" s="195"/>
      <c r="AR869" s="210"/>
      <c r="AT869" s="210"/>
      <c r="AU869" s="210"/>
      <c r="AY869" s="211"/>
      <c r="BE869" s="212"/>
      <c r="BF869" s="212"/>
      <c r="BG869" s="212"/>
      <c r="BH869" s="212"/>
      <c r="BI869" s="212"/>
      <c r="BJ869" s="211"/>
      <c r="BK869" s="212"/>
      <c r="BL869" s="211"/>
      <c r="BM869" s="210"/>
    </row>
    <row r="870" spans="1:65" s="209" customFormat="1" ht="22.5">
      <c r="A870" s="195"/>
      <c r="B870" s="196"/>
      <c r="C870" s="197"/>
      <c r="D870" s="197"/>
      <c r="E870" s="198"/>
      <c r="F870" s="213" t="s">
        <v>3251</v>
      </c>
      <c r="G870" s="222"/>
      <c r="H870" s="214">
        <v>2.84</v>
      </c>
      <c r="I870" s="194"/>
      <c r="J870" s="194"/>
      <c r="K870" s="202"/>
      <c r="L870" s="203"/>
      <c r="M870" s="204"/>
      <c r="N870" s="205"/>
      <c r="O870" s="206"/>
      <c r="P870" s="207"/>
      <c r="Q870" s="207"/>
      <c r="R870" s="207"/>
      <c r="S870" s="207"/>
      <c r="T870" s="208"/>
      <c r="U870" s="195"/>
      <c r="V870" s="195"/>
      <c r="W870" s="195"/>
      <c r="X870" s="195"/>
      <c r="Y870" s="195"/>
      <c r="Z870" s="195"/>
      <c r="AA870" s="195"/>
      <c r="AB870" s="195"/>
      <c r="AC870" s="195"/>
      <c r="AD870" s="195"/>
      <c r="AE870" s="195"/>
      <c r="AR870" s="210"/>
      <c r="AT870" s="210"/>
      <c r="AU870" s="210"/>
      <c r="AY870" s="211"/>
      <c r="BE870" s="212"/>
      <c r="BF870" s="212"/>
      <c r="BG870" s="212"/>
      <c r="BH870" s="212"/>
      <c r="BI870" s="212"/>
      <c r="BJ870" s="211"/>
      <c r="BK870" s="212"/>
      <c r="BL870" s="211"/>
      <c r="BM870" s="210"/>
    </row>
    <row r="871" spans="1:65" s="209" customFormat="1" ht="12">
      <c r="A871" s="195"/>
      <c r="B871" s="196"/>
      <c r="C871" s="197"/>
      <c r="D871" s="197"/>
      <c r="E871" s="198"/>
      <c r="F871" s="247" t="s">
        <v>3239</v>
      </c>
      <c r="G871" s="222"/>
      <c r="H871" s="214">
        <v>6.7</v>
      </c>
      <c r="I871" s="194"/>
      <c r="J871" s="194"/>
      <c r="K871" s="202"/>
      <c r="L871" s="203"/>
      <c r="M871" s="204"/>
      <c r="N871" s="205"/>
      <c r="O871" s="206"/>
      <c r="P871" s="207"/>
      <c r="Q871" s="207"/>
      <c r="R871" s="207"/>
      <c r="S871" s="207"/>
      <c r="T871" s="208"/>
      <c r="U871" s="195"/>
      <c r="V871" s="195"/>
      <c r="W871" s="195"/>
      <c r="X871" s="195"/>
      <c r="Y871" s="195"/>
      <c r="Z871" s="195"/>
      <c r="AA871" s="195"/>
      <c r="AB871" s="195"/>
      <c r="AC871" s="195"/>
      <c r="AD871" s="195"/>
      <c r="AE871" s="195"/>
      <c r="AR871" s="210"/>
      <c r="AT871" s="210"/>
      <c r="AU871" s="210"/>
      <c r="AY871" s="211"/>
      <c r="BE871" s="212"/>
      <c r="BF871" s="212"/>
      <c r="BG871" s="212"/>
      <c r="BH871" s="212"/>
      <c r="BI871" s="212"/>
      <c r="BJ871" s="211"/>
      <c r="BK871" s="212"/>
      <c r="BL871" s="211"/>
      <c r="BM871" s="210"/>
    </row>
    <row r="872" spans="1:65" s="209" customFormat="1" ht="12">
      <c r="A872" s="195"/>
      <c r="B872" s="196"/>
      <c r="C872" s="197"/>
      <c r="D872" s="197"/>
      <c r="E872" s="198"/>
      <c r="F872" s="247" t="s">
        <v>3252</v>
      </c>
      <c r="G872" s="222"/>
      <c r="H872" s="214">
        <v>187.32</v>
      </c>
      <c r="I872" s="194"/>
      <c r="J872" s="194"/>
      <c r="K872" s="202"/>
      <c r="L872" s="203"/>
      <c r="M872" s="204"/>
      <c r="N872" s="205"/>
      <c r="O872" s="206"/>
      <c r="P872" s="207"/>
      <c r="Q872" s="207"/>
      <c r="R872" s="207"/>
      <c r="S872" s="207"/>
      <c r="T872" s="208"/>
      <c r="U872" s="195"/>
      <c r="V872" s="195"/>
      <c r="W872" s="195"/>
      <c r="X872" s="195"/>
      <c r="Y872" s="195"/>
      <c r="Z872" s="195"/>
      <c r="AA872" s="195"/>
      <c r="AB872" s="195"/>
      <c r="AC872" s="195"/>
      <c r="AD872" s="195"/>
      <c r="AE872" s="195"/>
      <c r="AR872" s="210"/>
      <c r="AT872" s="210"/>
      <c r="AU872" s="210"/>
      <c r="AY872" s="211"/>
      <c r="BE872" s="212"/>
      <c r="BF872" s="212"/>
      <c r="BG872" s="212"/>
      <c r="BH872" s="212"/>
      <c r="BI872" s="212"/>
      <c r="BJ872" s="211"/>
      <c r="BK872" s="212"/>
      <c r="BL872" s="211"/>
      <c r="BM872" s="210"/>
    </row>
    <row r="873" spans="1:65" s="209" customFormat="1" ht="12">
      <c r="A873" s="195"/>
      <c r="B873" s="196"/>
      <c r="C873" s="197"/>
      <c r="D873" s="197"/>
      <c r="E873" s="198"/>
      <c r="F873" s="213" t="s">
        <v>3253</v>
      </c>
      <c r="G873" s="222"/>
      <c r="H873" s="214">
        <v>155.19999999999999</v>
      </c>
      <c r="I873" s="194"/>
      <c r="J873" s="194"/>
      <c r="K873" s="202"/>
      <c r="L873" s="203"/>
      <c r="M873" s="204"/>
      <c r="N873" s="205"/>
      <c r="O873" s="206"/>
      <c r="P873" s="207"/>
      <c r="Q873" s="207"/>
      <c r="R873" s="207"/>
      <c r="S873" s="207"/>
      <c r="T873" s="208"/>
      <c r="U873" s="195"/>
      <c r="V873" s="195"/>
      <c r="W873" s="195"/>
      <c r="X873" s="195"/>
      <c r="Y873" s="195"/>
      <c r="Z873" s="195"/>
      <c r="AA873" s="195"/>
      <c r="AB873" s="195"/>
      <c r="AC873" s="195"/>
      <c r="AD873" s="195"/>
      <c r="AE873" s="195"/>
      <c r="AR873" s="210"/>
      <c r="AT873" s="210"/>
      <c r="AU873" s="210"/>
      <c r="AY873" s="211"/>
      <c r="BE873" s="212"/>
      <c r="BF873" s="212"/>
      <c r="BG873" s="212"/>
      <c r="BH873" s="212"/>
      <c r="BI873" s="212"/>
      <c r="BJ873" s="211"/>
      <c r="BK873" s="212"/>
      <c r="BL873" s="211"/>
      <c r="BM873" s="210"/>
    </row>
    <row r="874" spans="1:65" s="209" customFormat="1" ht="12">
      <c r="A874" s="195"/>
      <c r="B874" s="196"/>
      <c r="C874" s="197"/>
      <c r="D874" s="197"/>
      <c r="E874" s="198"/>
      <c r="F874" s="215" t="s">
        <v>2983</v>
      </c>
      <c r="G874" s="216"/>
      <c r="H874" s="217">
        <f>ROUNDUP(SUM(H858:H873),1)</f>
        <v>414</v>
      </c>
      <c r="I874" s="194"/>
      <c r="J874" s="194"/>
      <c r="K874" s="202"/>
      <c r="L874" s="203"/>
      <c r="M874" s="204"/>
      <c r="N874" s="205"/>
      <c r="O874" s="206"/>
      <c r="P874" s="207"/>
      <c r="Q874" s="207"/>
      <c r="R874" s="207"/>
      <c r="S874" s="207"/>
      <c r="T874" s="208"/>
      <c r="U874" s="195"/>
      <c r="V874" s="195"/>
      <c r="W874" s="195"/>
      <c r="X874" s="195"/>
      <c r="Y874" s="195"/>
      <c r="Z874" s="195"/>
      <c r="AA874" s="195"/>
      <c r="AB874" s="195"/>
      <c r="AC874" s="195"/>
      <c r="AD874" s="195"/>
      <c r="AE874" s="195"/>
      <c r="AR874" s="210"/>
      <c r="AT874" s="210"/>
      <c r="AU874" s="210"/>
      <c r="AY874" s="211"/>
      <c r="BE874" s="212"/>
      <c r="BF874" s="212"/>
      <c r="BG874" s="212"/>
      <c r="BH874" s="212"/>
      <c r="BI874" s="212"/>
      <c r="BJ874" s="211"/>
      <c r="BK874" s="212"/>
      <c r="BL874" s="211"/>
      <c r="BM874" s="210"/>
    </row>
    <row r="875" spans="1:65" s="12" customFormat="1" ht="22.9" customHeight="1">
      <c r="B875" s="139"/>
      <c r="D875" s="140" t="s">
        <v>68</v>
      </c>
      <c r="E875" s="150" t="s">
        <v>939</v>
      </c>
      <c r="F875" s="150" t="s">
        <v>940</v>
      </c>
      <c r="I875" s="142"/>
      <c r="J875" s="151">
        <v>0</v>
      </c>
      <c r="L875" s="139"/>
      <c r="M875" s="144"/>
      <c r="N875" s="145"/>
      <c r="O875" s="145"/>
      <c r="P875" s="146">
        <f>SUM(P876:P890)</f>
        <v>0</v>
      </c>
      <c r="Q875" s="145"/>
      <c r="R875" s="146">
        <f>SUM(R876:R890)</f>
        <v>1.3728006719999999</v>
      </c>
      <c r="S875" s="145"/>
      <c r="T875" s="147">
        <f>SUM(T876:T890)</f>
        <v>0</v>
      </c>
      <c r="AR875" s="140" t="s">
        <v>82</v>
      </c>
      <c r="AT875" s="148" t="s">
        <v>68</v>
      </c>
      <c r="AU875" s="148" t="s">
        <v>76</v>
      </c>
      <c r="AY875" s="140" t="s">
        <v>179</v>
      </c>
      <c r="BK875" s="149">
        <f>SUM(BK876:BK890)</f>
        <v>0</v>
      </c>
    </row>
    <row r="876" spans="1:65" s="2" customFormat="1" ht="24.2" customHeight="1">
      <c r="A876" s="29"/>
      <c r="B876" s="152"/>
      <c r="C876" s="153" t="s">
        <v>941</v>
      </c>
      <c r="D876" s="153" t="s">
        <v>181</v>
      </c>
      <c r="E876" s="154" t="s">
        <v>942</v>
      </c>
      <c r="F876" s="155" t="s">
        <v>943</v>
      </c>
      <c r="G876" s="156" t="s">
        <v>184</v>
      </c>
      <c r="H876" s="157">
        <v>2491.1999999999998</v>
      </c>
      <c r="I876" s="158"/>
      <c r="J876" s="159">
        <v>0</v>
      </c>
      <c r="K876" s="160"/>
      <c r="L876" s="30"/>
      <c r="M876" s="161" t="s">
        <v>1</v>
      </c>
      <c r="N876" s="162" t="s">
        <v>35</v>
      </c>
      <c r="O876" s="58"/>
      <c r="P876" s="163">
        <f>O876*H876</f>
        <v>0</v>
      </c>
      <c r="Q876" s="163">
        <v>1.2750000000000001E-4</v>
      </c>
      <c r="R876" s="163">
        <f>Q876*H876</f>
        <v>0.31762800000000002</v>
      </c>
      <c r="S876" s="163">
        <v>0</v>
      </c>
      <c r="T876" s="164">
        <f>S876*H876</f>
        <v>0</v>
      </c>
      <c r="U876" s="29"/>
      <c r="V876" s="29"/>
      <c r="W876" s="29"/>
      <c r="X876" s="29"/>
      <c r="Y876" s="29"/>
      <c r="Z876" s="29"/>
      <c r="AA876" s="29"/>
      <c r="AB876" s="29"/>
      <c r="AC876" s="29"/>
      <c r="AD876" s="29"/>
      <c r="AE876" s="29"/>
      <c r="AR876" s="165" t="s">
        <v>213</v>
      </c>
      <c r="AT876" s="165" t="s">
        <v>181</v>
      </c>
      <c r="AU876" s="165" t="s">
        <v>82</v>
      </c>
      <c r="AY876" s="14" t="s">
        <v>179</v>
      </c>
      <c r="BE876" s="166">
        <f>IF(N876="základná",J876,0)</f>
        <v>0</v>
      </c>
      <c r="BF876" s="166">
        <f>IF(N876="znížená",J876,0)</f>
        <v>0</v>
      </c>
      <c r="BG876" s="166">
        <f>IF(N876="zákl. prenesená",J876,0)</f>
        <v>0</v>
      </c>
      <c r="BH876" s="166">
        <f>IF(N876="zníž. prenesená",J876,0)</f>
        <v>0</v>
      </c>
      <c r="BI876" s="166">
        <f>IF(N876="nulová",J876,0)</f>
        <v>0</v>
      </c>
      <c r="BJ876" s="14" t="s">
        <v>82</v>
      </c>
      <c r="BK876" s="166">
        <f>ROUND(I876*H876,2)</f>
        <v>0</v>
      </c>
      <c r="BL876" s="14" t="s">
        <v>213</v>
      </c>
      <c r="BM876" s="165" t="s">
        <v>944</v>
      </c>
    </row>
    <row r="877" spans="1:65" s="209" customFormat="1" ht="12">
      <c r="A877" s="195"/>
      <c r="B877" s="196"/>
      <c r="C877" s="197"/>
      <c r="D877" s="197"/>
      <c r="E877" s="198"/>
      <c r="F877" s="193" t="s">
        <v>3254</v>
      </c>
      <c r="G877" s="185"/>
      <c r="H877" s="192"/>
      <c r="I877" s="194"/>
      <c r="J877" s="194"/>
      <c r="K877" s="202"/>
      <c r="L877" s="203"/>
      <c r="M877" s="204"/>
      <c r="N877" s="205"/>
      <c r="O877" s="206"/>
      <c r="P877" s="207"/>
      <c r="Q877" s="207"/>
      <c r="R877" s="207"/>
      <c r="S877" s="207"/>
      <c r="T877" s="208"/>
      <c r="U877" s="195"/>
      <c r="V877" s="195"/>
      <c r="W877" s="195"/>
      <c r="X877" s="195"/>
      <c r="Y877" s="195"/>
      <c r="Z877" s="195"/>
      <c r="AA877" s="195"/>
      <c r="AB877" s="195"/>
      <c r="AC877" s="195"/>
      <c r="AD877" s="195"/>
      <c r="AE877" s="195"/>
      <c r="AR877" s="210"/>
      <c r="AT877" s="210"/>
      <c r="AU877" s="210"/>
      <c r="AY877" s="211"/>
      <c r="BE877" s="212"/>
      <c r="BF877" s="212"/>
      <c r="BG877" s="212"/>
      <c r="BH877" s="212"/>
      <c r="BI877" s="212"/>
      <c r="BJ877" s="211"/>
      <c r="BK877" s="212"/>
      <c r="BL877" s="211"/>
      <c r="BM877" s="210"/>
    </row>
    <row r="878" spans="1:65" s="209" customFormat="1" ht="12">
      <c r="A878" s="195"/>
      <c r="B878" s="196"/>
      <c r="C878" s="197"/>
      <c r="D878" s="197"/>
      <c r="E878" s="198"/>
      <c r="F878" s="220" t="s">
        <v>3014</v>
      </c>
      <c r="G878" s="185"/>
      <c r="H878" s="192">
        <v>527.20000000000005</v>
      </c>
      <c r="I878" s="194"/>
      <c r="J878" s="194"/>
      <c r="K878" s="202"/>
      <c r="L878" s="203"/>
      <c r="M878" s="204"/>
      <c r="N878" s="205"/>
      <c r="O878" s="206"/>
      <c r="P878" s="207"/>
      <c r="Q878" s="207"/>
      <c r="R878" s="207"/>
      <c r="S878" s="207"/>
      <c r="T878" s="208"/>
      <c r="U878" s="195"/>
      <c r="V878" s="195"/>
      <c r="W878" s="195"/>
      <c r="X878" s="195"/>
      <c r="Y878" s="195"/>
      <c r="Z878" s="195"/>
      <c r="AA878" s="195"/>
      <c r="AB878" s="195"/>
      <c r="AC878" s="195"/>
      <c r="AD878" s="195"/>
      <c r="AE878" s="195"/>
      <c r="AR878" s="210"/>
      <c r="AT878" s="210"/>
      <c r="AU878" s="210"/>
      <c r="AY878" s="211"/>
      <c r="BE878" s="212"/>
      <c r="BF878" s="212"/>
      <c r="BG878" s="212"/>
      <c r="BH878" s="212"/>
      <c r="BI878" s="212"/>
      <c r="BJ878" s="211"/>
      <c r="BK878" s="212"/>
      <c r="BL878" s="211"/>
      <c r="BM878" s="210"/>
    </row>
    <row r="879" spans="1:65" s="209" customFormat="1" ht="12">
      <c r="A879" s="195"/>
      <c r="B879" s="196"/>
      <c r="C879" s="197"/>
      <c r="D879" s="197"/>
      <c r="E879" s="198"/>
      <c r="F879" s="220" t="s">
        <v>3013</v>
      </c>
      <c r="G879" s="185"/>
      <c r="H879" s="192">
        <v>186.6</v>
      </c>
      <c r="I879" s="194"/>
      <c r="J879" s="194"/>
      <c r="K879" s="202"/>
      <c r="L879" s="203"/>
      <c r="M879" s="204"/>
      <c r="N879" s="205"/>
      <c r="O879" s="206"/>
      <c r="P879" s="207"/>
      <c r="Q879" s="207"/>
      <c r="R879" s="207"/>
      <c r="S879" s="207"/>
      <c r="T879" s="208"/>
      <c r="U879" s="195"/>
      <c r="V879" s="195"/>
      <c r="W879" s="195"/>
      <c r="X879" s="195"/>
      <c r="Y879" s="195"/>
      <c r="Z879" s="195"/>
      <c r="AA879" s="195"/>
      <c r="AB879" s="195"/>
      <c r="AC879" s="195"/>
      <c r="AD879" s="195"/>
      <c r="AE879" s="195"/>
      <c r="AR879" s="210"/>
      <c r="AT879" s="210"/>
      <c r="AU879" s="210"/>
      <c r="AY879" s="211"/>
      <c r="BE879" s="212"/>
      <c r="BF879" s="212"/>
      <c r="BG879" s="212"/>
      <c r="BH879" s="212"/>
      <c r="BI879" s="212"/>
      <c r="BJ879" s="211"/>
      <c r="BK879" s="212"/>
      <c r="BL879" s="211"/>
      <c r="BM879" s="210"/>
    </row>
    <row r="880" spans="1:65" s="209" customFormat="1" ht="12">
      <c r="A880" s="195"/>
      <c r="B880" s="196"/>
      <c r="C880" s="197"/>
      <c r="D880" s="197"/>
      <c r="E880" s="198"/>
      <c r="F880" s="193" t="s">
        <v>3255</v>
      </c>
      <c r="G880" s="185"/>
      <c r="H880" s="192"/>
      <c r="I880" s="194"/>
      <c r="J880" s="194"/>
      <c r="K880" s="202"/>
      <c r="L880" s="203"/>
      <c r="M880" s="204"/>
      <c r="N880" s="205"/>
      <c r="O880" s="206"/>
      <c r="P880" s="207"/>
      <c r="Q880" s="207"/>
      <c r="R880" s="207"/>
      <c r="S880" s="207"/>
      <c r="T880" s="208"/>
      <c r="U880" s="195"/>
      <c r="V880" s="195"/>
      <c r="W880" s="195"/>
      <c r="X880" s="195"/>
      <c r="Y880" s="195"/>
      <c r="Z880" s="195"/>
      <c r="AA880" s="195"/>
      <c r="AB880" s="195"/>
      <c r="AC880" s="195"/>
      <c r="AD880" s="195"/>
      <c r="AE880" s="195"/>
      <c r="AR880" s="210"/>
      <c r="AT880" s="210"/>
      <c r="AU880" s="210"/>
      <c r="AY880" s="211"/>
      <c r="BE880" s="212"/>
      <c r="BF880" s="212"/>
      <c r="BG880" s="212"/>
      <c r="BH880" s="212"/>
      <c r="BI880" s="212"/>
      <c r="BJ880" s="211"/>
      <c r="BK880" s="212"/>
      <c r="BL880" s="211"/>
      <c r="BM880" s="210"/>
    </row>
    <row r="881" spans="1:65" s="209" customFormat="1" ht="12">
      <c r="A881" s="195"/>
      <c r="B881" s="196"/>
      <c r="C881" s="197"/>
      <c r="D881" s="197"/>
      <c r="E881" s="198"/>
      <c r="F881" s="184" t="s">
        <v>3020</v>
      </c>
      <c r="G881" s="185"/>
      <c r="H881" s="192">
        <v>1777.4</v>
      </c>
      <c r="I881" s="194"/>
      <c r="J881" s="194"/>
      <c r="K881" s="202"/>
      <c r="L881" s="203"/>
      <c r="M881" s="204"/>
      <c r="N881" s="205"/>
      <c r="O881" s="206"/>
      <c r="P881" s="207"/>
      <c r="Q881" s="207"/>
      <c r="R881" s="207"/>
      <c r="S881" s="207"/>
      <c r="T881" s="208"/>
      <c r="U881" s="195"/>
      <c r="V881" s="195"/>
      <c r="W881" s="195"/>
      <c r="X881" s="195"/>
      <c r="Y881" s="195"/>
      <c r="Z881" s="195"/>
      <c r="AA881" s="195"/>
      <c r="AB881" s="195"/>
      <c r="AC881" s="195"/>
      <c r="AD881" s="195"/>
      <c r="AE881" s="195"/>
      <c r="AR881" s="210"/>
      <c r="AT881" s="210"/>
      <c r="AU881" s="210"/>
      <c r="AY881" s="211"/>
      <c r="BE881" s="212"/>
      <c r="BF881" s="212"/>
      <c r="BG881" s="212"/>
      <c r="BH881" s="212"/>
      <c r="BI881" s="212"/>
      <c r="BJ881" s="211"/>
      <c r="BK881" s="212"/>
      <c r="BL881" s="211"/>
      <c r="BM881" s="210"/>
    </row>
    <row r="882" spans="1:65" s="209" customFormat="1" ht="12">
      <c r="A882" s="195"/>
      <c r="B882" s="196"/>
      <c r="C882" s="197"/>
      <c r="D882" s="197"/>
      <c r="E882" s="198"/>
      <c r="F882" s="187" t="s">
        <v>2983</v>
      </c>
      <c r="G882" s="188"/>
      <c r="H882" s="189">
        <f>SUM(H877:H881)</f>
        <v>2491.2000000000003</v>
      </c>
      <c r="I882" s="194"/>
      <c r="J882" s="194"/>
      <c r="K882" s="202"/>
      <c r="L882" s="203"/>
      <c r="M882" s="204"/>
      <c r="N882" s="205"/>
      <c r="O882" s="206"/>
      <c r="P882" s="207"/>
      <c r="Q882" s="207"/>
      <c r="R882" s="207"/>
      <c r="S882" s="207"/>
      <c r="T882" s="208"/>
      <c r="U882" s="195"/>
      <c r="V882" s="195"/>
      <c r="W882" s="195"/>
      <c r="X882" s="195"/>
      <c r="Y882" s="195"/>
      <c r="Z882" s="195"/>
      <c r="AA882" s="195"/>
      <c r="AB882" s="195"/>
      <c r="AC882" s="195"/>
      <c r="AD882" s="195"/>
      <c r="AE882" s="195"/>
      <c r="AR882" s="210"/>
      <c r="AT882" s="210"/>
      <c r="AU882" s="210"/>
      <c r="AY882" s="211"/>
      <c r="BE882" s="212"/>
      <c r="BF882" s="212"/>
      <c r="BG882" s="212"/>
      <c r="BH882" s="212"/>
      <c r="BI882" s="212"/>
      <c r="BJ882" s="211"/>
      <c r="BK882" s="212"/>
      <c r="BL882" s="211"/>
      <c r="BM882" s="210"/>
    </row>
    <row r="883" spans="1:65" s="2" customFormat="1" ht="37.9" customHeight="1">
      <c r="A883" s="29"/>
      <c r="B883" s="152"/>
      <c r="C883" s="153" t="s">
        <v>577</v>
      </c>
      <c r="D883" s="153" t="s">
        <v>181</v>
      </c>
      <c r="E883" s="154" t="s">
        <v>945</v>
      </c>
      <c r="F883" s="155" t="s">
        <v>946</v>
      </c>
      <c r="G883" s="156" t="s">
        <v>184</v>
      </c>
      <c r="H883" s="157">
        <v>2491.1999999999998</v>
      </c>
      <c r="I883" s="158"/>
      <c r="J883" s="159">
        <v>0</v>
      </c>
      <c r="K883" s="160"/>
      <c r="L883" s="30"/>
      <c r="M883" s="161" t="s">
        <v>1</v>
      </c>
      <c r="N883" s="162" t="s">
        <v>35</v>
      </c>
      <c r="O883" s="58"/>
      <c r="P883" s="163">
        <f>O883*H883</f>
        <v>0</v>
      </c>
      <c r="Q883" s="163">
        <v>4.2356000000000002E-4</v>
      </c>
      <c r="R883" s="163">
        <f>Q883*H883</f>
        <v>1.0551726719999999</v>
      </c>
      <c r="S883" s="163">
        <v>0</v>
      </c>
      <c r="T883" s="164">
        <f>S883*H883</f>
        <v>0</v>
      </c>
      <c r="U883" s="29"/>
      <c r="V883" s="29"/>
      <c r="W883" s="29"/>
      <c r="X883" s="29"/>
      <c r="Y883" s="29"/>
      <c r="Z883" s="29"/>
      <c r="AA883" s="29"/>
      <c r="AB883" s="29"/>
      <c r="AC883" s="29"/>
      <c r="AD883" s="29"/>
      <c r="AE883" s="29"/>
      <c r="AR883" s="165" t="s">
        <v>213</v>
      </c>
      <c r="AT883" s="165" t="s">
        <v>181</v>
      </c>
      <c r="AU883" s="165" t="s">
        <v>82</v>
      </c>
      <c r="AY883" s="14" t="s">
        <v>179</v>
      </c>
      <c r="BE883" s="166">
        <f>IF(N883="základná",J883,0)</f>
        <v>0</v>
      </c>
      <c r="BF883" s="166">
        <f>IF(N883="znížená",J883,0)</f>
        <v>0</v>
      </c>
      <c r="BG883" s="166">
        <f>IF(N883="zákl. prenesená",J883,0)</f>
        <v>0</v>
      </c>
      <c r="BH883" s="166">
        <f>IF(N883="zníž. prenesená",J883,0)</f>
        <v>0</v>
      </c>
      <c r="BI883" s="166">
        <f>IF(N883="nulová",J883,0)</f>
        <v>0</v>
      </c>
      <c r="BJ883" s="14" t="s">
        <v>82</v>
      </c>
      <c r="BK883" s="166">
        <f>ROUND(I883*H883,2)</f>
        <v>0</v>
      </c>
      <c r="BL883" s="14" t="s">
        <v>213</v>
      </c>
      <c r="BM883" s="165" t="s">
        <v>947</v>
      </c>
    </row>
    <row r="884" spans="1:65" s="209" customFormat="1" ht="12">
      <c r="A884" s="195"/>
      <c r="B884" s="196"/>
      <c r="C884" s="197"/>
      <c r="D884" s="197"/>
      <c r="E884" s="198"/>
      <c r="F884" s="193" t="s">
        <v>3254</v>
      </c>
      <c r="G884" s="185"/>
      <c r="H884" s="192"/>
      <c r="I884" s="194"/>
      <c r="J884" s="194"/>
      <c r="K884" s="202"/>
      <c r="L884" s="203"/>
      <c r="M884" s="204"/>
      <c r="N884" s="205"/>
      <c r="O884" s="206"/>
      <c r="P884" s="207"/>
      <c r="Q884" s="207"/>
      <c r="R884" s="207"/>
      <c r="S884" s="207"/>
      <c r="T884" s="208"/>
      <c r="U884" s="195"/>
      <c r="V884" s="195"/>
      <c r="W884" s="195"/>
      <c r="X884" s="195"/>
      <c r="Y884" s="195"/>
      <c r="Z884" s="195"/>
      <c r="AA884" s="195"/>
      <c r="AB884" s="195"/>
      <c r="AC884" s="195"/>
      <c r="AD884" s="195"/>
      <c r="AE884" s="195"/>
      <c r="AR884" s="210"/>
      <c r="AT884" s="210"/>
      <c r="AU884" s="210"/>
      <c r="AY884" s="211"/>
      <c r="BE884" s="212"/>
      <c r="BF884" s="212"/>
      <c r="BG884" s="212"/>
      <c r="BH884" s="212"/>
      <c r="BI884" s="212"/>
      <c r="BJ884" s="211"/>
      <c r="BK884" s="212"/>
      <c r="BL884" s="211"/>
      <c r="BM884" s="210"/>
    </row>
    <row r="885" spans="1:65" s="209" customFormat="1" ht="12">
      <c r="A885" s="195"/>
      <c r="B885" s="196"/>
      <c r="C885" s="197"/>
      <c r="D885" s="197"/>
      <c r="E885" s="198"/>
      <c r="F885" s="220" t="s">
        <v>3014</v>
      </c>
      <c r="G885" s="185"/>
      <c r="H885" s="192">
        <v>527.20000000000005</v>
      </c>
      <c r="I885" s="194"/>
      <c r="J885" s="194"/>
      <c r="K885" s="202"/>
      <c r="L885" s="203"/>
      <c r="M885" s="204"/>
      <c r="N885" s="205"/>
      <c r="O885" s="206"/>
      <c r="P885" s="207"/>
      <c r="Q885" s="207"/>
      <c r="R885" s="207"/>
      <c r="S885" s="207"/>
      <c r="T885" s="208"/>
      <c r="U885" s="195"/>
      <c r="V885" s="195"/>
      <c r="W885" s="195"/>
      <c r="X885" s="195"/>
      <c r="Y885" s="195"/>
      <c r="Z885" s="195"/>
      <c r="AA885" s="195"/>
      <c r="AB885" s="195"/>
      <c r="AC885" s="195"/>
      <c r="AD885" s="195"/>
      <c r="AE885" s="195"/>
      <c r="AR885" s="210"/>
      <c r="AT885" s="210"/>
      <c r="AU885" s="210"/>
      <c r="AY885" s="211"/>
      <c r="BE885" s="212"/>
      <c r="BF885" s="212"/>
      <c r="BG885" s="212"/>
      <c r="BH885" s="212"/>
      <c r="BI885" s="212"/>
      <c r="BJ885" s="211"/>
      <c r="BK885" s="212"/>
      <c r="BL885" s="211"/>
      <c r="BM885" s="210"/>
    </row>
    <row r="886" spans="1:65" s="209" customFormat="1" ht="12">
      <c r="A886" s="195"/>
      <c r="B886" s="196"/>
      <c r="C886" s="197"/>
      <c r="D886" s="197"/>
      <c r="E886" s="198"/>
      <c r="F886" s="220" t="s">
        <v>3013</v>
      </c>
      <c r="G886" s="185"/>
      <c r="H886" s="192">
        <v>186.6</v>
      </c>
      <c r="I886" s="194"/>
      <c r="J886" s="194"/>
      <c r="K886" s="202"/>
      <c r="L886" s="203"/>
      <c r="M886" s="204"/>
      <c r="N886" s="205"/>
      <c r="O886" s="206"/>
      <c r="P886" s="207"/>
      <c r="Q886" s="207"/>
      <c r="R886" s="207"/>
      <c r="S886" s="207"/>
      <c r="T886" s="208"/>
      <c r="U886" s="195"/>
      <c r="V886" s="195"/>
      <c r="W886" s="195"/>
      <c r="X886" s="195"/>
      <c r="Y886" s="195"/>
      <c r="Z886" s="195"/>
      <c r="AA886" s="195"/>
      <c r="AB886" s="195"/>
      <c r="AC886" s="195"/>
      <c r="AD886" s="195"/>
      <c r="AE886" s="195"/>
      <c r="AR886" s="210"/>
      <c r="AT886" s="210"/>
      <c r="AU886" s="210"/>
      <c r="AY886" s="211"/>
      <c r="BE886" s="212"/>
      <c r="BF886" s="212"/>
      <c r="BG886" s="212"/>
      <c r="BH886" s="212"/>
      <c r="BI886" s="212"/>
      <c r="BJ886" s="211"/>
      <c r="BK886" s="212"/>
      <c r="BL886" s="211"/>
      <c r="BM886" s="210"/>
    </row>
    <row r="887" spans="1:65" s="209" customFormat="1" ht="12">
      <c r="A887" s="195"/>
      <c r="B887" s="196"/>
      <c r="C887" s="197"/>
      <c r="D887" s="197"/>
      <c r="E887" s="198"/>
      <c r="F887" s="193" t="s">
        <v>3255</v>
      </c>
      <c r="G887" s="185"/>
      <c r="H887" s="192"/>
      <c r="I887" s="194"/>
      <c r="J887" s="194"/>
      <c r="K887" s="202"/>
      <c r="L887" s="203"/>
      <c r="M887" s="204"/>
      <c r="N887" s="205"/>
      <c r="O887" s="206"/>
      <c r="P887" s="207"/>
      <c r="Q887" s="207"/>
      <c r="R887" s="207"/>
      <c r="S887" s="207"/>
      <c r="T887" s="208"/>
      <c r="U887" s="195"/>
      <c r="V887" s="195"/>
      <c r="W887" s="195"/>
      <c r="X887" s="195"/>
      <c r="Y887" s="195"/>
      <c r="Z887" s="195"/>
      <c r="AA887" s="195"/>
      <c r="AB887" s="195"/>
      <c r="AC887" s="195"/>
      <c r="AD887" s="195"/>
      <c r="AE887" s="195"/>
      <c r="AR887" s="210"/>
      <c r="AT887" s="210"/>
      <c r="AU887" s="210"/>
      <c r="AY887" s="211"/>
      <c r="BE887" s="212"/>
      <c r="BF887" s="212"/>
      <c r="BG887" s="212"/>
      <c r="BH887" s="212"/>
      <c r="BI887" s="212"/>
      <c r="BJ887" s="211"/>
      <c r="BK887" s="212"/>
      <c r="BL887" s="211"/>
      <c r="BM887" s="210"/>
    </row>
    <row r="888" spans="1:65" s="209" customFormat="1" ht="12">
      <c r="A888" s="195"/>
      <c r="B888" s="196"/>
      <c r="C888" s="197"/>
      <c r="D888" s="197"/>
      <c r="E888" s="198"/>
      <c r="F888" s="184" t="s">
        <v>3020</v>
      </c>
      <c r="G888" s="185"/>
      <c r="H888" s="192">
        <v>1777.4</v>
      </c>
      <c r="I888" s="194"/>
      <c r="J888" s="194"/>
      <c r="K888" s="202"/>
      <c r="L888" s="203"/>
      <c r="M888" s="204"/>
      <c r="N888" s="205"/>
      <c r="O888" s="206"/>
      <c r="P888" s="207"/>
      <c r="Q888" s="207"/>
      <c r="R888" s="207"/>
      <c r="S888" s="207"/>
      <c r="T888" s="208"/>
      <c r="U888" s="195"/>
      <c r="V888" s="195"/>
      <c r="W888" s="195"/>
      <c r="X888" s="195"/>
      <c r="Y888" s="195"/>
      <c r="Z888" s="195"/>
      <c r="AA888" s="195"/>
      <c r="AB888" s="195"/>
      <c r="AC888" s="195"/>
      <c r="AD888" s="195"/>
      <c r="AE888" s="195"/>
      <c r="AR888" s="210"/>
      <c r="AT888" s="210"/>
      <c r="AU888" s="210"/>
      <c r="AY888" s="211"/>
      <c r="BE888" s="212"/>
      <c r="BF888" s="212"/>
      <c r="BG888" s="212"/>
      <c r="BH888" s="212"/>
      <c r="BI888" s="212"/>
      <c r="BJ888" s="211"/>
      <c r="BK888" s="212"/>
      <c r="BL888" s="211"/>
      <c r="BM888" s="210"/>
    </row>
    <row r="889" spans="1:65" s="209" customFormat="1" ht="12">
      <c r="A889" s="195"/>
      <c r="B889" s="196"/>
      <c r="C889" s="197"/>
      <c r="D889" s="197"/>
      <c r="E889" s="198"/>
      <c r="F889" s="187" t="s">
        <v>2983</v>
      </c>
      <c r="G889" s="188"/>
      <c r="H889" s="189">
        <f>SUM(H884:H888)</f>
        <v>2491.2000000000003</v>
      </c>
      <c r="I889" s="194"/>
      <c r="J889" s="194"/>
      <c r="K889" s="202"/>
      <c r="L889" s="203"/>
      <c r="M889" s="204"/>
      <c r="N889" s="205"/>
      <c r="O889" s="206"/>
      <c r="P889" s="207"/>
      <c r="Q889" s="207"/>
      <c r="R889" s="207"/>
      <c r="S889" s="207"/>
      <c r="T889" s="208"/>
      <c r="U889" s="195"/>
      <c r="V889" s="195"/>
      <c r="W889" s="195"/>
      <c r="X889" s="195"/>
      <c r="Y889" s="195"/>
      <c r="Z889" s="195"/>
      <c r="AA889" s="195"/>
      <c r="AB889" s="195"/>
      <c r="AC889" s="195"/>
      <c r="AD889" s="195"/>
      <c r="AE889" s="195"/>
      <c r="AR889" s="210"/>
      <c r="AT889" s="210"/>
      <c r="AU889" s="210"/>
      <c r="AY889" s="211"/>
      <c r="BE889" s="212"/>
      <c r="BF889" s="212"/>
      <c r="BG889" s="212"/>
      <c r="BH889" s="212"/>
      <c r="BI889" s="212"/>
      <c r="BJ889" s="211"/>
      <c r="BK889" s="212"/>
      <c r="BL889" s="211"/>
      <c r="BM889" s="210"/>
    </row>
    <row r="890" spans="1:65" s="2" customFormat="1" ht="21.75" customHeight="1">
      <c r="A890" s="29"/>
      <c r="B890" s="152"/>
      <c r="C890" s="153" t="s">
        <v>948</v>
      </c>
      <c r="D890" s="153" t="s">
        <v>181</v>
      </c>
      <c r="E890" s="154" t="s">
        <v>949</v>
      </c>
      <c r="F890" s="155" t="s">
        <v>950</v>
      </c>
      <c r="G890" s="156" t="s">
        <v>184</v>
      </c>
      <c r="H890" s="157">
        <v>238.5</v>
      </c>
      <c r="I890" s="158"/>
      <c r="J890" s="159">
        <v>0</v>
      </c>
      <c r="K890" s="160"/>
      <c r="L890" s="30"/>
      <c r="M890" s="161" t="s">
        <v>1</v>
      </c>
      <c r="N890" s="162" t="s">
        <v>35</v>
      </c>
      <c r="O890" s="58"/>
      <c r="P890" s="163">
        <f>O890*H890</f>
        <v>0</v>
      </c>
      <c r="Q890" s="163">
        <v>0</v>
      </c>
      <c r="R890" s="163">
        <f>Q890*H890</f>
        <v>0</v>
      </c>
      <c r="S890" s="163">
        <v>0</v>
      </c>
      <c r="T890" s="164">
        <f>S890*H890</f>
        <v>0</v>
      </c>
      <c r="U890" s="29"/>
      <c r="V890" s="29"/>
      <c r="W890" s="29"/>
      <c r="X890" s="29"/>
      <c r="Y890" s="29"/>
      <c r="Z890" s="29"/>
      <c r="AA890" s="29"/>
      <c r="AB890" s="29"/>
      <c r="AC890" s="29"/>
      <c r="AD890" s="29"/>
      <c r="AE890" s="29"/>
      <c r="AR890" s="165" t="s">
        <v>213</v>
      </c>
      <c r="AT890" s="165" t="s">
        <v>181</v>
      </c>
      <c r="AU890" s="165" t="s">
        <v>82</v>
      </c>
      <c r="AY890" s="14" t="s">
        <v>179</v>
      </c>
      <c r="BE890" s="166">
        <f>IF(N890="základná",J890,0)</f>
        <v>0</v>
      </c>
      <c r="BF890" s="166">
        <f>IF(N890="znížená",J890,0)</f>
        <v>0</v>
      </c>
      <c r="BG890" s="166">
        <f>IF(N890="zákl. prenesená",J890,0)</f>
        <v>0</v>
      </c>
      <c r="BH890" s="166">
        <f>IF(N890="zníž. prenesená",J890,0)</f>
        <v>0</v>
      </c>
      <c r="BI890" s="166">
        <f>IF(N890="nulová",J890,0)</f>
        <v>0</v>
      </c>
      <c r="BJ890" s="14" t="s">
        <v>82</v>
      </c>
      <c r="BK890" s="166">
        <f>ROUND(I890*H890,2)</f>
        <v>0</v>
      </c>
      <c r="BL890" s="14" t="s">
        <v>213</v>
      </c>
      <c r="BM890" s="165" t="s">
        <v>951</v>
      </c>
    </row>
    <row r="891" spans="1:65" s="209" customFormat="1" ht="22.5">
      <c r="A891" s="195"/>
      <c r="B891" s="196"/>
      <c r="C891" s="197"/>
      <c r="D891" s="197"/>
      <c r="E891" s="198"/>
      <c r="F891" s="184" t="s">
        <v>3026</v>
      </c>
      <c r="G891" s="185"/>
      <c r="H891" s="186">
        <f>ROUND((2*6+4.5+0.35)*13.97+4.5*7.4-(2.5*3.9+3.95*3.9+5*1.2*0.6+4*0.6*0.6),2)</f>
        <v>238.5</v>
      </c>
      <c r="I891" s="194"/>
      <c r="J891" s="194"/>
      <c r="K891" s="202"/>
      <c r="L891" s="203"/>
      <c r="M891" s="204"/>
      <c r="N891" s="205"/>
      <c r="O891" s="206"/>
      <c r="P891" s="207"/>
      <c r="Q891" s="207"/>
      <c r="R891" s="207"/>
      <c r="S891" s="207"/>
      <c r="T891" s="208"/>
      <c r="U891" s="195"/>
      <c r="V891" s="195"/>
      <c r="W891" s="195"/>
      <c r="X891" s="195"/>
      <c r="Y891" s="195"/>
      <c r="Z891" s="195"/>
      <c r="AA891" s="195"/>
      <c r="AB891" s="195"/>
      <c r="AC891" s="195"/>
      <c r="AD891" s="195"/>
      <c r="AE891" s="195"/>
      <c r="AR891" s="210"/>
      <c r="AT891" s="210"/>
      <c r="AU891" s="210"/>
      <c r="AY891" s="211"/>
      <c r="BE891" s="212"/>
      <c r="BF891" s="212"/>
      <c r="BG891" s="212"/>
      <c r="BH891" s="212"/>
      <c r="BI891" s="212"/>
      <c r="BJ891" s="211"/>
      <c r="BK891" s="212"/>
      <c r="BL891" s="211"/>
      <c r="BM891" s="210"/>
    </row>
    <row r="892" spans="1:65" s="209" customFormat="1" ht="12">
      <c r="A892" s="195"/>
      <c r="B892" s="196"/>
      <c r="C892" s="197"/>
      <c r="D892" s="197"/>
      <c r="E892" s="198"/>
      <c r="F892" s="187" t="s">
        <v>2983</v>
      </c>
      <c r="G892" s="188"/>
      <c r="H892" s="189">
        <f>SUM(H891:H891)</f>
        <v>238.5</v>
      </c>
      <c r="I892" s="194"/>
      <c r="J892" s="194"/>
      <c r="K892" s="202"/>
      <c r="L892" s="203"/>
      <c r="M892" s="204"/>
      <c r="N892" s="205"/>
      <c r="O892" s="206"/>
      <c r="P892" s="207"/>
      <c r="Q892" s="207"/>
      <c r="R892" s="207"/>
      <c r="S892" s="207"/>
      <c r="T892" s="208"/>
      <c r="U892" s="195"/>
      <c r="V892" s="195"/>
      <c r="W892" s="195"/>
      <c r="X892" s="195"/>
      <c r="Y892" s="195"/>
      <c r="Z892" s="195"/>
      <c r="AA892" s="195"/>
      <c r="AB892" s="195"/>
      <c r="AC892" s="195"/>
      <c r="AD892" s="195"/>
      <c r="AE892" s="195"/>
      <c r="AR892" s="210"/>
      <c r="AT892" s="210"/>
      <c r="AU892" s="210"/>
      <c r="AY892" s="211"/>
      <c r="BE892" s="212"/>
      <c r="BF892" s="212"/>
      <c r="BG892" s="212"/>
      <c r="BH892" s="212"/>
      <c r="BI892" s="212"/>
      <c r="BJ892" s="211"/>
      <c r="BK892" s="212"/>
      <c r="BL892" s="211"/>
      <c r="BM892" s="210"/>
    </row>
    <row r="893" spans="1:65" s="12" customFormat="1" ht="22.9" customHeight="1">
      <c r="B893" s="139"/>
      <c r="D893" s="140" t="s">
        <v>68</v>
      </c>
      <c r="E893" s="150" t="s">
        <v>952</v>
      </c>
      <c r="F893" s="150" t="s">
        <v>940</v>
      </c>
      <c r="I893" s="142"/>
      <c r="J893" s="151">
        <f>BK893</f>
        <v>0</v>
      </c>
      <c r="L893" s="139"/>
      <c r="M893" s="144"/>
      <c r="N893" s="145"/>
      <c r="O893" s="145"/>
      <c r="P893" s="146">
        <f>P894</f>
        <v>0</v>
      </c>
      <c r="Q893" s="145"/>
      <c r="R893" s="146">
        <f>R894</f>
        <v>7.3695727999999996E-4</v>
      </c>
      <c r="S893" s="145"/>
      <c r="T893" s="147">
        <f>T894</f>
        <v>0</v>
      </c>
      <c r="AR893" s="140" t="s">
        <v>82</v>
      </c>
      <c r="AT893" s="148" t="s">
        <v>68</v>
      </c>
      <c r="AU893" s="148" t="s">
        <v>76</v>
      </c>
      <c r="AY893" s="140" t="s">
        <v>179</v>
      </c>
      <c r="BK893" s="149">
        <f>BK894</f>
        <v>0</v>
      </c>
    </row>
    <row r="894" spans="1:65" s="2" customFormat="1" ht="24.2" customHeight="1">
      <c r="A894" s="29"/>
      <c r="B894" s="152"/>
      <c r="C894" s="153" t="s">
        <v>578</v>
      </c>
      <c r="D894" s="153" t="s">
        <v>181</v>
      </c>
      <c r="E894" s="154" t="s">
        <v>953</v>
      </c>
      <c r="F894" s="155" t="s">
        <v>954</v>
      </c>
      <c r="G894" s="156" t="s">
        <v>184</v>
      </c>
      <c r="H894" s="157">
        <v>0.57999999999999996</v>
      </c>
      <c r="I894" s="158"/>
      <c r="J894" s="159">
        <v>0</v>
      </c>
      <c r="K894" s="160"/>
      <c r="L894" s="30"/>
      <c r="M894" s="161" t="s">
        <v>1</v>
      </c>
      <c r="N894" s="162" t="s">
        <v>35</v>
      </c>
      <c r="O894" s="58"/>
      <c r="P894" s="163">
        <f>O894*H894</f>
        <v>0</v>
      </c>
      <c r="Q894" s="163">
        <v>1.270616E-3</v>
      </c>
      <c r="R894" s="163">
        <f>Q894*H894</f>
        <v>7.3695727999999996E-4</v>
      </c>
      <c r="S894" s="163">
        <v>0</v>
      </c>
      <c r="T894" s="164">
        <f>S894*H894</f>
        <v>0</v>
      </c>
      <c r="U894" s="29"/>
      <c r="V894" s="29"/>
      <c r="W894" s="29"/>
      <c r="X894" s="29"/>
      <c r="Y894" s="29"/>
      <c r="Z894" s="29"/>
      <c r="AA894" s="29"/>
      <c r="AB894" s="29"/>
      <c r="AC894" s="29"/>
      <c r="AD894" s="29"/>
      <c r="AE894" s="29"/>
      <c r="AR894" s="165" t="s">
        <v>213</v>
      </c>
      <c r="AT894" s="165" t="s">
        <v>181</v>
      </c>
      <c r="AU894" s="165" t="s">
        <v>82</v>
      </c>
      <c r="AY894" s="14" t="s">
        <v>179</v>
      </c>
      <c r="BE894" s="166">
        <f>IF(N894="základná",J894,0)</f>
        <v>0</v>
      </c>
      <c r="BF894" s="166">
        <f>IF(N894="znížená",J894,0)</f>
        <v>0</v>
      </c>
      <c r="BG894" s="166">
        <f>IF(N894="zákl. prenesená",J894,0)</f>
        <v>0</v>
      </c>
      <c r="BH894" s="166">
        <f>IF(N894="zníž. prenesená",J894,0)</f>
        <v>0</v>
      </c>
      <c r="BI894" s="166">
        <f>IF(N894="nulová",J894,0)</f>
        <v>0</v>
      </c>
      <c r="BJ894" s="14" t="s">
        <v>82</v>
      </c>
      <c r="BK894" s="166">
        <f>ROUND(I894*H894,2)</f>
        <v>0</v>
      </c>
      <c r="BL894" s="14" t="s">
        <v>213</v>
      </c>
      <c r="BM894" s="165" t="s">
        <v>955</v>
      </c>
    </row>
    <row r="895" spans="1:65" s="209" customFormat="1" ht="12">
      <c r="A895" s="195"/>
      <c r="B895" s="196"/>
      <c r="C895" s="197"/>
      <c r="D895" s="197"/>
      <c r="E895" s="198"/>
      <c r="F895" s="251" t="s">
        <v>3256</v>
      </c>
      <c r="G895" s="219"/>
      <c r="H895" s="192"/>
      <c r="I895" s="194"/>
      <c r="J895" s="194"/>
      <c r="K895" s="202"/>
      <c r="L895" s="203"/>
      <c r="M895" s="204"/>
      <c r="N895" s="205"/>
      <c r="O895" s="206"/>
      <c r="P895" s="207"/>
      <c r="Q895" s="207"/>
      <c r="R895" s="207"/>
      <c r="S895" s="207"/>
      <c r="T895" s="208"/>
      <c r="U895" s="195"/>
      <c r="V895" s="195"/>
      <c r="W895" s="195"/>
      <c r="X895" s="195"/>
      <c r="Y895" s="195"/>
      <c r="Z895" s="195"/>
      <c r="AA895" s="195"/>
      <c r="AB895" s="195"/>
      <c r="AC895" s="195"/>
      <c r="AD895" s="195"/>
      <c r="AE895" s="195"/>
      <c r="AR895" s="210"/>
      <c r="AT895" s="210"/>
      <c r="AU895" s="210"/>
      <c r="AY895" s="211"/>
      <c r="BE895" s="212"/>
      <c r="BF895" s="212"/>
      <c r="BG895" s="212"/>
      <c r="BH895" s="212"/>
      <c r="BI895" s="212"/>
      <c r="BJ895" s="211"/>
      <c r="BK895" s="212"/>
      <c r="BL895" s="211"/>
      <c r="BM895" s="210"/>
    </row>
    <row r="896" spans="1:65" s="209" customFormat="1" ht="12">
      <c r="A896" s="195"/>
      <c r="B896" s="196"/>
      <c r="C896" s="197"/>
      <c r="D896" s="197"/>
      <c r="E896" s="198"/>
      <c r="F896" s="184" t="s">
        <v>3257</v>
      </c>
      <c r="G896" s="219"/>
      <c r="H896" s="192">
        <v>0.18</v>
      </c>
      <c r="I896" s="194"/>
      <c r="J896" s="194"/>
      <c r="K896" s="202"/>
      <c r="L896" s="203"/>
      <c r="M896" s="204"/>
      <c r="N896" s="205"/>
      <c r="O896" s="206"/>
      <c r="P896" s="207"/>
      <c r="Q896" s="207"/>
      <c r="R896" s="207"/>
      <c r="S896" s="207"/>
      <c r="T896" s="208"/>
      <c r="U896" s="195"/>
      <c r="V896" s="195"/>
      <c r="W896" s="195"/>
      <c r="X896" s="195"/>
      <c r="Y896" s="195"/>
      <c r="Z896" s="195"/>
      <c r="AA896" s="195"/>
      <c r="AB896" s="195"/>
      <c r="AC896" s="195"/>
      <c r="AD896" s="195"/>
      <c r="AE896" s="195"/>
      <c r="AR896" s="210"/>
      <c r="AT896" s="210"/>
      <c r="AU896" s="210"/>
      <c r="AY896" s="211"/>
      <c r="BE896" s="212"/>
      <c r="BF896" s="212"/>
      <c r="BG896" s="212"/>
      <c r="BH896" s="212"/>
      <c r="BI896" s="212"/>
      <c r="BJ896" s="211"/>
      <c r="BK896" s="212"/>
      <c r="BL896" s="211"/>
      <c r="BM896" s="210"/>
    </row>
    <row r="897" spans="1:65" s="209" customFormat="1" ht="12">
      <c r="A897" s="195"/>
      <c r="B897" s="196"/>
      <c r="C897" s="197"/>
      <c r="D897" s="197"/>
      <c r="E897" s="198"/>
      <c r="F897" s="184" t="s">
        <v>3258</v>
      </c>
      <c r="G897" s="219"/>
      <c r="H897" s="192">
        <f>2*0.2</f>
        <v>0.4</v>
      </c>
      <c r="I897" s="194"/>
      <c r="J897" s="194"/>
      <c r="K897" s="202"/>
      <c r="L897" s="203"/>
      <c r="M897" s="204"/>
      <c r="N897" s="205"/>
      <c r="O897" s="206"/>
      <c r="P897" s="207"/>
      <c r="Q897" s="207"/>
      <c r="R897" s="207"/>
      <c r="S897" s="207"/>
      <c r="T897" s="208"/>
      <c r="U897" s="195"/>
      <c r="V897" s="195"/>
      <c r="W897" s="195"/>
      <c r="X897" s="195"/>
      <c r="Y897" s="195"/>
      <c r="Z897" s="195"/>
      <c r="AA897" s="195"/>
      <c r="AB897" s="195"/>
      <c r="AC897" s="195"/>
      <c r="AD897" s="195"/>
      <c r="AE897" s="195"/>
      <c r="AR897" s="210"/>
      <c r="AT897" s="210"/>
      <c r="AU897" s="210"/>
      <c r="AY897" s="211"/>
      <c r="BE897" s="212"/>
      <c r="BF897" s="212"/>
      <c r="BG897" s="212"/>
      <c r="BH897" s="212"/>
      <c r="BI897" s="212"/>
      <c r="BJ897" s="211"/>
      <c r="BK897" s="212"/>
      <c r="BL897" s="211"/>
      <c r="BM897" s="210"/>
    </row>
    <row r="898" spans="1:65" s="209" customFormat="1" ht="12">
      <c r="A898" s="195"/>
      <c r="B898" s="196"/>
      <c r="C898" s="197"/>
      <c r="D898" s="197"/>
      <c r="E898" s="198"/>
      <c r="F898" s="187" t="s">
        <v>2983</v>
      </c>
      <c r="G898" s="188"/>
      <c r="H898" s="189">
        <f>SUM(H896:H897)</f>
        <v>0.58000000000000007</v>
      </c>
      <c r="I898" s="194"/>
      <c r="J898" s="194"/>
      <c r="K898" s="202"/>
      <c r="L898" s="203"/>
      <c r="M898" s="204"/>
      <c r="N898" s="205"/>
      <c r="O898" s="206"/>
      <c r="P898" s="207"/>
      <c r="Q898" s="207"/>
      <c r="R898" s="207"/>
      <c r="S898" s="207"/>
      <c r="T898" s="208"/>
      <c r="U898" s="195"/>
      <c r="V898" s="195"/>
      <c r="W898" s="195"/>
      <c r="X898" s="195"/>
      <c r="Y898" s="195"/>
      <c r="Z898" s="195"/>
      <c r="AA898" s="195"/>
      <c r="AB898" s="195"/>
      <c r="AC898" s="195"/>
      <c r="AD898" s="195"/>
      <c r="AE898" s="195"/>
      <c r="AR898" s="210"/>
      <c r="AT898" s="210"/>
      <c r="AU898" s="210"/>
      <c r="AY898" s="211"/>
      <c r="BE898" s="212"/>
      <c r="BF898" s="212"/>
      <c r="BG898" s="212"/>
      <c r="BH898" s="212"/>
      <c r="BI898" s="212"/>
      <c r="BJ898" s="211"/>
      <c r="BK898" s="212"/>
      <c r="BL898" s="211"/>
      <c r="BM898" s="210"/>
    </row>
    <row r="899" spans="1:65" s="12" customFormat="1" ht="25.9" customHeight="1">
      <c r="B899" s="139"/>
      <c r="D899" s="140" t="s">
        <v>68</v>
      </c>
      <c r="E899" s="141" t="s">
        <v>202</v>
      </c>
      <c r="F899" s="141" t="s">
        <v>555</v>
      </c>
      <c r="I899" s="142"/>
      <c r="J899" s="143">
        <v>0</v>
      </c>
      <c r="L899" s="139"/>
      <c r="M899" s="144"/>
      <c r="N899" s="145"/>
      <c r="O899" s="145"/>
      <c r="P899" s="146">
        <f>P900</f>
        <v>0</v>
      </c>
      <c r="Q899" s="145"/>
      <c r="R899" s="146">
        <f>R900</f>
        <v>0</v>
      </c>
      <c r="S899" s="145"/>
      <c r="T899" s="147">
        <f>T900</f>
        <v>0</v>
      </c>
      <c r="AR899" s="140" t="s">
        <v>188</v>
      </c>
      <c r="AT899" s="148" t="s">
        <v>68</v>
      </c>
      <c r="AU899" s="148" t="s">
        <v>69</v>
      </c>
      <c r="AY899" s="140" t="s">
        <v>179</v>
      </c>
      <c r="BK899" s="149">
        <f>BK900</f>
        <v>0</v>
      </c>
    </row>
    <row r="900" spans="1:65" s="12" customFormat="1" ht="22.9" customHeight="1">
      <c r="B900" s="139"/>
      <c r="D900" s="140" t="s">
        <v>68</v>
      </c>
      <c r="E900" s="150" t="s">
        <v>956</v>
      </c>
      <c r="F900" s="150" t="s">
        <v>557</v>
      </c>
      <c r="I900" s="142"/>
      <c r="J900" s="151">
        <v>0</v>
      </c>
      <c r="L900" s="139"/>
      <c r="M900" s="144"/>
      <c r="N900" s="145"/>
      <c r="O900" s="145"/>
      <c r="P900" s="146">
        <f>SUM(P901:P907)</f>
        <v>0</v>
      </c>
      <c r="Q900" s="145"/>
      <c r="R900" s="146">
        <f>SUM(R901:R907)</f>
        <v>0</v>
      </c>
      <c r="S900" s="145"/>
      <c r="T900" s="147">
        <f>SUM(T901:T907)</f>
        <v>0</v>
      </c>
      <c r="AR900" s="140" t="s">
        <v>188</v>
      </c>
      <c r="AT900" s="148" t="s">
        <v>68</v>
      </c>
      <c r="AU900" s="148" t="s">
        <v>76</v>
      </c>
      <c r="AY900" s="140" t="s">
        <v>179</v>
      </c>
      <c r="BK900" s="149">
        <f>SUM(BK901:BK907)</f>
        <v>0</v>
      </c>
    </row>
    <row r="901" spans="1:65" s="2" customFormat="1" ht="24.2" customHeight="1">
      <c r="A901" s="29"/>
      <c r="B901" s="152"/>
      <c r="C901" s="153" t="s">
        <v>957</v>
      </c>
      <c r="D901" s="153" t="s">
        <v>181</v>
      </c>
      <c r="E901" s="154" t="s">
        <v>958</v>
      </c>
      <c r="F901" s="155" t="s">
        <v>959</v>
      </c>
      <c r="G901" s="156" t="s">
        <v>574</v>
      </c>
      <c r="H901" s="157">
        <v>6492</v>
      </c>
      <c r="I901" s="158"/>
      <c r="J901" s="159">
        <v>0</v>
      </c>
      <c r="K901" s="160"/>
      <c r="L901" s="30"/>
      <c r="M901" s="161" t="s">
        <v>1</v>
      </c>
      <c r="N901" s="162" t="s">
        <v>35</v>
      </c>
      <c r="O901" s="58"/>
      <c r="P901" s="163">
        <f>O901*H901</f>
        <v>0</v>
      </c>
      <c r="Q901" s="163">
        <v>0</v>
      </c>
      <c r="R901" s="163">
        <f>Q901*H901</f>
        <v>0</v>
      </c>
      <c r="S901" s="163">
        <v>0</v>
      </c>
      <c r="T901" s="164">
        <f>S901*H901</f>
        <v>0</v>
      </c>
      <c r="U901" s="29"/>
      <c r="V901" s="29"/>
      <c r="W901" s="29"/>
      <c r="X901" s="29"/>
      <c r="Y901" s="29"/>
      <c r="Z901" s="29"/>
      <c r="AA901" s="29"/>
      <c r="AB901" s="29"/>
      <c r="AC901" s="29"/>
      <c r="AD901" s="29"/>
      <c r="AE901" s="29"/>
      <c r="AR901" s="165" t="s">
        <v>301</v>
      </c>
      <c r="AT901" s="165" t="s">
        <v>181</v>
      </c>
      <c r="AU901" s="165" t="s">
        <v>82</v>
      </c>
      <c r="AY901" s="14" t="s">
        <v>179</v>
      </c>
      <c r="BE901" s="166">
        <f>IF(N901="základná",J901,0)</f>
        <v>0</v>
      </c>
      <c r="BF901" s="166">
        <f>IF(N901="znížená",J901,0)</f>
        <v>0</v>
      </c>
      <c r="BG901" s="166">
        <f>IF(N901="zákl. prenesená",J901,0)</f>
        <v>0</v>
      </c>
      <c r="BH901" s="166">
        <f>IF(N901="zníž. prenesená",J901,0)</f>
        <v>0</v>
      </c>
      <c r="BI901" s="166">
        <f>IF(N901="nulová",J901,0)</f>
        <v>0</v>
      </c>
      <c r="BJ901" s="14" t="s">
        <v>82</v>
      </c>
      <c r="BK901" s="166">
        <f>ROUND(I901*H901,2)</f>
        <v>0</v>
      </c>
      <c r="BL901" s="14" t="s">
        <v>301</v>
      </c>
      <c r="BM901" s="165" t="s">
        <v>960</v>
      </c>
    </row>
    <row r="902" spans="1:65" s="209" customFormat="1" ht="12">
      <c r="A902" s="195"/>
      <c r="B902" s="196"/>
      <c r="C902" s="197"/>
      <c r="D902" s="197"/>
      <c r="E902" s="198"/>
      <c r="F902" s="184" t="s">
        <v>3259</v>
      </c>
      <c r="G902" s="185"/>
      <c r="H902" s="192">
        <v>6492</v>
      </c>
      <c r="I902" s="194"/>
      <c r="J902" s="194"/>
      <c r="K902" s="202"/>
      <c r="L902" s="203"/>
      <c r="M902" s="204"/>
      <c r="N902" s="205"/>
      <c r="O902" s="206"/>
      <c r="P902" s="207"/>
      <c r="Q902" s="207"/>
      <c r="R902" s="207"/>
      <c r="S902" s="207"/>
      <c r="T902" s="208"/>
      <c r="U902" s="195"/>
      <c r="V902" s="195"/>
      <c r="W902" s="195"/>
      <c r="X902" s="195"/>
      <c r="Y902" s="195"/>
      <c r="Z902" s="195"/>
      <c r="AA902" s="195"/>
      <c r="AB902" s="195"/>
      <c r="AC902" s="195"/>
      <c r="AD902" s="195"/>
      <c r="AE902" s="195"/>
      <c r="AR902" s="210"/>
      <c r="AT902" s="210"/>
      <c r="AU902" s="210"/>
      <c r="AY902" s="211"/>
      <c r="BE902" s="212"/>
      <c r="BF902" s="212"/>
      <c r="BG902" s="212"/>
      <c r="BH902" s="212"/>
      <c r="BI902" s="212"/>
      <c r="BJ902" s="211"/>
      <c r="BK902" s="212"/>
      <c r="BL902" s="211"/>
      <c r="BM902" s="210"/>
    </row>
    <row r="903" spans="1:65" s="209" customFormat="1" ht="12">
      <c r="A903" s="195"/>
      <c r="B903" s="196"/>
      <c r="C903" s="197"/>
      <c r="D903" s="197"/>
      <c r="E903" s="198"/>
      <c r="F903" s="233" t="s">
        <v>2983</v>
      </c>
      <c r="G903" s="234"/>
      <c r="H903" s="189">
        <f>SUM(H902:H902)</f>
        <v>6492</v>
      </c>
      <c r="I903" s="194"/>
      <c r="J903" s="194"/>
      <c r="K903" s="202"/>
      <c r="L903" s="203"/>
      <c r="M903" s="204"/>
      <c r="N903" s="205"/>
      <c r="O903" s="206"/>
      <c r="P903" s="207"/>
      <c r="Q903" s="207"/>
      <c r="R903" s="207"/>
      <c r="S903" s="207"/>
      <c r="T903" s="208"/>
      <c r="U903" s="195"/>
      <c r="V903" s="195"/>
      <c r="W903" s="195"/>
      <c r="X903" s="195"/>
      <c r="Y903" s="195"/>
      <c r="Z903" s="195"/>
      <c r="AA903" s="195"/>
      <c r="AB903" s="195"/>
      <c r="AC903" s="195"/>
      <c r="AD903" s="195"/>
      <c r="AE903" s="195"/>
      <c r="AR903" s="210"/>
      <c r="AT903" s="210"/>
      <c r="AU903" s="210"/>
      <c r="AY903" s="211"/>
      <c r="BE903" s="212"/>
      <c r="BF903" s="212"/>
      <c r="BG903" s="212"/>
      <c r="BH903" s="212"/>
      <c r="BI903" s="212"/>
      <c r="BJ903" s="211"/>
      <c r="BK903" s="212"/>
      <c r="BL903" s="211"/>
      <c r="BM903" s="210"/>
    </row>
    <row r="904" spans="1:65" s="2" customFormat="1" ht="16.5" customHeight="1">
      <c r="A904" s="29"/>
      <c r="B904" s="152"/>
      <c r="C904" s="167" t="s">
        <v>586</v>
      </c>
      <c r="D904" s="167" t="s">
        <v>202</v>
      </c>
      <c r="E904" s="168" t="s">
        <v>961</v>
      </c>
      <c r="F904" s="169" t="s">
        <v>3260</v>
      </c>
      <c r="G904" s="170" t="s">
        <v>574</v>
      </c>
      <c r="H904" s="171">
        <v>6492</v>
      </c>
      <c r="I904" s="172"/>
      <c r="J904" s="173">
        <v>0</v>
      </c>
      <c r="K904" s="174"/>
      <c r="L904" s="175"/>
      <c r="M904" s="176" t="s">
        <v>1</v>
      </c>
      <c r="N904" s="177" t="s">
        <v>35</v>
      </c>
      <c r="O904" s="58"/>
      <c r="P904" s="163">
        <f>O904*H904</f>
        <v>0</v>
      </c>
      <c r="Q904" s="163">
        <v>0</v>
      </c>
      <c r="R904" s="163">
        <f>Q904*H904</f>
        <v>0</v>
      </c>
      <c r="S904" s="163">
        <v>0</v>
      </c>
      <c r="T904" s="164">
        <f>S904*H904</f>
        <v>0</v>
      </c>
      <c r="U904" s="29"/>
      <c r="V904" s="29"/>
      <c r="W904" s="29"/>
      <c r="X904" s="29"/>
      <c r="Y904" s="29"/>
      <c r="Z904" s="29"/>
      <c r="AA904" s="29"/>
      <c r="AB904" s="29"/>
      <c r="AC904" s="29"/>
      <c r="AD904" s="29"/>
      <c r="AE904" s="29"/>
      <c r="AR904" s="165" t="s">
        <v>714</v>
      </c>
      <c r="AT904" s="165" t="s">
        <v>202</v>
      </c>
      <c r="AU904" s="165" t="s">
        <v>82</v>
      </c>
      <c r="AY904" s="14" t="s">
        <v>179</v>
      </c>
      <c r="BE904" s="166">
        <f>IF(N904="základná",J904,0)</f>
        <v>0</v>
      </c>
      <c r="BF904" s="166">
        <f>IF(N904="znížená",J904,0)</f>
        <v>0</v>
      </c>
      <c r="BG904" s="166">
        <f>IF(N904="zákl. prenesená",J904,0)</f>
        <v>0</v>
      </c>
      <c r="BH904" s="166">
        <f>IF(N904="zníž. prenesená",J904,0)</f>
        <v>0</v>
      </c>
      <c r="BI904" s="166">
        <f>IF(N904="nulová",J904,0)</f>
        <v>0</v>
      </c>
      <c r="BJ904" s="14" t="s">
        <v>82</v>
      </c>
      <c r="BK904" s="166">
        <f>ROUND(I904*H904,2)</f>
        <v>0</v>
      </c>
      <c r="BL904" s="14" t="s">
        <v>301</v>
      </c>
      <c r="BM904" s="165" t="s">
        <v>962</v>
      </c>
    </row>
    <row r="905" spans="1:65" s="2" customFormat="1" ht="16.5" customHeight="1">
      <c r="A905" s="29"/>
      <c r="B905" s="152"/>
      <c r="C905" s="153" t="s">
        <v>963</v>
      </c>
      <c r="D905" s="153" t="s">
        <v>181</v>
      </c>
      <c r="E905" s="154" t="s">
        <v>964</v>
      </c>
      <c r="F905" s="155" t="s">
        <v>965</v>
      </c>
      <c r="G905" s="156" t="s">
        <v>585</v>
      </c>
      <c r="H905" s="178"/>
      <c r="I905" s="158"/>
      <c r="J905" s="159">
        <v>0</v>
      </c>
      <c r="K905" s="160"/>
      <c r="L905" s="30"/>
      <c r="M905" s="161" t="s">
        <v>1</v>
      </c>
      <c r="N905" s="162" t="s">
        <v>35</v>
      </c>
      <c r="O905" s="58"/>
      <c r="P905" s="163">
        <f>O905*H905</f>
        <v>0</v>
      </c>
      <c r="Q905" s="163">
        <v>0</v>
      </c>
      <c r="R905" s="163">
        <f>Q905*H905</f>
        <v>0</v>
      </c>
      <c r="S905" s="163">
        <v>0</v>
      </c>
      <c r="T905" s="164">
        <f>S905*H905</f>
        <v>0</v>
      </c>
      <c r="U905" s="29"/>
      <c r="V905" s="29"/>
      <c r="W905" s="29"/>
      <c r="X905" s="29"/>
      <c r="Y905" s="29"/>
      <c r="Z905" s="29"/>
      <c r="AA905" s="29"/>
      <c r="AB905" s="29"/>
      <c r="AC905" s="29"/>
      <c r="AD905" s="29"/>
      <c r="AE905" s="29"/>
      <c r="AR905" s="165" t="s">
        <v>301</v>
      </c>
      <c r="AT905" s="165" t="s">
        <v>181</v>
      </c>
      <c r="AU905" s="165" t="s">
        <v>82</v>
      </c>
      <c r="AY905" s="14" t="s">
        <v>179</v>
      </c>
      <c r="BE905" s="166">
        <f>IF(N905="základná",J905,0)</f>
        <v>0</v>
      </c>
      <c r="BF905" s="166">
        <f>IF(N905="znížená",J905,0)</f>
        <v>0</v>
      </c>
      <c r="BG905" s="166">
        <f>IF(N905="zákl. prenesená",J905,0)</f>
        <v>0</v>
      </c>
      <c r="BH905" s="166">
        <f>IF(N905="zníž. prenesená",J905,0)</f>
        <v>0</v>
      </c>
      <c r="BI905" s="166">
        <f>IF(N905="nulová",J905,0)</f>
        <v>0</v>
      </c>
      <c r="BJ905" s="14" t="s">
        <v>82</v>
      </c>
      <c r="BK905" s="166">
        <f>ROUND(I905*H905,2)</f>
        <v>0</v>
      </c>
      <c r="BL905" s="14" t="s">
        <v>301</v>
      </c>
      <c r="BM905" s="165" t="s">
        <v>966</v>
      </c>
    </row>
    <row r="906" spans="1:65" s="2" customFormat="1" ht="16.5" customHeight="1">
      <c r="A906" s="29"/>
      <c r="B906" s="152"/>
      <c r="C906" s="153" t="s">
        <v>616</v>
      </c>
      <c r="D906" s="153" t="s">
        <v>181</v>
      </c>
      <c r="E906" s="154" t="s">
        <v>967</v>
      </c>
      <c r="F906" s="155" t="s">
        <v>968</v>
      </c>
      <c r="G906" s="156" t="s">
        <v>585</v>
      </c>
      <c r="H906" s="178"/>
      <c r="I906" s="158"/>
      <c r="J906" s="159">
        <v>0</v>
      </c>
      <c r="K906" s="160"/>
      <c r="L906" s="30"/>
      <c r="M906" s="161" t="s">
        <v>1</v>
      </c>
      <c r="N906" s="162" t="s">
        <v>35</v>
      </c>
      <c r="O906" s="58"/>
      <c r="P906" s="163">
        <f>O906*H906</f>
        <v>0</v>
      </c>
      <c r="Q906" s="163">
        <v>0</v>
      </c>
      <c r="R906" s="163">
        <f>Q906*H906</f>
        <v>0</v>
      </c>
      <c r="S906" s="163">
        <v>0</v>
      </c>
      <c r="T906" s="164">
        <f>S906*H906</f>
        <v>0</v>
      </c>
      <c r="U906" s="29"/>
      <c r="V906" s="29"/>
      <c r="W906" s="29"/>
      <c r="X906" s="29"/>
      <c r="Y906" s="29"/>
      <c r="Z906" s="29"/>
      <c r="AA906" s="29"/>
      <c r="AB906" s="29"/>
      <c r="AC906" s="29"/>
      <c r="AD906" s="29"/>
      <c r="AE906" s="29"/>
      <c r="AR906" s="165" t="s">
        <v>301</v>
      </c>
      <c r="AT906" s="165" t="s">
        <v>181</v>
      </c>
      <c r="AU906" s="165" t="s">
        <v>82</v>
      </c>
      <c r="AY906" s="14" t="s">
        <v>179</v>
      </c>
      <c r="BE906" s="166">
        <f>IF(N906="základná",J906,0)</f>
        <v>0</v>
      </c>
      <c r="BF906" s="166">
        <f>IF(N906="znížená",J906,0)</f>
        <v>0</v>
      </c>
      <c r="BG906" s="166">
        <f>IF(N906="zákl. prenesená",J906,0)</f>
        <v>0</v>
      </c>
      <c r="BH906" s="166">
        <f>IF(N906="zníž. prenesená",J906,0)</f>
        <v>0</v>
      </c>
      <c r="BI906" s="166">
        <f>IF(N906="nulová",J906,0)</f>
        <v>0</v>
      </c>
      <c r="BJ906" s="14" t="s">
        <v>82</v>
      </c>
      <c r="BK906" s="166">
        <f>ROUND(I906*H906,2)</f>
        <v>0</v>
      </c>
      <c r="BL906" s="14" t="s">
        <v>301</v>
      </c>
      <c r="BM906" s="165" t="s">
        <v>969</v>
      </c>
    </row>
    <row r="907" spans="1:65" s="2" customFormat="1" ht="16.5" customHeight="1">
      <c r="A907" s="29"/>
      <c r="B907" s="152"/>
      <c r="C907" s="153" t="s">
        <v>970</v>
      </c>
      <c r="D907" s="153" t="s">
        <v>181</v>
      </c>
      <c r="E907" s="154" t="s">
        <v>971</v>
      </c>
      <c r="F907" s="155" t="s">
        <v>972</v>
      </c>
      <c r="G907" s="156" t="s">
        <v>585</v>
      </c>
      <c r="H907" s="178"/>
      <c r="I907" s="158"/>
      <c r="J907" s="159">
        <v>0</v>
      </c>
      <c r="K907" s="160"/>
      <c r="L907" s="30"/>
      <c r="M907" s="179" t="s">
        <v>1</v>
      </c>
      <c r="N907" s="180" t="s">
        <v>35</v>
      </c>
      <c r="O907" s="181"/>
      <c r="P907" s="182">
        <f>O907*H907</f>
        <v>0</v>
      </c>
      <c r="Q907" s="182">
        <v>0</v>
      </c>
      <c r="R907" s="182">
        <f>Q907*H907</f>
        <v>0</v>
      </c>
      <c r="S907" s="182">
        <v>0</v>
      </c>
      <c r="T907" s="183">
        <f>S907*H907</f>
        <v>0</v>
      </c>
      <c r="U907" s="29"/>
      <c r="V907" s="29"/>
      <c r="W907" s="29"/>
      <c r="X907" s="29"/>
      <c r="Y907" s="29"/>
      <c r="Z907" s="29"/>
      <c r="AA907" s="29"/>
      <c r="AB907" s="29"/>
      <c r="AC907" s="29"/>
      <c r="AD907" s="29"/>
      <c r="AE907" s="29"/>
      <c r="AR907" s="165" t="s">
        <v>301</v>
      </c>
      <c r="AT907" s="165" t="s">
        <v>181</v>
      </c>
      <c r="AU907" s="165" t="s">
        <v>82</v>
      </c>
      <c r="AY907" s="14" t="s">
        <v>179</v>
      </c>
      <c r="BE907" s="166">
        <f>IF(N907="základná",J907,0)</f>
        <v>0</v>
      </c>
      <c r="BF907" s="166">
        <f>IF(N907="znížená",J907,0)</f>
        <v>0</v>
      </c>
      <c r="BG907" s="166">
        <f>IF(N907="zákl. prenesená",J907,0)</f>
        <v>0</v>
      </c>
      <c r="BH907" s="166">
        <f>IF(N907="zníž. prenesená",J907,0)</f>
        <v>0</v>
      </c>
      <c r="BI907" s="166">
        <f>IF(N907="nulová",J907,0)</f>
        <v>0</v>
      </c>
      <c r="BJ907" s="14" t="s">
        <v>82</v>
      </c>
      <c r="BK907" s="166">
        <f>ROUND(I907*H907,2)</f>
        <v>0</v>
      </c>
      <c r="BL907" s="14" t="s">
        <v>301</v>
      </c>
      <c r="BM907" s="165" t="s">
        <v>973</v>
      </c>
    </row>
    <row r="908" spans="1:65" s="2" customFormat="1" ht="6.95" customHeight="1">
      <c r="A908" s="29"/>
      <c r="B908" s="47"/>
      <c r="C908" s="48"/>
      <c r="D908" s="48"/>
      <c r="E908" s="48"/>
      <c r="F908" s="48"/>
      <c r="G908" s="48"/>
      <c r="H908" s="48"/>
      <c r="I908" s="48"/>
      <c r="J908" s="48"/>
      <c r="K908" s="48"/>
      <c r="L908" s="30"/>
      <c r="M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29"/>
      <c r="AB908" s="29"/>
      <c r="AC908" s="29"/>
      <c r="AD908" s="29"/>
      <c r="AE908" s="29"/>
    </row>
  </sheetData>
  <autoFilter ref="C145:K907"/>
  <mergeCells count="12">
    <mergeCell ref="E138:H138"/>
    <mergeCell ref="L2:V2"/>
    <mergeCell ref="E85:H85"/>
    <mergeCell ref="E87:H87"/>
    <mergeCell ref="E89:H89"/>
    <mergeCell ref="E134:H134"/>
    <mergeCell ref="E136:H13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9"/>
  <sheetViews>
    <sheetView topLeftCell="A4" workbookViewId="0">
      <selection activeCell="H1" sqref="H1"/>
    </sheetView>
  </sheetViews>
  <sheetFormatPr defaultColWidth="11.6640625" defaultRowHeight="12" outlineLevelCol="1"/>
  <cols>
    <col min="1" max="1" width="9.6640625" style="254" customWidth="1"/>
    <col min="2" max="2" width="34.5" style="253" bestFit="1" customWidth="1"/>
    <col min="3" max="3" width="11.6640625" style="254"/>
    <col min="4" max="4" width="15.5" style="254" customWidth="1"/>
    <col min="5" max="5" width="21.6640625" style="254" customWidth="1"/>
    <col min="6" max="6" width="12.5" style="254" customWidth="1"/>
    <col min="7" max="9" width="12.5" style="254" customWidth="1" outlineLevel="1"/>
    <col min="10" max="10" width="18.6640625" style="254" customWidth="1"/>
    <col min="11" max="11" width="10.6640625" style="254" customWidth="1"/>
    <col min="12" max="12" width="12.33203125" style="253" hidden="1" customWidth="1" outlineLevel="1"/>
    <col min="13" max="13" width="12.5" style="254" hidden="1" customWidth="1" outlineLevel="1"/>
    <col min="14" max="14" width="22.33203125" style="253" customWidth="1" collapsed="1"/>
    <col min="15" max="15" width="16.1640625" style="254" customWidth="1"/>
    <col min="16" max="25" width="12.5" style="253" customWidth="1" outlineLevel="1"/>
    <col min="26" max="26" width="28.33203125" style="253" customWidth="1" outlineLevel="1"/>
    <col min="27" max="27" width="3.5" style="253" customWidth="1"/>
    <col min="28" max="28" width="11.6640625" style="253"/>
    <col min="29" max="29" width="29.5" style="253" hidden="1" customWidth="1"/>
    <col min="30" max="16384" width="11.6640625" style="253"/>
  </cols>
  <sheetData>
    <row r="1" spans="1:29" ht="15.75">
      <c r="A1" s="252" t="s">
        <v>3261</v>
      </c>
      <c r="G1" s="255"/>
      <c r="H1" s="255"/>
      <c r="I1" s="255"/>
      <c r="L1" s="255"/>
      <c r="M1" s="255"/>
      <c r="N1" s="254"/>
      <c r="P1" s="256" t="s">
        <v>3262</v>
      </c>
      <c r="Q1" s="257" t="s">
        <v>3263</v>
      </c>
      <c r="R1" s="256" t="s">
        <v>3262</v>
      </c>
      <c r="S1" s="257" t="s">
        <v>3263</v>
      </c>
      <c r="T1" s="256" t="s">
        <v>3262</v>
      </c>
      <c r="U1" s="257" t="s">
        <v>3263</v>
      </c>
      <c r="V1" s="256" t="s">
        <v>3262</v>
      </c>
      <c r="W1" s="257" t="s">
        <v>3263</v>
      </c>
      <c r="X1" s="257" t="s">
        <v>3263</v>
      </c>
      <c r="Z1" s="258" t="s">
        <v>3264</v>
      </c>
      <c r="AB1" s="259"/>
    </row>
    <row r="2" spans="1:29" ht="15.75">
      <c r="A2" s="326" t="s">
        <v>3386</v>
      </c>
      <c r="B2" s="325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60" t="s">
        <v>3265</v>
      </c>
      <c r="Q2" s="260" t="s">
        <v>3265</v>
      </c>
      <c r="R2" s="260" t="s">
        <v>3266</v>
      </c>
      <c r="S2" s="260" t="s">
        <v>3267</v>
      </c>
      <c r="T2" s="260" t="s">
        <v>3268</v>
      </c>
      <c r="U2" s="260" t="s">
        <v>3268</v>
      </c>
      <c r="V2" s="260" t="s">
        <v>3268</v>
      </c>
      <c r="W2" s="260" t="s">
        <v>3267</v>
      </c>
      <c r="X2" s="260" t="s">
        <v>3267</v>
      </c>
      <c r="Y2" s="260"/>
      <c r="Z2" s="258"/>
      <c r="AB2" s="259"/>
    </row>
    <row r="3" spans="1:29" ht="15.75">
      <c r="A3" s="261" t="s">
        <v>3269</v>
      </c>
      <c r="G3" s="262" t="s">
        <v>3270</v>
      </c>
      <c r="H3" s="262" t="s">
        <v>3271</v>
      </c>
      <c r="I3" s="262" t="s">
        <v>3272</v>
      </c>
      <c r="J3" s="253"/>
      <c r="K3" s="253"/>
      <c r="L3" s="263" t="s">
        <v>3273</v>
      </c>
      <c r="M3" s="263" t="s">
        <v>3274</v>
      </c>
      <c r="O3" s="253"/>
      <c r="P3" s="262" t="s">
        <v>3275</v>
      </c>
      <c r="Q3" s="264" t="s">
        <v>3276</v>
      </c>
      <c r="R3" s="264" t="s">
        <v>3277</v>
      </c>
      <c r="S3" s="264" t="s">
        <v>3278</v>
      </c>
      <c r="T3" s="263" t="s">
        <v>3279</v>
      </c>
      <c r="U3" s="264" t="s">
        <v>3280</v>
      </c>
      <c r="V3" s="263" t="s">
        <v>3281</v>
      </c>
      <c r="W3" s="263" t="s">
        <v>3282</v>
      </c>
      <c r="X3" s="263" t="s">
        <v>202</v>
      </c>
      <c r="Y3" s="263" t="s">
        <v>3283</v>
      </c>
      <c r="Z3" s="258"/>
      <c r="AB3" s="259"/>
    </row>
    <row r="4" spans="1:29" ht="19.5">
      <c r="A4" s="253"/>
      <c r="F4" s="254" t="s">
        <v>3284</v>
      </c>
      <c r="G4" s="265" t="s">
        <v>3285</v>
      </c>
      <c r="H4" s="266" t="s">
        <v>3286</v>
      </c>
      <c r="I4" s="266" t="s">
        <v>3286</v>
      </c>
      <c r="J4" s="253"/>
      <c r="K4" s="254" t="s">
        <v>3284</v>
      </c>
      <c r="L4" s="266" t="s">
        <v>3287</v>
      </c>
      <c r="M4" s="265" t="s">
        <v>3288</v>
      </c>
      <c r="O4" s="254" t="s">
        <v>3284</v>
      </c>
      <c r="P4" s="265" t="s">
        <v>3289</v>
      </c>
      <c r="Q4" s="266" t="s">
        <v>3290</v>
      </c>
      <c r="R4" s="266" t="s">
        <v>3291</v>
      </c>
      <c r="S4" s="266" t="s">
        <v>3292</v>
      </c>
      <c r="T4" s="266" t="s">
        <v>3293</v>
      </c>
      <c r="U4" s="266" t="s">
        <v>3294</v>
      </c>
      <c r="V4" s="266" t="s">
        <v>3295</v>
      </c>
      <c r="W4" s="266" t="s">
        <v>3296</v>
      </c>
      <c r="X4" s="266" t="s">
        <v>3297</v>
      </c>
      <c r="Y4" s="266" t="s">
        <v>3298</v>
      </c>
      <c r="AB4" s="259"/>
    </row>
    <row r="5" spans="1:29" s="267" customFormat="1" ht="12.75" thickBot="1">
      <c r="A5" s="254"/>
      <c r="C5" s="254"/>
      <c r="D5" s="254"/>
      <c r="E5" s="254"/>
      <c r="F5" s="254"/>
      <c r="G5" s="254"/>
      <c r="H5" s="254"/>
      <c r="I5" s="254"/>
      <c r="M5" s="254"/>
    </row>
    <row r="6" spans="1:29" s="273" customFormat="1" ht="16.5" thickTop="1" thickBot="1">
      <c r="A6" s="268" t="s">
        <v>3299</v>
      </c>
      <c r="B6" s="269" t="s">
        <v>3300</v>
      </c>
      <c r="C6" s="270" t="s">
        <v>3301</v>
      </c>
      <c r="D6" s="271" t="s">
        <v>3302</v>
      </c>
      <c r="E6" s="391" t="s">
        <v>3303</v>
      </c>
      <c r="F6" s="392"/>
      <c r="G6" s="392"/>
      <c r="H6" s="392"/>
      <c r="I6" s="392"/>
      <c r="J6" s="393" t="s">
        <v>3304</v>
      </c>
      <c r="K6" s="394"/>
      <c r="L6" s="394"/>
      <c r="M6" s="395"/>
      <c r="N6" s="391" t="s">
        <v>3305</v>
      </c>
      <c r="O6" s="392"/>
      <c r="P6" s="392"/>
      <c r="Q6" s="392"/>
      <c r="R6" s="392"/>
      <c r="S6" s="392"/>
      <c r="T6" s="392"/>
      <c r="U6" s="392"/>
      <c r="V6" s="392"/>
      <c r="W6" s="392"/>
      <c r="X6" s="392"/>
      <c r="Y6" s="396"/>
      <c r="Z6" s="272" t="s">
        <v>3306</v>
      </c>
    </row>
    <row r="7" spans="1:29" s="273" customFormat="1" ht="12.75" thickTop="1">
      <c r="A7" s="274">
        <v>1</v>
      </c>
      <c r="B7" s="275">
        <v>2</v>
      </c>
      <c r="C7" s="275">
        <v>3</v>
      </c>
      <c r="D7" s="275">
        <v>4</v>
      </c>
      <c r="E7" s="275" t="s">
        <v>3307</v>
      </c>
      <c r="F7" s="275" t="s">
        <v>3308</v>
      </c>
      <c r="G7" s="275" t="s">
        <v>3309</v>
      </c>
      <c r="H7" s="275"/>
      <c r="I7" s="275" t="s">
        <v>3310</v>
      </c>
      <c r="J7" s="275" t="s">
        <v>3311</v>
      </c>
      <c r="K7" s="275" t="s">
        <v>3312</v>
      </c>
      <c r="L7" s="275" t="s">
        <v>3313</v>
      </c>
      <c r="M7" s="275" t="s">
        <v>3314</v>
      </c>
      <c r="N7" s="275" t="s">
        <v>3315</v>
      </c>
      <c r="O7" s="275" t="s">
        <v>3316</v>
      </c>
      <c r="P7" s="275" t="s">
        <v>3317</v>
      </c>
      <c r="Q7" s="275" t="s">
        <v>3318</v>
      </c>
      <c r="R7" s="275" t="s">
        <v>3318</v>
      </c>
      <c r="S7" s="275" t="s">
        <v>3319</v>
      </c>
      <c r="T7" s="275" t="s">
        <v>3320</v>
      </c>
      <c r="U7" s="275"/>
      <c r="V7" s="275"/>
      <c r="W7" s="275" t="s">
        <v>3321</v>
      </c>
      <c r="X7" s="275"/>
      <c r="Y7" s="275" t="s">
        <v>3322</v>
      </c>
      <c r="Z7" s="275">
        <v>8</v>
      </c>
    </row>
    <row r="8" spans="1:29" s="273" customFormat="1">
      <c r="B8" s="276"/>
      <c r="C8" s="276"/>
      <c r="D8" s="276"/>
      <c r="E8" s="276"/>
      <c r="F8" s="276"/>
      <c r="G8" s="276"/>
      <c r="H8" s="276"/>
      <c r="I8" s="276"/>
      <c r="J8" s="276"/>
      <c r="K8" s="276"/>
      <c r="L8" s="276"/>
      <c r="M8" s="276"/>
      <c r="N8" s="276"/>
      <c r="O8" s="276"/>
      <c r="P8" s="276"/>
      <c r="Q8" s="276"/>
      <c r="R8" s="276"/>
      <c r="S8" s="276"/>
      <c r="T8" s="276"/>
      <c r="U8" s="276"/>
      <c r="V8" s="276"/>
      <c r="W8" s="276"/>
      <c r="X8" s="276"/>
      <c r="Y8" s="276"/>
      <c r="Z8" s="276"/>
    </row>
    <row r="9" spans="1:29" s="276" customFormat="1">
      <c r="A9" s="277" t="s">
        <v>3323</v>
      </c>
      <c r="B9" s="278"/>
      <c r="C9" s="279"/>
      <c r="D9" s="279"/>
      <c r="E9" s="280"/>
      <c r="F9" s="280"/>
      <c r="G9" s="280"/>
      <c r="H9" s="280"/>
      <c r="I9" s="280"/>
      <c r="J9" s="280"/>
      <c r="K9" s="280"/>
      <c r="L9" s="280"/>
      <c r="M9" s="280"/>
      <c r="N9" s="281"/>
      <c r="O9" s="280"/>
      <c r="P9" s="281"/>
      <c r="Q9" s="281"/>
      <c r="R9" s="281"/>
      <c r="S9" s="281"/>
      <c r="T9" s="281"/>
      <c r="U9" s="281"/>
      <c r="V9" s="281"/>
      <c r="W9" s="281"/>
      <c r="X9" s="281"/>
      <c r="Y9" s="281"/>
      <c r="Z9" s="282"/>
      <c r="AB9" s="283" t="s">
        <v>3324</v>
      </c>
    </row>
    <row r="10" spans="1:29">
      <c r="A10" s="284" t="s">
        <v>1798</v>
      </c>
      <c r="B10" s="285" t="s">
        <v>3325</v>
      </c>
      <c r="C10" s="286">
        <v>4.8</v>
      </c>
      <c r="D10" s="287"/>
      <c r="E10" s="288" t="s">
        <v>3326</v>
      </c>
      <c r="F10" s="289" t="s">
        <v>3270</v>
      </c>
      <c r="G10" s="290">
        <f>C10</f>
        <v>4.8</v>
      </c>
      <c r="H10" s="291"/>
      <c r="I10" s="292"/>
      <c r="J10" s="293" t="s">
        <v>3327</v>
      </c>
      <c r="K10" s="294" t="s">
        <v>3273</v>
      </c>
      <c r="L10" s="295">
        <f>C10</f>
        <v>4.8</v>
      </c>
      <c r="M10" s="296"/>
      <c r="N10" s="297" t="s">
        <v>3328</v>
      </c>
      <c r="O10" s="298" t="s">
        <v>3267</v>
      </c>
      <c r="P10" s="299">
        <f>ROUND((1.8+0.5)*3.95-1.15*2.05+(2*2.05+1.15)*0.15,2)</f>
        <v>7.52</v>
      </c>
      <c r="Q10" s="300">
        <f>P10</f>
        <v>7.52</v>
      </c>
      <c r="R10" s="300">
        <f>ROUND((2.7+2.2+1.8)*3.95-(1*1.97+0.7*1.97),2)</f>
        <v>23.12</v>
      </c>
      <c r="S10" s="300">
        <f>P10+R10</f>
        <v>30.64</v>
      </c>
      <c r="T10" s="300"/>
      <c r="U10" s="300"/>
      <c r="V10" s="300"/>
      <c r="W10" s="300">
        <f>P10+R10</f>
        <v>30.64</v>
      </c>
      <c r="X10" s="300">
        <f>P10+R10</f>
        <v>30.64</v>
      </c>
      <c r="Y10" s="301"/>
      <c r="Z10" s="302"/>
      <c r="AB10" s="283" t="s">
        <v>3324</v>
      </c>
    </row>
    <row r="11" spans="1:29" ht="24">
      <c r="A11" s="284" t="s">
        <v>3329</v>
      </c>
      <c r="B11" s="285" t="s">
        <v>3330</v>
      </c>
      <c r="C11" s="286">
        <v>10.17</v>
      </c>
      <c r="D11" s="287"/>
      <c r="E11" s="303" t="s">
        <v>3326</v>
      </c>
      <c r="F11" s="304" t="s">
        <v>3270</v>
      </c>
      <c r="G11" s="305">
        <f>C11</f>
        <v>10.17</v>
      </c>
      <c r="H11" s="306"/>
      <c r="I11" s="307"/>
      <c r="J11" s="293" t="s">
        <v>3327</v>
      </c>
      <c r="K11" s="298" t="s">
        <v>3273</v>
      </c>
      <c r="L11" s="295">
        <f t="shared" ref="L11:L20" si="0">C11</f>
        <v>10.17</v>
      </c>
      <c r="M11" s="308"/>
      <c r="N11" s="309" t="s">
        <v>3331</v>
      </c>
      <c r="O11" s="298" t="s">
        <v>3266</v>
      </c>
      <c r="P11" s="299"/>
      <c r="Q11" s="300"/>
      <c r="R11" s="300">
        <f>S11+T11</f>
        <v>57.930000000000007</v>
      </c>
      <c r="S11" s="300">
        <f>ROUND((2*(4.1+2.7)-2-1.4)*(3.45-1.2)-0.7*0.77+(2+1.4+2*(1.3+0.9))*(3.45-2.4)-3*0.6*0.6+3*3*0.6*0.12,2)</f>
        <v>30.17</v>
      </c>
      <c r="T11" s="300">
        <f>ROUND((2*(4.1+2.7)-2-1.4)*1.2-0.7*1.2+(2+1.4+2*(1.3+0.9))*2.4-2*0.6*1.97,2)</f>
        <v>27.76</v>
      </c>
      <c r="U11" s="300">
        <f>T11</f>
        <v>27.76</v>
      </c>
      <c r="V11" s="300">
        <f>T11</f>
        <v>27.76</v>
      </c>
      <c r="W11" s="300">
        <f>S11</f>
        <v>30.17</v>
      </c>
      <c r="X11" s="300">
        <f>S11</f>
        <v>30.17</v>
      </c>
      <c r="Y11" s="301"/>
      <c r="Z11" s="302" t="s">
        <v>3332</v>
      </c>
      <c r="AB11" s="283" t="s">
        <v>3324</v>
      </c>
      <c r="AC11" s="253" t="s">
        <v>3333</v>
      </c>
    </row>
    <row r="12" spans="1:29" ht="24">
      <c r="A12" s="284" t="s">
        <v>3334</v>
      </c>
      <c r="B12" s="285" t="s">
        <v>3335</v>
      </c>
      <c r="C12" s="286">
        <v>22.13</v>
      </c>
      <c r="D12" s="287"/>
      <c r="E12" s="303" t="s">
        <v>3336</v>
      </c>
      <c r="F12" s="304" t="s">
        <v>3271</v>
      </c>
      <c r="G12" s="305"/>
      <c r="H12" s="306">
        <f>C12</f>
        <v>22.13</v>
      </c>
      <c r="I12" s="307"/>
      <c r="J12" s="293" t="s">
        <v>3327</v>
      </c>
      <c r="K12" s="298" t="s">
        <v>3273</v>
      </c>
      <c r="L12" s="295">
        <f t="shared" si="0"/>
        <v>22.13</v>
      </c>
      <c r="M12" s="308"/>
      <c r="N12" s="309" t="s">
        <v>3328</v>
      </c>
      <c r="O12" s="298" t="s">
        <v>3267</v>
      </c>
      <c r="P12" s="300">
        <f>ROUND((6.12+2*0.6)*3.95-(1.2*1.2+2.4*1.2)+(3*1.2+2*1.2+2.4)*0.12,2)</f>
        <v>25.6</v>
      </c>
      <c r="Q12" s="300">
        <f t="shared" ref="Q12:Q21" si="1">P12</f>
        <v>25.6</v>
      </c>
      <c r="R12" s="300">
        <f>ROUND((2*4.1+6.12)*3.95-1*1.97,2)</f>
        <v>54.59</v>
      </c>
      <c r="S12" s="300">
        <f t="shared" ref="S12:S18" si="2">P12+R12</f>
        <v>80.19</v>
      </c>
      <c r="T12" s="300"/>
      <c r="U12" s="300"/>
      <c r="V12" s="300"/>
      <c r="W12" s="300">
        <f t="shared" ref="W12:W18" si="3">P12+R12</f>
        <v>80.19</v>
      </c>
      <c r="X12" s="300">
        <f t="shared" ref="X12:X18" si="4">P12+R12</f>
        <v>80.19</v>
      </c>
      <c r="Y12" s="301"/>
      <c r="Z12" s="302" t="s">
        <v>3337</v>
      </c>
      <c r="AB12" s="283" t="s">
        <v>3324</v>
      </c>
      <c r="AC12" s="253" t="s">
        <v>3338</v>
      </c>
    </row>
    <row r="13" spans="1:29">
      <c r="A13" s="284" t="s">
        <v>1807</v>
      </c>
      <c r="B13" s="285" t="s">
        <v>3339</v>
      </c>
      <c r="C13" s="286">
        <v>7.28</v>
      </c>
      <c r="D13" s="287"/>
      <c r="E13" s="303" t="s">
        <v>3326</v>
      </c>
      <c r="F13" s="304" t="s">
        <v>3270</v>
      </c>
      <c r="G13" s="305">
        <f>C13</f>
        <v>7.28</v>
      </c>
      <c r="H13" s="306"/>
      <c r="I13" s="307"/>
      <c r="J13" s="293" t="s">
        <v>3327</v>
      </c>
      <c r="K13" s="298" t="s">
        <v>3273</v>
      </c>
      <c r="L13" s="295">
        <f t="shared" si="0"/>
        <v>7.28</v>
      </c>
      <c r="M13" s="308"/>
      <c r="N13" s="309" t="s">
        <v>3328</v>
      </c>
      <c r="O13" s="298" t="s">
        <v>3267</v>
      </c>
      <c r="P13" s="299">
        <f>ROUND((0.75+1.75)*3.95,2)</f>
        <v>9.8800000000000008</v>
      </c>
      <c r="Q13" s="300">
        <f t="shared" si="1"/>
        <v>9.8800000000000008</v>
      </c>
      <c r="R13" s="300">
        <f>ROUND((1.155+1.95+2.46+1.8)*3.95-(3*1*1.97+0.8*1.97),2)</f>
        <v>21.61</v>
      </c>
      <c r="S13" s="300">
        <f t="shared" si="2"/>
        <v>31.490000000000002</v>
      </c>
      <c r="T13" s="300"/>
      <c r="U13" s="300"/>
      <c r="V13" s="300"/>
      <c r="W13" s="300">
        <f t="shared" si="3"/>
        <v>31.490000000000002</v>
      </c>
      <c r="X13" s="300">
        <f t="shared" si="4"/>
        <v>31.490000000000002</v>
      </c>
      <c r="Y13" s="301"/>
      <c r="Z13" s="302"/>
      <c r="AB13" s="283" t="s">
        <v>3324</v>
      </c>
      <c r="AC13" s="253" t="s">
        <v>3340</v>
      </c>
    </row>
    <row r="14" spans="1:29" ht="24">
      <c r="A14" s="284" t="s">
        <v>3341</v>
      </c>
      <c r="B14" s="285" t="s">
        <v>3342</v>
      </c>
      <c r="C14" s="286">
        <v>27.96</v>
      </c>
      <c r="D14" s="287"/>
      <c r="E14" s="303" t="s">
        <v>3336</v>
      </c>
      <c r="F14" s="304" t="s">
        <v>3271</v>
      </c>
      <c r="G14" s="305"/>
      <c r="H14" s="306">
        <f>C14</f>
        <v>27.96</v>
      </c>
      <c r="I14" s="307"/>
      <c r="J14" s="293" t="s">
        <v>3327</v>
      </c>
      <c r="K14" s="298" t="s">
        <v>3273</v>
      </c>
      <c r="L14" s="295">
        <f t="shared" si="0"/>
        <v>27.96</v>
      </c>
      <c r="M14" s="308"/>
      <c r="N14" s="309" t="s">
        <v>3328</v>
      </c>
      <c r="O14" s="298" t="s">
        <v>3267</v>
      </c>
      <c r="P14" s="299">
        <f>ROUND((5.5+3.51+2*0.6)*3.95,2)</f>
        <v>40.33</v>
      </c>
      <c r="Q14" s="300">
        <f t="shared" si="1"/>
        <v>40.33</v>
      </c>
      <c r="R14" s="300">
        <f>ROUND((1.95+3.51+8.05)*3.95-1*1.97,2)</f>
        <v>51.39</v>
      </c>
      <c r="S14" s="300">
        <f t="shared" si="2"/>
        <v>91.72</v>
      </c>
      <c r="T14" s="300"/>
      <c r="U14" s="300"/>
      <c r="V14" s="300"/>
      <c r="W14" s="300">
        <f t="shared" si="3"/>
        <v>91.72</v>
      </c>
      <c r="X14" s="300">
        <f t="shared" si="4"/>
        <v>91.72</v>
      </c>
      <c r="Y14" s="301"/>
      <c r="Z14" s="302"/>
      <c r="AB14" s="283" t="s">
        <v>3324</v>
      </c>
    </row>
    <row r="15" spans="1:29">
      <c r="A15" s="284" t="s">
        <v>3343</v>
      </c>
      <c r="B15" s="285" t="s">
        <v>3344</v>
      </c>
      <c r="C15" s="286">
        <v>22.03</v>
      </c>
      <c r="D15" s="287"/>
      <c r="E15" s="303" t="s">
        <v>3326</v>
      </c>
      <c r="F15" s="304" t="s">
        <v>3270</v>
      </c>
      <c r="G15" s="305">
        <f>C15</f>
        <v>22.03</v>
      </c>
      <c r="H15" s="306"/>
      <c r="I15" s="307"/>
      <c r="J15" s="293" t="s">
        <v>3327</v>
      </c>
      <c r="K15" s="298" t="s">
        <v>3273</v>
      </c>
      <c r="L15" s="295">
        <f t="shared" si="0"/>
        <v>22.03</v>
      </c>
      <c r="M15" s="308"/>
      <c r="N15" s="309" t="s">
        <v>3328</v>
      </c>
      <c r="O15" s="298" t="s">
        <v>3267</v>
      </c>
      <c r="P15" s="299">
        <f>ROUND((4.09+3.66+6.1+0.5)*3.95-(1.2*0.9+3*1.2*0.95)+(2*0.9+1.2+3*2*0.95+3*1.2)*0.12,2)</f>
        <v>53.66</v>
      </c>
      <c r="Q15" s="300">
        <f t="shared" si="1"/>
        <v>53.66</v>
      </c>
      <c r="R15" s="300">
        <f>ROUND((1.005+3.16)*3.95-0.8*1.97,2)</f>
        <v>14.88</v>
      </c>
      <c r="S15" s="300">
        <f t="shared" si="2"/>
        <v>68.539999999999992</v>
      </c>
      <c r="T15" s="300"/>
      <c r="U15" s="300"/>
      <c r="V15" s="300"/>
      <c r="W15" s="300">
        <f t="shared" si="3"/>
        <v>68.539999999999992</v>
      </c>
      <c r="X15" s="300">
        <f t="shared" si="4"/>
        <v>68.539999999999992</v>
      </c>
      <c r="Y15" s="301"/>
      <c r="Z15" s="302"/>
      <c r="AB15" s="283" t="s">
        <v>3324</v>
      </c>
    </row>
    <row r="16" spans="1:29" ht="24">
      <c r="A16" s="284" t="s">
        <v>3345</v>
      </c>
      <c r="B16" s="285" t="s">
        <v>3346</v>
      </c>
      <c r="C16" s="286">
        <v>144.12</v>
      </c>
      <c r="D16" s="287"/>
      <c r="E16" s="303" t="s">
        <v>3336</v>
      </c>
      <c r="F16" s="304" t="s">
        <v>3271</v>
      </c>
      <c r="G16" s="305"/>
      <c r="H16" s="306">
        <f t="shared" ref="H16:H21" si="5">C16</f>
        <v>144.12</v>
      </c>
      <c r="I16" s="307"/>
      <c r="J16" s="293" t="s">
        <v>3327</v>
      </c>
      <c r="K16" s="298" t="s">
        <v>3273</v>
      </c>
      <c r="L16" s="295">
        <f t="shared" si="0"/>
        <v>144.12</v>
      </c>
      <c r="M16" s="308"/>
      <c r="N16" s="309" t="s">
        <v>3328</v>
      </c>
      <c r="O16" s="298" t="s">
        <v>3267</v>
      </c>
      <c r="P16" s="310">
        <f>ROUND((2*11.88+12.3+4*2*0.5)*3.95-2.5*2.3-5*2.4*1.2-1.2*1.2+5*(2*1.2+2.4)*0.12,2)</f>
        <v>139.53</v>
      </c>
      <c r="Q16" s="300">
        <f t="shared" si="1"/>
        <v>139.53</v>
      </c>
      <c r="R16" s="300">
        <f>ROUND(1.2*1.2+2.5*2.3+12.3*3.95-1.7*2.05,2)</f>
        <v>52.29</v>
      </c>
      <c r="S16" s="300">
        <f t="shared" si="2"/>
        <v>191.82</v>
      </c>
      <c r="T16" s="300"/>
      <c r="U16" s="300"/>
      <c r="V16" s="300"/>
      <c r="W16" s="300">
        <f t="shared" si="3"/>
        <v>191.82</v>
      </c>
      <c r="X16" s="300">
        <f t="shared" si="4"/>
        <v>191.82</v>
      </c>
      <c r="Y16" s="301"/>
      <c r="Z16" s="302"/>
      <c r="AB16" s="283" t="s">
        <v>3324</v>
      </c>
    </row>
    <row r="17" spans="1:28" ht="24">
      <c r="A17" s="284" t="s">
        <v>3347</v>
      </c>
      <c r="B17" s="285" t="s">
        <v>3348</v>
      </c>
      <c r="C17" s="286">
        <v>20.02</v>
      </c>
      <c r="D17" s="287"/>
      <c r="E17" s="303" t="s">
        <v>3336</v>
      </c>
      <c r="F17" s="304" t="s">
        <v>3271</v>
      </c>
      <c r="G17" s="305"/>
      <c r="H17" s="306">
        <f t="shared" si="5"/>
        <v>20.02</v>
      </c>
      <c r="I17" s="307"/>
      <c r="J17" s="293" t="s">
        <v>3327</v>
      </c>
      <c r="K17" s="298" t="s">
        <v>3273</v>
      </c>
      <c r="L17" s="295">
        <f t="shared" si="0"/>
        <v>20.02</v>
      </c>
      <c r="M17" s="308"/>
      <c r="N17" s="309" t="s">
        <v>3328</v>
      </c>
      <c r="O17" s="298" t="s">
        <v>3267</v>
      </c>
      <c r="P17" s="310">
        <f>ROUND((2*8.6+2.3+2*0.45)*5.65-(2*2.4*1.2+1.85*2.02)+2*(2*1.2+2.4)*0.3,2)</f>
        <v>108.64</v>
      </c>
      <c r="Q17" s="300">
        <f t="shared" si="1"/>
        <v>108.64</v>
      </c>
      <c r="R17" s="300">
        <f>ROUND(2.5*5.65-1.7*2.05+2.3*5.65-1.1*2.05,2)</f>
        <v>21.38</v>
      </c>
      <c r="S17" s="300">
        <f t="shared" si="2"/>
        <v>130.02000000000001</v>
      </c>
      <c r="T17" s="300"/>
      <c r="U17" s="300"/>
      <c r="V17" s="300"/>
      <c r="W17" s="300">
        <f t="shared" si="3"/>
        <v>130.02000000000001</v>
      </c>
      <c r="X17" s="300">
        <f t="shared" si="4"/>
        <v>130.02000000000001</v>
      </c>
      <c r="Y17" s="301"/>
      <c r="Z17" s="302"/>
      <c r="AB17" s="283" t="s">
        <v>3324</v>
      </c>
    </row>
    <row r="18" spans="1:28" ht="24">
      <c r="A18" s="284" t="s">
        <v>3349</v>
      </c>
      <c r="B18" s="285" t="s">
        <v>3350</v>
      </c>
      <c r="C18" s="286">
        <v>11.61</v>
      </c>
      <c r="D18" s="287"/>
      <c r="E18" s="303" t="s">
        <v>3336</v>
      </c>
      <c r="F18" s="304" t="s">
        <v>3271</v>
      </c>
      <c r="G18" s="305"/>
      <c r="H18" s="306">
        <f t="shared" si="5"/>
        <v>11.61</v>
      </c>
      <c r="I18" s="307"/>
      <c r="J18" s="293" t="s">
        <v>3327</v>
      </c>
      <c r="K18" s="298" t="s">
        <v>3273</v>
      </c>
      <c r="L18" s="295">
        <f t="shared" si="0"/>
        <v>11.61</v>
      </c>
      <c r="M18" s="308"/>
      <c r="N18" s="309" t="s">
        <v>3328</v>
      </c>
      <c r="O18" s="298" t="s">
        <v>3267</v>
      </c>
      <c r="P18" s="310">
        <f>ROUND((2*5.05+2.3)*5.65-1.2*2.4+(2*1.2+2.4)*0.3,2)</f>
        <v>68.62</v>
      </c>
      <c r="Q18" s="300">
        <f t="shared" si="1"/>
        <v>68.62</v>
      </c>
      <c r="R18" s="300">
        <f>ROUND(2.3*5.65-1.1*2.05,2)</f>
        <v>10.74</v>
      </c>
      <c r="S18" s="300">
        <f t="shared" si="2"/>
        <v>79.36</v>
      </c>
      <c r="T18" s="300"/>
      <c r="U18" s="300"/>
      <c r="V18" s="300"/>
      <c r="W18" s="300">
        <f t="shared" si="3"/>
        <v>79.36</v>
      </c>
      <c r="X18" s="300">
        <f t="shared" si="4"/>
        <v>79.36</v>
      </c>
      <c r="Y18" s="301"/>
      <c r="Z18" s="302"/>
      <c r="AB18" s="283" t="s">
        <v>3324</v>
      </c>
    </row>
    <row r="19" spans="1:28" ht="24">
      <c r="A19" s="284" t="s">
        <v>3351</v>
      </c>
      <c r="B19" s="285" t="s">
        <v>3352</v>
      </c>
      <c r="C19" s="286">
        <v>163.53</v>
      </c>
      <c r="D19" s="287"/>
      <c r="E19" s="303" t="s">
        <v>3336</v>
      </c>
      <c r="F19" s="304" t="s">
        <v>3271</v>
      </c>
      <c r="G19" s="305"/>
      <c r="H19" s="306">
        <f t="shared" si="5"/>
        <v>163.53</v>
      </c>
      <c r="I19" s="307"/>
      <c r="J19" s="293" t="s">
        <v>3327</v>
      </c>
      <c r="K19" s="298" t="s">
        <v>3273</v>
      </c>
      <c r="L19" s="295">
        <f t="shared" si="0"/>
        <v>163.53</v>
      </c>
      <c r="M19" s="308"/>
      <c r="N19" s="309" t="s">
        <v>3328</v>
      </c>
      <c r="O19" s="298" t="s">
        <v>3265</v>
      </c>
      <c r="P19" s="310">
        <f>ROUND(2*(13.8+11.85+0.65)*5.65-(1.7*2.4+0.9*2+1*2+3.6*3.6+3*1.2*1.2)-1.5*5.65+3*3*0.12,2)</f>
        <v>264.64</v>
      </c>
      <c r="Q19" s="300">
        <f t="shared" si="1"/>
        <v>264.64</v>
      </c>
      <c r="R19" s="300"/>
      <c r="S19" s="300">
        <f>P19</f>
        <v>264.64</v>
      </c>
      <c r="T19" s="300"/>
      <c r="U19" s="300"/>
      <c r="V19" s="300"/>
      <c r="W19" s="300">
        <f>P19</f>
        <v>264.64</v>
      </c>
      <c r="X19" s="300">
        <f>P19</f>
        <v>264.64</v>
      </c>
      <c r="Y19" s="301"/>
      <c r="Z19" s="302"/>
      <c r="AB19" s="283" t="s">
        <v>3324</v>
      </c>
    </row>
    <row r="20" spans="1:28" ht="24">
      <c r="A20" s="284" t="s">
        <v>3353</v>
      </c>
      <c r="B20" s="285" t="s">
        <v>3354</v>
      </c>
      <c r="C20" s="286">
        <v>6.75</v>
      </c>
      <c r="D20" s="287"/>
      <c r="E20" s="303" t="s">
        <v>3336</v>
      </c>
      <c r="F20" s="304" t="s">
        <v>3271</v>
      </c>
      <c r="G20" s="305"/>
      <c r="H20" s="306">
        <f t="shared" si="5"/>
        <v>6.75</v>
      </c>
      <c r="I20" s="307"/>
      <c r="J20" s="293" t="s">
        <v>3327</v>
      </c>
      <c r="K20" s="298" t="s">
        <v>3273</v>
      </c>
      <c r="L20" s="295">
        <f t="shared" si="0"/>
        <v>6.75</v>
      </c>
      <c r="M20" s="308"/>
      <c r="N20" s="309" t="s">
        <v>3328</v>
      </c>
      <c r="O20" s="298" t="s">
        <v>3267</v>
      </c>
      <c r="P20" s="310">
        <f>ROUND(2*4.5*1/2*(5.65+4.15),2)</f>
        <v>44.1</v>
      </c>
      <c r="Q20" s="300">
        <f t="shared" si="1"/>
        <v>44.1</v>
      </c>
      <c r="R20" s="300">
        <f>ROUND(1.5*4.15-1*2,2)</f>
        <v>4.2300000000000004</v>
      </c>
      <c r="S20" s="300">
        <f>P20+R20</f>
        <v>48.33</v>
      </c>
      <c r="T20" s="300"/>
      <c r="U20" s="300"/>
      <c r="V20" s="300"/>
      <c r="W20" s="300">
        <f>P20+R20</f>
        <v>48.33</v>
      </c>
      <c r="X20" s="300">
        <f>P20+R20</f>
        <v>48.33</v>
      </c>
      <c r="Y20" s="301"/>
      <c r="Z20" s="302"/>
      <c r="AB20" s="283" t="s">
        <v>3324</v>
      </c>
    </row>
    <row r="21" spans="1:28" ht="24">
      <c r="A21" s="284" t="s">
        <v>3355</v>
      </c>
      <c r="B21" s="285" t="s">
        <v>3356</v>
      </c>
      <c r="C21" s="286">
        <v>132.63999999999999</v>
      </c>
      <c r="D21" s="287"/>
      <c r="E21" s="303" t="s">
        <v>3336</v>
      </c>
      <c r="F21" s="304" t="s">
        <v>3357</v>
      </c>
      <c r="G21" s="305"/>
      <c r="H21" s="306">
        <f t="shared" si="5"/>
        <v>132.63999999999999</v>
      </c>
      <c r="I21" s="307">
        <f>ROUND(3.8*0.6+10.25*0.7+1.3*1.1,1)</f>
        <v>10.9</v>
      </c>
      <c r="J21" s="293" t="s">
        <v>3358</v>
      </c>
      <c r="K21" s="298" t="s">
        <v>3274</v>
      </c>
      <c r="L21" s="295"/>
      <c r="M21" s="308">
        <f>C21</f>
        <v>132.63999999999999</v>
      </c>
      <c r="N21" s="309" t="s">
        <v>3328</v>
      </c>
      <c r="O21" s="298" t="s">
        <v>3267</v>
      </c>
      <c r="P21" s="310">
        <f>ROUND(2*(15.3+13.575+5*0.6)*5.65-(3.6*3.6+2*1.2*1.2+1.7*2.4)+2*3*1.2*0.12-3*1.2*1.2,2)</f>
        <v>336.81</v>
      </c>
      <c r="Q21" s="300">
        <f t="shared" si="1"/>
        <v>336.81</v>
      </c>
      <c r="R21" s="300">
        <f>ROUND(3*1.2*1.2,2)</f>
        <v>4.32</v>
      </c>
      <c r="S21" s="300">
        <f>P21+R21</f>
        <v>341.13</v>
      </c>
      <c r="T21" s="300"/>
      <c r="U21" s="300"/>
      <c r="V21" s="300"/>
      <c r="W21" s="300">
        <f>P21+R21</f>
        <v>341.13</v>
      </c>
      <c r="X21" s="300">
        <f>P21+R21</f>
        <v>341.13</v>
      </c>
      <c r="Y21" s="301"/>
      <c r="Z21" s="302"/>
      <c r="AB21" s="283" t="s">
        <v>3324</v>
      </c>
    </row>
    <row r="22" spans="1:28" ht="24">
      <c r="A22" s="284" t="s">
        <v>3359</v>
      </c>
      <c r="B22" s="285" t="s">
        <v>3360</v>
      </c>
      <c r="C22" s="286">
        <v>53.89</v>
      </c>
      <c r="D22" s="287"/>
      <c r="E22" s="303" t="s">
        <v>3361</v>
      </c>
      <c r="F22" s="304"/>
      <c r="G22" s="305"/>
      <c r="H22" s="306"/>
      <c r="I22" s="307"/>
      <c r="J22" s="293" t="s">
        <v>3358</v>
      </c>
      <c r="K22" s="298" t="s">
        <v>3274</v>
      </c>
      <c r="L22" s="295"/>
      <c r="M22" s="308">
        <f>C22</f>
        <v>53.89</v>
      </c>
      <c r="N22" s="311" t="s">
        <v>3362</v>
      </c>
      <c r="O22" s="298"/>
      <c r="P22" s="310"/>
      <c r="Q22" s="300"/>
      <c r="R22" s="300"/>
      <c r="S22" s="300"/>
      <c r="T22" s="300"/>
      <c r="U22" s="300"/>
      <c r="V22" s="300"/>
      <c r="W22" s="300"/>
      <c r="X22" s="300"/>
      <c r="Y22" s="301"/>
      <c r="Z22" s="302" t="s">
        <v>3363</v>
      </c>
      <c r="AB22" s="283" t="s">
        <v>3324</v>
      </c>
    </row>
    <row r="23" spans="1:28" ht="24">
      <c r="A23" s="284" t="s">
        <v>3364</v>
      </c>
      <c r="B23" s="285" t="s">
        <v>3365</v>
      </c>
      <c r="C23" s="286">
        <v>86.8</v>
      </c>
      <c r="D23" s="287"/>
      <c r="E23" s="303" t="s">
        <v>3336</v>
      </c>
      <c r="F23" s="304" t="s">
        <v>3271</v>
      </c>
      <c r="G23" s="305"/>
      <c r="H23" s="306">
        <f>C23</f>
        <v>86.8</v>
      </c>
      <c r="I23" s="307"/>
      <c r="J23" s="293" t="s">
        <v>3327</v>
      </c>
      <c r="K23" s="298" t="s">
        <v>3273</v>
      </c>
      <c r="L23" s="295">
        <f>C23</f>
        <v>86.8</v>
      </c>
      <c r="M23" s="308"/>
      <c r="N23" s="311" t="s">
        <v>3328</v>
      </c>
      <c r="O23" s="298" t="s">
        <v>3265</v>
      </c>
      <c r="P23" s="310">
        <f>ROUND(2*(12.5+7.3+4*0.6)*5.65-(1*2+4*2.87*2.4+4*2.4*1.2) +4*(2*2.87+2*2.4+2*1.2)*0.12,2)</f>
        <v>216</v>
      </c>
      <c r="Q23" s="300">
        <f>P23</f>
        <v>216</v>
      </c>
      <c r="R23" s="300"/>
      <c r="S23" s="300">
        <f>P23</f>
        <v>216</v>
      </c>
      <c r="T23" s="300"/>
      <c r="U23" s="300"/>
      <c r="V23" s="300"/>
      <c r="W23" s="300">
        <f>P23</f>
        <v>216</v>
      </c>
      <c r="X23" s="300">
        <f>P23</f>
        <v>216</v>
      </c>
      <c r="Y23" s="301"/>
      <c r="Z23" s="302" t="s">
        <v>3366</v>
      </c>
      <c r="AB23" s="283" t="s">
        <v>3324</v>
      </c>
    </row>
    <row r="24" spans="1:28" ht="24">
      <c r="A24" s="284" t="s">
        <v>3367</v>
      </c>
      <c r="B24" s="312" t="s">
        <v>3368</v>
      </c>
      <c r="C24" s="286">
        <v>10.15</v>
      </c>
      <c r="D24" s="287"/>
      <c r="E24" s="303" t="s">
        <v>3336</v>
      </c>
      <c r="F24" s="304" t="s">
        <v>3271</v>
      </c>
      <c r="G24" s="305"/>
      <c r="H24" s="306">
        <f>C24</f>
        <v>10.15</v>
      </c>
      <c r="I24" s="307"/>
      <c r="J24" s="293" t="s">
        <v>3369</v>
      </c>
      <c r="K24" s="298"/>
      <c r="L24" s="295"/>
      <c r="M24" s="308"/>
      <c r="N24" s="311" t="s">
        <v>3328</v>
      </c>
      <c r="O24" s="298" t="s">
        <v>3265</v>
      </c>
      <c r="P24" s="310">
        <f>ROUND(2*(2.55+4.1)*5.65-1*2,2)</f>
        <v>73.150000000000006</v>
      </c>
      <c r="Q24" s="300">
        <f>P24</f>
        <v>73.150000000000006</v>
      </c>
      <c r="R24" s="300"/>
      <c r="S24" s="300">
        <f>P24</f>
        <v>73.150000000000006</v>
      </c>
      <c r="T24" s="300"/>
      <c r="U24" s="300"/>
      <c r="V24" s="300"/>
      <c r="W24" s="300">
        <f>P24</f>
        <v>73.150000000000006</v>
      </c>
      <c r="X24" s="300">
        <f>P24</f>
        <v>73.150000000000006</v>
      </c>
      <c r="Y24" s="301"/>
      <c r="Z24" s="302" t="s">
        <v>3370</v>
      </c>
      <c r="AB24" s="283" t="s">
        <v>3324</v>
      </c>
    </row>
    <row r="25" spans="1:28" ht="24">
      <c r="A25" s="284" t="s">
        <v>3371</v>
      </c>
      <c r="B25" s="285" t="s">
        <v>3325</v>
      </c>
      <c r="C25" s="286">
        <v>3.58</v>
      </c>
      <c r="D25" s="287"/>
      <c r="E25" s="303" t="s">
        <v>3336</v>
      </c>
      <c r="F25" s="304" t="s">
        <v>3271</v>
      </c>
      <c r="G25" s="305"/>
      <c r="H25" s="306">
        <f>C25</f>
        <v>3.58</v>
      </c>
      <c r="I25" s="307"/>
      <c r="J25" s="293" t="s">
        <v>3369</v>
      </c>
      <c r="K25" s="298"/>
      <c r="L25" s="295"/>
      <c r="M25" s="308"/>
      <c r="N25" s="311" t="s">
        <v>3328</v>
      </c>
      <c r="O25" s="298" t="s">
        <v>3265</v>
      </c>
      <c r="P25" s="310">
        <f>ROUND(2*(2.55+1.4)*5.65-4*1*2,2)</f>
        <v>36.64</v>
      </c>
      <c r="Q25" s="300">
        <f>P25</f>
        <v>36.64</v>
      </c>
      <c r="R25" s="300"/>
      <c r="S25" s="300">
        <f>P25</f>
        <v>36.64</v>
      </c>
      <c r="T25" s="300"/>
      <c r="U25" s="300"/>
      <c r="V25" s="300"/>
      <c r="W25" s="300">
        <f>P25</f>
        <v>36.64</v>
      </c>
      <c r="X25" s="300">
        <f>P25</f>
        <v>36.64</v>
      </c>
      <c r="Y25" s="301"/>
      <c r="Z25" s="302" t="s">
        <v>3370</v>
      </c>
      <c r="AB25" s="283" t="s">
        <v>3324</v>
      </c>
    </row>
    <row r="26" spans="1:28" ht="24">
      <c r="A26" s="284" t="s">
        <v>3372</v>
      </c>
      <c r="B26" s="285" t="s">
        <v>3342</v>
      </c>
      <c r="C26" s="286">
        <v>7.84</v>
      </c>
      <c r="D26" s="287"/>
      <c r="E26" s="303" t="s">
        <v>3336</v>
      </c>
      <c r="F26" s="304" t="s">
        <v>3271</v>
      </c>
      <c r="G26" s="305"/>
      <c r="H26" s="306">
        <f>C26</f>
        <v>7.84</v>
      </c>
      <c r="I26" s="307"/>
      <c r="J26" s="293" t="s">
        <v>3369</v>
      </c>
      <c r="K26" s="298"/>
      <c r="L26" s="295"/>
      <c r="M26" s="308"/>
      <c r="N26" s="311" t="s">
        <v>3328</v>
      </c>
      <c r="O26" s="298" t="s">
        <v>3265</v>
      </c>
      <c r="P26" s="310">
        <f>ROUND(2*(2.55+3.25)*5.65-1*2,2)</f>
        <v>63.54</v>
      </c>
      <c r="Q26" s="300">
        <f>P26</f>
        <v>63.54</v>
      </c>
      <c r="R26" s="300"/>
      <c r="S26" s="300">
        <f>P26</f>
        <v>63.54</v>
      </c>
      <c r="T26" s="300"/>
      <c r="U26" s="300"/>
      <c r="V26" s="300"/>
      <c r="W26" s="300">
        <f>P26</f>
        <v>63.54</v>
      </c>
      <c r="X26" s="300">
        <f>P26</f>
        <v>63.54</v>
      </c>
      <c r="Y26" s="301"/>
      <c r="Z26" s="302" t="s">
        <v>3370</v>
      </c>
      <c r="AB26" s="283" t="s">
        <v>3324</v>
      </c>
    </row>
    <row r="27" spans="1:28">
      <c r="A27" s="284" t="s">
        <v>3373</v>
      </c>
      <c r="B27" s="285" t="s">
        <v>3374</v>
      </c>
      <c r="C27" s="286">
        <v>1.8</v>
      </c>
      <c r="D27" s="287"/>
      <c r="E27" s="303" t="s">
        <v>3375</v>
      </c>
      <c r="F27" s="304"/>
      <c r="G27" s="305"/>
      <c r="H27" s="306"/>
      <c r="I27" s="307"/>
      <c r="J27" s="293" t="s">
        <v>3376</v>
      </c>
      <c r="K27" s="298"/>
      <c r="L27" s="295"/>
      <c r="M27" s="308"/>
      <c r="N27" s="309" t="s">
        <v>3377</v>
      </c>
      <c r="O27" s="298"/>
      <c r="P27" s="310"/>
      <c r="Q27" s="300"/>
      <c r="R27" s="300"/>
      <c r="S27" s="300"/>
      <c r="T27" s="300"/>
      <c r="U27" s="300"/>
      <c r="V27" s="300"/>
      <c r="W27" s="300"/>
      <c r="X27" s="300"/>
      <c r="Y27" s="301"/>
      <c r="Z27" s="302"/>
      <c r="AB27" s="283" t="s">
        <v>3324</v>
      </c>
    </row>
    <row r="28" spans="1:28">
      <c r="A28" s="284" t="s">
        <v>3378</v>
      </c>
      <c r="B28" s="285" t="s">
        <v>3325</v>
      </c>
      <c r="C28" s="286">
        <v>2.1</v>
      </c>
      <c r="D28" s="287"/>
      <c r="E28" s="303" t="s">
        <v>3375</v>
      </c>
      <c r="F28" s="304"/>
      <c r="G28" s="305"/>
      <c r="H28" s="306"/>
      <c r="I28" s="307"/>
      <c r="J28" s="293" t="s">
        <v>3376</v>
      </c>
      <c r="K28" s="298"/>
      <c r="L28" s="295"/>
      <c r="M28" s="308"/>
      <c r="N28" s="309" t="s">
        <v>3377</v>
      </c>
      <c r="O28" s="298"/>
      <c r="P28" s="310"/>
      <c r="Q28" s="300"/>
      <c r="R28" s="300"/>
      <c r="S28" s="300"/>
      <c r="T28" s="300"/>
      <c r="U28" s="300"/>
      <c r="V28" s="300"/>
      <c r="W28" s="300"/>
      <c r="X28" s="300"/>
      <c r="Y28" s="301"/>
      <c r="Z28" s="302"/>
      <c r="AB28" s="283" t="s">
        <v>3324</v>
      </c>
    </row>
    <row r="29" spans="1:28" ht="24.75" thickBot="1">
      <c r="A29" s="284" t="s">
        <v>3379</v>
      </c>
      <c r="B29" s="312" t="s">
        <v>3380</v>
      </c>
      <c r="C29" s="286">
        <v>17.55</v>
      </c>
      <c r="D29" s="287"/>
      <c r="E29" s="303" t="s">
        <v>3381</v>
      </c>
      <c r="F29" s="304"/>
      <c r="G29" s="305"/>
      <c r="H29" s="306"/>
      <c r="I29" s="307"/>
      <c r="J29" s="293" t="s">
        <v>3376</v>
      </c>
      <c r="K29" s="298"/>
      <c r="L29" s="295"/>
      <c r="M29" s="308"/>
      <c r="N29" s="311" t="s">
        <v>3382</v>
      </c>
      <c r="O29" s="298"/>
      <c r="P29" s="310"/>
      <c r="Q29" s="300"/>
      <c r="R29" s="300"/>
      <c r="S29" s="300"/>
      <c r="T29" s="300"/>
      <c r="U29" s="300"/>
      <c r="V29" s="300"/>
      <c r="W29" s="300"/>
      <c r="X29" s="300"/>
      <c r="Y29" s="301"/>
      <c r="Z29" s="302"/>
      <c r="AB29" s="283" t="s">
        <v>3324</v>
      </c>
    </row>
    <row r="30" spans="1:28" s="276" customFormat="1" ht="12.75" thickBot="1">
      <c r="A30" s="313" t="s">
        <v>3383</v>
      </c>
      <c r="B30" s="313"/>
      <c r="C30" s="314">
        <f>SUM(C10:C28)</f>
        <v>739.19999999999993</v>
      </c>
      <c r="D30" s="315"/>
      <c r="E30" s="315"/>
      <c r="F30" s="315"/>
      <c r="G30" s="314">
        <f>SUM(G10:G29)</f>
        <v>44.28</v>
      </c>
      <c r="H30" s="314">
        <f>SUM(H10:H29)</f>
        <v>637.13</v>
      </c>
      <c r="I30" s="314">
        <f>SUM(I10:I29)</f>
        <v>10.9</v>
      </c>
      <c r="J30" s="315"/>
      <c r="K30" s="315"/>
      <c r="L30" s="314">
        <f>SUM(L10:L29)</f>
        <v>527.19999999999993</v>
      </c>
      <c r="M30" s="314">
        <f>SUM(M10:M29)</f>
        <v>186.52999999999997</v>
      </c>
      <c r="N30" s="316"/>
      <c r="O30" s="315"/>
      <c r="P30" s="314">
        <f t="shared" ref="P30:Y30" si="6">SUM(P10:P29)</f>
        <v>1488.66</v>
      </c>
      <c r="Q30" s="314">
        <f t="shared" si="6"/>
        <v>1488.66</v>
      </c>
      <c r="R30" s="314">
        <f t="shared" si="6"/>
        <v>316.48</v>
      </c>
      <c r="S30" s="314">
        <f t="shared" si="6"/>
        <v>1777.3799999999999</v>
      </c>
      <c r="T30" s="314">
        <f t="shared" si="6"/>
        <v>27.76</v>
      </c>
      <c r="U30" s="314">
        <f t="shared" si="6"/>
        <v>27.76</v>
      </c>
      <c r="V30" s="314">
        <f t="shared" si="6"/>
        <v>27.76</v>
      </c>
      <c r="W30" s="314">
        <f t="shared" si="6"/>
        <v>1777.3799999999999</v>
      </c>
      <c r="X30" s="314">
        <f t="shared" si="6"/>
        <v>1777.3799999999999</v>
      </c>
      <c r="Y30" s="314">
        <f t="shared" si="6"/>
        <v>0</v>
      </c>
      <c r="Z30" s="317"/>
      <c r="AB30" s="283" t="s">
        <v>3324</v>
      </c>
    </row>
    <row r="31" spans="1:28" ht="12.75" thickBot="1">
      <c r="E31" s="318"/>
      <c r="F31" s="318"/>
      <c r="G31" s="318"/>
      <c r="H31" s="318"/>
      <c r="I31" s="318"/>
      <c r="M31" s="318"/>
      <c r="Z31" s="254"/>
    </row>
    <row r="32" spans="1:28" s="276" customFormat="1" ht="12.75" thickBot="1">
      <c r="A32" s="313" t="s">
        <v>3384</v>
      </c>
      <c r="B32" s="313"/>
      <c r="C32" s="314">
        <f>SUM(C30)</f>
        <v>739.19999999999993</v>
      </c>
      <c r="D32" s="315"/>
      <c r="E32" s="315"/>
      <c r="F32" s="315"/>
      <c r="G32" s="314">
        <f>SUM(G30)</f>
        <v>44.28</v>
      </c>
      <c r="H32" s="314">
        <f>SUM(H30)</f>
        <v>637.13</v>
      </c>
      <c r="I32" s="314">
        <f>SUM(I30)</f>
        <v>10.9</v>
      </c>
      <c r="J32" s="315"/>
      <c r="K32" s="315"/>
      <c r="L32" s="314">
        <f>SUM(L30)</f>
        <v>527.19999999999993</v>
      </c>
      <c r="M32" s="314">
        <f>SUM(M30)</f>
        <v>186.52999999999997</v>
      </c>
      <c r="N32" s="316"/>
      <c r="O32" s="315"/>
      <c r="P32" s="314">
        <f t="shared" ref="P32:Y32" si="7">SUM(P30)</f>
        <v>1488.66</v>
      </c>
      <c r="Q32" s="314">
        <f t="shared" si="7"/>
        <v>1488.66</v>
      </c>
      <c r="R32" s="314">
        <f t="shared" si="7"/>
        <v>316.48</v>
      </c>
      <c r="S32" s="314">
        <f t="shared" si="7"/>
        <v>1777.3799999999999</v>
      </c>
      <c r="T32" s="314">
        <f t="shared" si="7"/>
        <v>27.76</v>
      </c>
      <c r="U32" s="314">
        <f t="shared" si="7"/>
        <v>27.76</v>
      </c>
      <c r="V32" s="314">
        <f t="shared" si="7"/>
        <v>27.76</v>
      </c>
      <c r="W32" s="314">
        <f t="shared" si="7"/>
        <v>1777.3799999999999</v>
      </c>
      <c r="X32" s="314">
        <f t="shared" si="7"/>
        <v>1777.3799999999999</v>
      </c>
      <c r="Y32" s="314">
        <f t="shared" si="7"/>
        <v>0</v>
      </c>
      <c r="Z32" s="317"/>
      <c r="AB32" s="283" t="s">
        <v>3324</v>
      </c>
    </row>
    <row r="33" spans="2:29" ht="12.75" thickBot="1">
      <c r="E33" s="318"/>
      <c r="F33" s="318"/>
      <c r="G33" s="318"/>
      <c r="H33" s="318"/>
      <c r="I33" s="318"/>
      <c r="M33" s="318"/>
      <c r="Z33" s="254"/>
    </row>
    <row r="34" spans="2:29" ht="13.5" thickTop="1" thickBot="1">
      <c r="E34" s="318"/>
      <c r="F34" s="318"/>
      <c r="G34" s="397" t="s">
        <v>3303</v>
      </c>
      <c r="H34" s="398"/>
      <c r="I34" s="399"/>
      <c r="L34" s="400" t="s">
        <v>3304</v>
      </c>
      <c r="M34" s="401"/>
      <c r="P34" s="397" t="s">
        <v>3305</v>
      </c>
      <c r="Q34" s="398"/>
      <c r="R34" s="398"/>
      <c r="S34" s="398"/>
      <c r="T34" s="398"/>
      <c r="U34" s="398"/>
      <c r="V34" s="398"/>
      <c r="W34" s="398"/>
      <c r="X34" s="398"/>
      <c r="Y34" s="399"/>
      <c r="Z34" s="254"/>
    </row>
    <row r="35" spans="2:29" s="254" customFormat="1" ht="12.75" thickTop="1">
      <c r="E35" s="319"/>
      <c r="F35" s="319"/>
      <c r="G35" s="320" t="str">
        <f>G3</f>
        <v>P1</v>
      </c>
      <c r="H35" s="320" t="str">
        <f>H3</f>
        <v>P2</v>
      </c>
      <c r="I35" s="320" t="str">
        <f>I3</f>
        <v>P3</v>
      </c>
      <c r="L35" s="320" t="str">
        <f>L3</f>
        <v>R1</v>
      </c>
      <c r="M35" s="320" t="str">
        <f>M3</f>
        <v>R2</v>
      </c>
      <c r="P35" s="320" t="str">
        <f t="shared" ref="P35:Y35" si="8">P3</f>
        <v>UPEO</v>
      </c>
      <c r="Q35" s="320" t="str">
        <f t="shared" si="8"/>
        <v>OP20%</v>
      </c>
      <c r="R35" s="320" t="str">
        <f t="shared" si="8"/>
        <v>NP</v>
      </c>
      <c r="S35" s="320" t="str">
        <f t="shared" si="8"/>
        <v>VCO10</v>
      </c>
      <c r="T35" s="320" t="str">
        <f t="shared" si="8"/>
        <v>CJO</v>
      </c>
      <c r="U35" s="320" t="str">
        <f t="shared" si="8"/>
        <v>KO</v>
      </c>
      <c r="V35" s="320" t="str">
        <f t="shared" si="8"/>
        <v>HIN</v>
      </c>
      <c r="W35" s="320" t="str">
        <f t="shared" si="8"/>
        <v>PN</v>
      </c>
      <c r="X35" s="320" t="str">
        <f t="shared" si="8"/>
        <v>M</v>
      </c>
      <c r="Y35" s="320" t="str">
        <f t="shared" si="8"/>
        <v>KS</v>
      </c>
    </row>
    <row r="36" spans="2:29">
      <c r="C36" s="253"/>
      <c r="E36" s="318"/>
      <c r="F36" s="283" t="s">
        <v>3324</v>
      </c>
      <c r="G36" s="321">
        <f>G30</f>
        <v>44.28</v>
      </c>
      <c r="H36" s="321">
        <f>H30</f>
        <v>637.13</v>
      </c>
      <c r="I36" s="321">
        <f>I30</f>
        <v>10.9</v>
      </c>
      <c r="K36" s="283" t="s">
        <v>3324</v>
      </c>
      <c r="L36" s="321">
        <f>L30</f>
        <v>527.19999999999993</v>
      </c>
      <c r="M36" s="321">
        <f>M30</f>
        <v>186.52999999999997</v>
      </c>
      <c r="O36" s="283" t="s">
        <v>3324</v>
      </c>
      <c r="P36" s="321">
        <f t="shared" ref="P36:Y36" si="9">P30</f>
        <v>1488.66</v>
      </c>
      <c r="Q36" s="321">
        <f t="shared" si="9"/>
        <v>1488.66</v>
      </c>
      <c r="R36" s="321">
        <f t="shared" si="9"/>
        <v>316.48</v>
      </c>
      <c r="S36" s="321">
        <f t="shared" si="9"/>
        <v>1777.3799999999999</v>
      </c>
      <c r="T36" s="321">
        <f t="shared" si="9"/>
        <v>27.76</v>
      </c>
      <c r="U36" s="321">
        <f t="shared" si="9"/>
        <v>27.76</v>
      </c>
      <c r="V36" s="321">
        <f t="shared" si="9"/>
        <v>27.76</v>
      </c>
      <c r="W36" s="321">
        <f t="shared" si="9"/>
        <v>1777.3799999999999</v>
      </c>
      <c r="X36" s="321">
        <f t="shared" si="9"/>
        <v>1777.3799999999999</v>
      </c>
      <c r="Y36" s="321">
        <f t="shared" si="9"/>
        <v>0</v>
      </c>
      <c r="Z36" s="254"/>
    </row>
    <row r="37" spans="2:29" s="322" customFormat="1">
      <c r="B37" s="323"/>
      <c r="E37" s="324"/>
      <c r="F37" s="322" t="s">
        <v>3385</v>
      </c>
      <c r="G37" s="320">
        <f>SUM(G36:G36)</f>
        <v>44.28</v>
      </c>
      <c r="H37" s="320">
        <f>SUM(H36:H36)</f>
        <v>637.13</v>
      </c>
      <c r="I37" s="320">
        <f>SUM(I36:I36)</f>
        <v>10.9</v>
      </c>
      <c r="K37" s="322" t="s">
        <v>3385</v>
      </c>
      <c r="L37" s="320">
        <f>SUM(L36:L36)</f>
        <v>527.19999999999993</v>
      </c>
      <c r="M37" s="320">
        <f>SUM(M36:M36)</f>
        <v>186.52999999999997</v>
      </c>
      <c r="N37" s="323"/>
      <c r="O37" s="322" t="s">
        <v>3385</v>
      </c>
      <c r="P37" s="320">
        <f t="shared" ref="P37:Y37" si="10">SUM(P36:P36)</f>
        <v>1488.66</v>
      </c>
      <c r="Q37" s="320">
        <f t="shared" si="10"/>
        <v>1488.66</v>
      </c>
      <c r="R37" s="320">
        <f t="shared" si="10"/>
        <v>316.48</v>
      </c>
      <c r="S37" s="320">
        <f t="shared" si="10"/>
        <v>1777.3799999999999</v>
      </c>
      <c r="T37" s="320">
        <f t="shared" si="10"/>
        <v>27.76</v>
      </c>
      <c r="U37" s="320">
        <f t="shared" si="10"/>
        <v>27.76</v>
      </c>
      <c r="V37" s="320">
        <f t="shared" si="10"/>
        <v>27.76</v>
      </c>
      <c r="W37" s="320">
        <f t="shared" si="10"/>
        <v>1777.3799999999999</v>
      </c>
      <c r="X37" s="320">
        <f t="shared" si="10"/>
        <v>1777.3799999999999</v>
      </c>
      <c r="Y37" s="320">
        <f t="shared" si="10"/>
        <v>0</v>
      </c>
      <c r="AA37" s="323"/>
      <c r="AB37" s="323"/>
      <c r="AC37" s="323"/>
    </row>
    <row r="38" spans="2:29" s="254" customFormat="1">
      <c r="B38" s="253"/>
      <c r="E38" s="318"/>
      <c r="F38" s="318"/>
      <c r="G38" s="318"/>
      <c r="H38" s="318"/>
      <c r="I38" s="318"/>
      <c r="L38" s="253"/>
      <c r="M38" s="318"/>
      <c r="N38" s="253"/>
      <c r="P38" s="253"/>
      <c r="Q38" s="253"/>
      <c r="R38" s="253"/>
      <c r="S38" s="253"/>
      <c r="T38" s="318"/>
      <c r="U38" s="253"/>
      <c r="V38" s="253"/>
      <c r="W38" s="253"/>
      <c r="X38" s="253"/>
      <c r="Y38" s="253"/>
      <c r="AA38" s="253"/>
      <c r="AB38" s="253"/>
      <c r="AC38" s="253"/>
    </row>
    <row r="39" spans="2:29" s="254" customFormat="1">
      <c r="B39" s="253"/>
      <c r="E39" s="318"/>
      <c r="F39" s="318"/>
      <c r="G39" s="318"/>
      <c r="H39" s="318"/>
      <c r="I39" s="318"/>
      <c r="L39" s="253"/>
      <c r="M39" s="318"/>
      <c r="N39" s="253"/>
      <c r="P39" s="253"/>
      <c r="Q39" s="253"/>
      <c r="R39" s="253"/>
      <c r="S39" s="253"/>
      <c r="T39" s="253"/>
      <c r="U39" s="253"/>
      <c r="V39" s="253"/>
      <c r="W39" s="253"/>
      <c r="X39" s="253"/>
      <c r="Y39" s="253"/>
      <c r="AA39" s="253"/>
      <c r="AB39" s="253"/>
      <c r="AC39" s="253"/>
    </row>
  </sheetData>
  <mergeCells count="6">
    <mergeCell ref="E6:I6"/>
    <mergeCell ref="J6:M6"/>
    <mergeCell ref="N6:Y6"/>
    <mergeCell ref="G34:I34"/>
    <mergeCell ref="L34:M34"/>
    <mergeCell ref="P34:Y34"/>
  </mergeCells>
  <conditionalFormatting sqref="G10:I29 L10:M29 P10:Y29">
    <cfRule type="cellIs" dxfId="0" priority="1" operator="not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BM294"/>
  <sheetViews>
    <sheetView showGridLines="0" workbookViewId="0">
      <selection activeCell="J42" sqref="J42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0" t="s">
        <v>5</v>
      </c>
      <c r="M2" s="351"/>
      <c r="N2" s="351"/>
      <c r="O2" s="351"/>
      <c r="P2" s="351"/>
      <c r="Q2" s="351"/>
      <c r="R2" s="351"/>
      <c r="S2" s="351"/>
      <c r="T2" s="351"/>
      <c r="U2" s="351"/>
      <c r="V2" s="351"/>
      <c r="AT2" s="14" t="s">
        <v>86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5" customHeight="1">
      <c r="B4" s="17"/>
      <c r="D4" s="18" t="s">
        <v>129</v>
      </c>
      <c r="L4" s="17"/>
      <c r="M4" s="98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387" t="str">
        <f>'Rekapitulácia stavby'!K6</f>
        <v>Topoľčianky, Centrálny logistický sklad - rekonštrukcia tepelného hospodárstva</v>
      </c>
      <c r="F7" s="388"/>
      <c r="G7" s="388"/>
      <c r="H7" s="388"/>
      <c r="L7" s="17"/>
    </row>
    <row r="8" spans="1:46" s="1" customFormat="1" ht="12" customHeight="1">
      <c r="B8" s="17"/>
      <c r="D8" s="24" t="s">
        <v>130</v>
      </c>
      <c r="L8" s="17"/>
    </row>
    <row r="9" spans="1:46" s="2" customFormat="1" ht="16.5" customHeight="1">
      <c r="A9" s="29"/>
      <c r="B9" s="30"/>
      <c r="C9" s="29"/>
      <c r="D9" s="29"/>
      <c r="E9" s="387" t="s">
        <v>131</v>
      </c>
      <c r="F9" s="386"/>
      <c r="G9" s="386"/>
      <c r="H9" s="386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>
      <c r="A10" s="29"/>
      <c r="B10" s="30"/>
      <c r="C10" s="29"/>
      <c r="D10" s="24" t="s">
        <v>132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>
      <c r="A11" s="29"/>
      <c r="B11" s="30"/>
      <c r="C11" s="29"/>
      <c r="D11" s="29"/>
      <c r="E11" s="382" t="s">
        <v>974</v>
      </c>
      <c r="F11" s="386"/>
      <c r="G11" s="386"/>
      <c r="H11" s="386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>
      <c r="A13" s="29"/>
      <c r="B13" s="30"/>
      <c r="C13" s="29"/>
      <c r="D13" s="24" t="s">
        <v>15</v>
      </c>
      <c r="E13" s="29"/>
      <c r="F13" s="22" t="s">
        <v>1</v>
      </c>
      <c r="G13" s="29"/>
      <c r="H13" s="29"/>
      <c r="I13" s="24" t="s">
        <v>16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17</v>
      </c>
      <c r="E14" s="29"/>
      <c r="F14" s="22" t="s">
        <v>18</v>
      </c>
      <c r="G14" s="29"/>
      <c r="H14" s="29"/>
      <c r="I14" s="24" t="s">
        <v>19</v>
      </c>
      <c r="J14" s="55">
        <f>'Rekapitulácia stavby'!AN8</f>
        <v>45945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>
      <c r="A16" s="29"/>
      <c r="B16" s="30"/>
      <c r="C16" s="29"/>
      <c r="D16" s="24" t="s">
        <v>20</v>
      </c>
      <c r="E16" s="29"/>
      <c r="F16" s="29"/>
      <c r="G16" s="29"/>
      <c r="H16" s="29"/>
      <c r="I16" s="24" t="s">
        <v>21</v>
      </c>
      <c r="J16" s="22" t="str">
        <f>IF('Rekapitulácia stavby'!AN10="","",'Rekapitulácia stavby'!AN10)</f>
        <v/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>
      <c r="A17" s="29"/>
      <c r="B17" s="30"/>
      <c r="C17" s="29"/>
      <c r="D17" s="29"/>
      <c r="E17" s="22" t="str">
        <f>IF('Rekapitulácia stavby'!E11="","",'Rekapitulácia stavby'!E11)</f>
        <v xml:space="preserve"> </v>
      </c>
      <c r="F17" s="29"/>
      <c r="G17" s="29"/>
      <c r="H17" s="29"/>
      <c r="I17" s="24" t="s">
        <v>22</v>
      </c>
      <c r="J17" s="22" t="str">
        <f>IF('Rekapitulácia stavby'!AN11="","",'Rekapitulácia stavby'!AN11)</f>
        <v/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customHeight="1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>
      <c r="A19" s="29"/>
      <c r="B19" s="30"/>
      <c r="C19" s="29"/>
      <c r="D19" s="24" t="s">
        <v>23</v>
      </c>
      <c r="E19" s="29"/>
      <c r="F19" s="29"/>
      <c r="G19" s="29"/>
      <c r="H19" s="29"/>
      <c r="I19" s="24" t="s">
        <v>21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>
      <c r="A20" s="29"/>
      <c r="B20" s="30"/>
      <c r="C20" s="29"/>
      <c r="D20" s="29"/>
      <c r="E20" s="389" t="str">
        <f>'Rekapitulácia stavby'!E14</f>
        <v>Vyplň údaj</v>
      </c>
      <c r="F20" s="390"/>
      <c r="G20" s="390"/>
      <c r="H20" s="390"/>
      <c r="I20" s="24" t="s">
        <v>22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customHeight="1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>
      <c r="A22" s="29"/>
      <c r="B22" s="30"/>
      <c r="C22" s="29"/>
      <c r="D22" s="24" t="s">
        <v>25</v>
      </c>
      <c r="E22" s="29"/>
      <c r="F22" s="29"/>
      <c r="G22" s="29"/>
      <c r="H22" s="29"/>
      <c r="I22" s="24" t="s">
        <v>21</v>
      </c>
      <c r="J22" s="22" t="str">
        <f>IF('Rekapitulácia stavby'!AN16="","",'Rekapitulácia stavby'!AN16)</f>
        <v/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>
      <c r="A23" s="29"/>
      <c r="B23" s="30"/>
      <c r="C23" s="29"/>
      <c r="D23" s="29"/>
      <c r="E23" s="22" t="str">
        <f>IF('Rekapitulácia stavby'!E17="","",'Rekapitulácia stavby'!E17)</f>
        <v xml:space="preserve"> </v>
      </c>
      <c r="F23" s="29"/>
      <c r="G23" s="29"/>
      <c r="H23" s="29"/>
      <c r="I23" s="24" t="s">
        <v>22</v>
      </c>
      <c r="J23" s="22" t="str">
        <f>IF('Rekapitulácia stavby'!AN17="","",'Rekapitulácia stavby'!AN17)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customHeight="1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>
      <c r="A25" s="29"/>
      <c r="B25" s="30"/>
      <c r="C25" s="29"/>
      <c r="D25" s="24" t="s">
        <v>26</v>
      </c>
      <c r="E25" s="29"/>
      <c r="F25" s="29"/>
      <c r="G25" s="29"/>
      <c r="H25" s="29"/>
      <c r="I25" s="24" t="s">
        <v>21</v>
      </c>
      <c r="J25" s="22" t="str">
        <f>IF('Rekapitulácia stavby'!AN19="","",'Rekapitulácia stavby'!AN19)</f>
        <v/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24" t="s">
        <v>22</v>
      </c>
      <c r="J26" s="22" t="str">
        <f>IF('Rekapitulácia stavby'!AN20="","",'Rekapitulácia stavby'!AN20)</f>
        <v/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>
      <c r="A28" s="29"/>
      <c r="B28" s="30"/>
      <c r="C28" s="29"/>
      <c r="D28" s="24" t="s">
        <v>28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>
      <c r="A29" s="99"/>
      <c r="B29" s="100"/>
      <c r="C29" s="99"/>
      <c r="D29" s="99"/>
      <c r="E29" s="378" t="s">
        <v>1</v>
      </c>
      <c r="F29" s="378"/>
      <c r="G29" s="378"/>
      <c r="H29" s="378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102" t="s">
        <v>29</v>
      </c>
      <c r="E32" s="29"/>
      <c r="F32" s="29"/>
      <c r="G32" s="29"/>
      <c r="H32" s="29"/>
      <c r="I32" s="29"/>
      <c r="J32" s="71"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31</v>
      </c>
      <c r="G34" s="29"/>
      <c r="H34" s="29"/>
      <c r="I34" s="33" t="s">
        <v>30</v>
      </c>
      <c r="J34" s="33" t="s">
        <v>32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3" t="s">
        <v>33</v>
      </c>
      <c r="E35" s="35" t="s">
        <v>34</v>
      </c>
      <c r="F35" s="104">
        <f>ROUND((SUM(BE130:BE293)),  2)</f>
        <v>0</v>
      </c>
      <c r="G35" s="105"/>
      <c r="H35" s="105"/>
      <c r="I35" s="106">
        <v>0.23</v>
      </c>
      <c r="J35" s="104">
        <f>ROUND(((SUM(BE130:BE293))*I35),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35</v>
      </c>
      <c r="F36" s="104">
        <f>ROUND((SUM(BF130:BF293)),  2)</f>
        <v>0</v>
      </c>
      <c r="G36" s="105"/>
      <c r="H36" s="105"/>
      <c r="I36" s="106">
        <v>0.23</v>
      </c>
      <c r="J36" s="104">
        <f>ROUND(((SUM(BF130:BF293))*I36),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36</v>
      </c>
      <c r="F37" s="107">
        <f>ROUND((SUM(BG130:BG293)),  2)</f>
        <v>0</v>
      </c>
      <c r="G37" s="29"/>
      <c r="H37" s="29"/>
      <c r="I37" s="108">
        <v>0.23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37</v>
      </c>
      <c r="F38" s="107">
        <f>ROUND((SUM(BH130:BH293)),  2)</f>
        <v>0</v>
      </c>
      <c r="G38" s="29"/>
      <c r="H38" s="29"/>
      <c r="I38" s="108">
        <v>0.23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38</v>
      </c>
      <c r="F39" s="104">
        <f>ROUND((SUM(BI130:BI293)), 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9"/>
      <c r="D41" s="110" t="s">
        <v>39</v>
      </c>
      <c r="E41" s="60"/>
      <c r="F41" s="60"/>
      <c r="G41" s="111" t="s">
        <v>40</v>
      </c>
      <c r="H41" s="112" t="s">
        <v>41</v>
      </c>
      <c r="I41" s="60"/>
      <c r="J41" s="113"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42</v>
      </c>
      <c r="E50" s="44"/>
      <c r="F50" s="44"/>
      <c r="G50" s="43" t="s">
        <v>43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44</v>
      </c>
      <c r="E61" s="32"/>
      <c r="F61" s="115" t="s">
        <v>45</v>
      </c>
      <c r="G61" s="45" t="s">
        <v>44</v>
      </c>
      <c r="H61" s="32"/>
      <c r="I61" s="32"/>
      <c r="J61" s="116" t="s">
        <v>45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46</v>
      </c>
      <c r="E65" s="46"/>
      <c r="F65" s="46"/>
      <c r="G65" s="43" t="s">
        <v>47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44</v>
      </c>
      <c r="E76" s="32"/>
      <c r="F76" s="115" t="s">
        <v>45</v>
      </c>
      <c r="G76" s="45" t="s">
        <v>44</v>
      </c>
      <c r="H76" s="32"/>
      <c r="I76" s="32"/>
      <c r="J76" s="116" t="s">
        <v>45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hidden="1" customHeight="1">
      <c r="A82" s="29"/>
      <c r="B82" s="30"/>
      <c r="C82" s="18" t="s">
        <v>134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hidden="1" customHeight="1">
      <c r="A85" s="29"/>
      <c r="B85" s="30"/>
      <c r="C85" s="29"/>
      <c r="D85" s="29"/>
      <c r="E85" s="387" t="str">
        <f>E7</f>
        <v>Topoľčianky, Centrálny logistický sklad - rekonštrukcia tepelného hospodárstva</v>
      </c>
      <c r="F85" s="388"/>
      <c r="G85" s="388"/>
      <c r="H85" s="388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hidden="1" customHeight="1">
      <c r="B86" s="17"/>
      <c r="C86" s="24" t="s">
        <v>130</v>
      </c>
      <c r="L86" s="17"/>
    </row>
    <row r="87" spans="1:31" s="2" customFormat="1" ht="16.5" hidden="1" customHeight="1">
      <c r="A87" s="29"/>
      <c r="B87" s="30"/>
      <c r="C87" s="29"/>
      <c r="D87" s="29"/>
      <c r="E87" s="387" t="s">
        <v>131</v>
      </c>
      <c r="F87" s="386"/>
      <c r="G87" s="386"/>
      <c r="H87" s="386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hidden="1" customHeight="1">
      <c r="A88" s="29"/>
      <c r="B88" s="30"/>
      <c r="C88" s="24" t="s">
        <v>132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hidden="1" customHeight="1">
      <c r="A89" s="29"/>
      <c r="B89" s="30"/>
      <c r="C89" s="29"/>
      <c r="D89" s="29"/>
      <c r="E89" s="382" t="str">
        <f>E11</f>
        <v>E1.3 - Zdravotechnika</v>
      </c>
      <c r="F89" s="386"/>
      <c r="G89" s="386"/>
      <c r="H89" s="386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hidden="1" customHeight="1">
      <c r="A91" s="29"/>
      <c r="B91" s="30"/>
      <c r="C91" s="24" t="s">
        <v>17</v>
      </c>
      <c r="D91" s="29"/>
      <c r="E91" s="29"/>
      <c r="F91" s="22" t="str">
        <f>F14</f>
        <v xml:space="preserve"> </v>
      </c>
      <c r="G91" s="29"/>
      <c r="H91" s="29"/>
      <c r="I91" s="24" t="s">
        <v>19</v>
      </c>
      <c r="J91" s="55">
        <f>IF(J14="","",J14)</f>
        <v>45945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hidden="1" customHeight="1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hidden="1" customHeight="1">
      <c r="A93" s="29"/>
      <c r="B93" s="30"/>
      <c r="C93" s="24" t="s">
        <v>20</v>
      </c>
      <c r="D93" s="29"/>
      <c r="E93" s="29"/>
      <c r="F93" s="22" t="str">
        <f>E17</f>
        <v xml:space="preserve"> </v>
      </c>
      <c r="G93" s="29"/>
      <c r="H93" s="29"/>
      <c r="I93" s="24" t="s">
        <v>25</v>
      </c>
      <c r="J93" s="27" t="str">
        <f>E23</f>
        <v xml:space="preserve">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hidden="1" customHeight="1">
      <c r="A94" s="29"/>
      <c r="B94" s="30"/>
      <c r="C94" s="24" t="s">
        <v>23</v>
      </c>
      <c r="D94" s="29"/>
      <c r="E94" s="29"/>
      <c r="F94" s="22" t="str">
        <f>IF(E20="","",E20)</f>
        <v>Vyplň údaj</v>
      </c>
      <c r="G94" s="29"/>
      <c r="H94" s="29"/>
      <c r="I94" s="24" t="s">
        <v>26</v>
      </c>
      <c r="J94" s="27" t="str">
        <f>E26</f>
        <v xml:space="preserve">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hidden="1" customHeight="1">
      <c r="A96" s="29"/>
      <c r="B96" s="30"/>
      <c r="C96" s="117" t="s">
        <v>135</v>
      </c>
      <c r="D96" s="109"/>
      <c r="E96" s="109"/>
      <c r="F96" s="109"/>
      <c r="G96" s="109"/>
      <c r="H96" s="109"/>
      <c r="I96" s="109"/>
      <c r="J96" s="118" t="s">
        <v>136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hidden="1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hidden="1" customHeight="1">
      <c r="A98" s="29"/>
      <c r="B98" s="30"/>
      <c r="C98" s="119" t="s">
        <v>137</v>
      </c>
      <c r="D98" s="29"/>
      <c r="E98" s="29"/>
      <c r="F98" s="29"/>
      <c r="G98" s="29"/>
      <c r="H98" s="29"/>
      <c r="I98" s="29"/>
      <c r="J98" s="71">
        <f>J130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138</v>
      </c>
    </row>
    <row r="99" spans="1:47" s="9" customFormat="1" ht="24.95" hidden="1" customHeight="1">
      <c r="B99" s="120"/>
      <c r="D99" s="121" t="s">
        <v>975</v>
      </c>
      <c r="E99" s="122"/>
      <c r="F99" s="122"/>
      <c r="G99" s="122"/>
      <c r="H99" s="122"/>
      <c r="I99" s="122"/>
      <c r="J99" s="123">
        <f>J131</f>
        <v>0</v>
      </c>
      <c r="L99" s="120"/>
    </row>
    <row r="100" spans="1:47" s="10" customFormat="1" ht="19.899999999999999" hidden="1" customHeight="1">
      <c r="B100" s="124"/>
      <c r="D100" s="125" t="s">
        <v>976</v>
      </c>
      <c r="E100" s="126"/>
      <c r="F100" s="126"/>
      <c r="G100" s="126"/>
      <c r="H100" s="126"/>
      <c r="I100" s="126"/>
      <c r="J100" s="127">
        <f>J132</f>
        <v>0</v>
      </c>
      <c r="L100" s="124"/>
    </row>
    <row r="101" spans="1:47" s="10" customFormat="1" ht="19.899999999999999" hidden="1" customHeight="1">
      <c r="B101" s="124"/>
      <c r="D101" s="125" t="s">
        <v>977</v>
      </c>
      <c r="E101" s="126"/>
      <c r="F101" s="126"/>
      <c r="G101" s="126"/>
      <c r="H101" s="126"/>
      <c r="I101" s="126"/>
      <c r="J101" s="127">
        <f>J143</f>
        <v>0</v>
      </c>
      <c r="L101" s="124"/>
    </row>
    <row r="102" spans="1:47" s="10" customFormat="1" ht="19.899999999999999" hidden="1" customHeight="1">
      <c r="B102" s="124"/>
      <c r="D102" s="125" t="s">
        <v>978</v>
      </c>
      <c r="E102" s="126"/>
      <c r="F102" s="126"/>
      <c r="G102" s="126"/>
      <c r="H102" s="126"/>
      <c r="I102" s="126"/>
      <c r="J102" s="127">
        <f>J145</f>
        <v>0</v>
      </c>
      <c r="L102" s="124"/>
    </row>
    <row r="103" spans="1:47" s="9" customFormat="1" ht="24.95" hidden="1" customHeight="1">
      <c r="B103" s="120"/>
      <c r="D103" s="121" t="s">
        <v>979</v>
      </c>
      <c r="E103" s="122"/>
      <c r="F103" s="122"/>
      <c r="G103" s="122"/>
      <c r="H103" s="122"/>
      <c r="I103" s="122"/>
      <c r="J103" s="123">
        <f>J157</f>
        <v>0</v>
      </c>
      <c r="L103" s="120"/>
    </row>
    <row r="104" spans="1:47" s="10" customFormat="1" ht="19.899999999999999" hidden="1" customHeight="1">
      <c r="B104" s="124"/>
      <c r="D104" s="125" t="s">
        <v>980</v>
      </c>
      <c r="E104" s="126"/>
      <c r="F104" s="126"/>
      <c r="G104" s="126"/>
      <c r="H104" s="126"/>
      <c r="I104" s="126"/>
      <c r="J104" s="127">
        <f>J158</f>
        <v>0</v>
      </c>
      <c r="L104" s="124"/>
    </row>
    <row r="105" spans="1:47" s="10" customFormat="1" ht="19.899999999999999" hidden="1" customHeight="1">
      <c r="B105" s="124"/>
      <c r="D105" s="125" t="s">
        <v>981</v>
      </c>
      <c r="E105" s="126"/>
      <c r="F105" s="126"/>
      <c r="G105" s="126"/>
      <c r="H105" s="126"/>
      <c r="I105" s="126"/>
      <c r="J105" s="127">
        <f>J173</f>
        <v>0</v>
      </c>
      <c r="L105" s="124"/>
    </row>
    <row r="106" spans="1:47" s="10" customFormat="1" ht="19.899999999999999" hidden="1" customHeight="1">
      <c r="B106" s="124"/>
      <c r="D106" s="125" t="s">
        <v>982</v>
      </c>
      <c r="E106" s="126"/>
      <c r="F106" s="126"/>
      <c r="G106" s="126"/>
      <c r="H106" s="126"/>
      <c r="I106" s="126"/>
      <c r="J106" s="127">
        <f>J204</f>
        <v>0</v>
      </c>
      <c r="L106" s="124"/>
    </row>
    <row r="107" spans="1:47" s="10" customFormat="1" ht="19.899999999999999" hidden="1" customHeight="1">
      <c r="B107" s="124"/>
      <c r="D107" s="125" t="s">
        <v>983</v>
      </c>
      <c r="E107" s="126"/>
      <c r="F107" s="126"/>
      <c r="G107" s="126"/>
      <c r="H107" s="126"/>
      <c r="I107" s="126"/>
      <c r="J107" s="127">
        <f>J255</f>
        <v>0</v>
      </c>
      <c r="L107" s="124"/>
    </row>
    <row r="108" spans="1:47" s="10" customFormat="1" ht="19.899999999999999" hidden="1" customHeight="1">
      <c r="B108" s="124"/>
      <c r="D108" s="125" t="s">
        <v>984</v>
      </c>
      <c r="E108" s="126"/>
      <c r="F108" s="126"/>
      <c r="G108" s="126"/>
      <c r="H108" s="126"/>
      <c r="I108" s="126"/>
      <c r="J108" s="127">
        <f>J289</f>
        <v>0</v>
      </c>
      <c r="L108" s="124"/>
    </row>
    <row r="109" spans="1:47" s="2" customFormat="1" ht="21.75" hidden="1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47" s="2" customFormat="1" ht="6.95" hidden="1" customHeight="1">
      <c r="A110" s="29"/>
      <c r="B110" s="47"/>
      <c r="C110" s="48"/>
      <c r="D110" s="48"/>
      <c r="E110" s="48"/>
      <c r="F110" s="48"/>
      <c r="G110" s="48"/>
      <c r="H110" s="48"/>
      <c r="I110" s="48"/>
      <c r="J110" s="48"/>
      <c r="K110" s="48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hidden="1"/>
    <row r="112" spans="1:47" hidden="1"/>
    <row r="113" spans="1:31" hidden="1"/>
    <row r="114" spans="1:31" s="2" customFormat="1" ht="6.95" customHeight="1">
      <c r="A114" s="29"/>
      <c r="B114" s="49"/>
      <c r="C114" s="50"/>
      <c r="D114" s="50"/>
      <c r="E114" s="50"/>
      <c r="F114" s="50"/>
      <c r="G114" s="50"/>
      <c r="H114" s="50"/>
      <c r="I114" s="50"/>
      <c r="J114" s="50"/>
      <c r="K114" s="50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31" s="2" customFormat="1" ht="24.95" customHeight="1">
      <c r="A115" s="29"/>
      <c r="B115" s="30"/>
      <c r="C115" s="18" t="s">
        <v>165</v>
      </c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31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31" s="2" customFormat="1" ht="12" customHeight="1">
      <c r="A117" s="29"/>
      <c r="B117" s="30"/>
      <c r="C117" s="24" t="s">
        <v>14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16.5" customHeight="1">
      <c r="A118" s="29"/>
      <c r="B118" s="30"/>
      <c r="C118" s="29"/>
      <c r="D118" s="29"/>
      <c r="E118" s="387" t="str">
        <f>E7</f>
        <v>Topoľčianky, Centrálny logistický sklad - rekonštrukcia tepelného hospodárstva</v>
      </c>
      <c r="F118" s="388"/>
      <c r="G118" s="388"/>
      <c r="H118" s="388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1" customFormat="1" ht="12" customHeight="1">
      <c r="B119" s="17"/>
      <c r="C119" s="24" t="s">
        <v>130</v>
      </c>
      <c r="L119" s="17"/>
    </row>
    <row r="120" spans="1:31" s="2" customFormat="1" ht="16.5" customHeight="1">
      <c r="A120" s="29"/>
      <c r="B120" s="30"/>
      <c r="C120" s="29"/>
      <c r="D120" s="29"/>
      <c r="E120" s="387" t="s">
        <v>131</v>
      </c>
      <c r="F120" s="386"/>
      <c r="G120" s="386"/>
      <c r="H120" s="386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2" customHeight="1">
      <c r="A121" s="29"/>
      <c r="B121" s="30"/>
      <c r="C121" s="24" t="s">
        <v>132</v>
      </c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6.5" customHeight="1">
      <c r="A122" s="29"/>
      <c r="B122" s="30"/>
      <c r="C122" s="29"/>
      <c r="D122" s="29"/>
      <c r="E122" s="382" t="str">
        <f>E11</f>
        <v>E1.3 - Zdravotechnika</v>
      </c>
      <c r="F122" s="386"/>
      <c r="G122" s="386"/>
      <c r="H122" s="386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2" customHeight="1">
      <c r="A124" s="29"/>
      <c r="B124" s="30"/>
      <c r="C124" s="24" t="s">
        <v>17</v>
      </c>
      <c r="D124" s="29"/>
      <c r="E124" s="29"/>
      <c r="F124" s="22" t="str">
        <f>F14</f>
        <v xml:space="preserve"> </v>
      </c>
      <c r="G124" s="29"/>
      <c r="H124" s="29"/>
      <c r="I124" s="24" t="s">
        <v>19</v>
      </c>
      <c r="J124" s="55">
        <f>IF(J14="","",J14)</f>
        <v>45945</v>
      </c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6.95" customHeight="1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5.2" customHeight="1">
      <c r="A126" s="29"/>
      <c r="B126" s="30"/>
      <c r="C126" s="24" t="s">
        <v>20</v>
      </c>
      <c r="D126" s="29"/>
      <c r="E126" s="29"/>
      <c r="F126" s="22" t="str">
        <f>E17</f>
        <v xml:space="preserve"> </v>
      </c>
      <c r="G126" s="29"/>
      <c r="H126" s="29"/>
      <c r="I126" s="24" t="s">
        <v>25</v>
      </c>
      <c r="J126" s="27" t="str">
        <f>E23</f>
        <v xml:space="preserve"> </v>
      </c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5.2" customHeight="1">
      <c r="A127" s="29"/>
      <c r="B127" s="30"/>
      <c r="C127" s="24" t="s">
        <v>23</v>
      </c>
      <c r="D127" s="29"/>
      <c r="E127" s="29"/>
      <c r="F127" s="22" t="str">
        <f>IF(E20="","",E20)</f>
        <v>Vyplň údaj</v>
      </c>
      <c r="G127" s="29"/>
      <c r="H127" s="29"/>
      <c r="I127" s="24" t="s">
        <v>26</v>
      </c>
      <c r="J127" s="27" t="str">
        <f>E26</f>
        <v xml:space="preserve"> 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0.3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11" customFormat="1" ht="29.25" customHeight="1">
      <c r="A129" s="128"/>
      <c r="B129" s="129"/>
      <c r="C129" s="130" t="s">
        <v>166</v>
      </c>
      <c r="D129" s="131" t="s">
        <v>54</v>
      </c>
      <c r="E129" s="131" t="s">
        <v>50</v>
      </c>
      <c r="F129" s="131" t="s">
        <v>51</v>
      </c>
      <c r="G129" s="131" t="s">
        <v>167</v>
      </c>
      <c r="H129" s="131" t="s">
        <v>168</v>
      </c>
      <c r="I129" s="131" t="s">
        <v>169</v>
      </c>
      <c r="J129" s="132" t="s">
        <v>136</v>
      </c>
      <c r="K129" s="133" t="s">
        <v>170</v>
      </c>
      <c r="L129" s="134"/>
      <c r="M129" s="62" t="s">
        <v>1</v>
      </c>
      <c r="N129" s="63" t="s">
        <v>33</v>
      </c>
      <c r="O129" s="63" t="s">
        <v>171</v>
      </c>
      <c r="P129" s="63" t="s">
        <v>172</v>
      </c>
      <c r="Q129" s="63" t="s">
        <v>173</v>
      </c>
      <c r="R129" s="63" t="s">
        <v>174</v>
      </c>
      <c r="S129" s="63" t="s">
        <v>175</v>
      </c>
      <c r="T129" s="64" t="s">
        <v>176</v>
      </c>
      <c r="U129" s="128"/>
      <c r="V129" s="128"/>
      <c r="W129" s="128"/>
      <c r="X129" s="128"/>
      <c r="Y129" s="128"/>
      <c r="Z129" s="128"/>
      <c r="AA129" s="128"/>
      <c r="AB129" s="128"/>
      <c r="AC129" s="128"/>
      <c r="AD129" s="128"/>
      <c r="AE129" s="128"/>
    </row>
    <row r="130" spans="1:65" s="2" customFormat="1" ht="22.9" customHeight="1">
      <c r="A130" s="29"/>
      <c r="B130" s="30"/>
      <c r="C130" s="69" t="s">
        <v>137</v>
      </c>
      <c r="D130" s="29"/>
      <c r="E130" s="29"/>
      <c r="F130" s="29"/>
      <c r="G130" s="29"/>
      <c r="H130" s="29"/>
      <c r="I130" s="29"/>
      <c r="J130" s="135">
        <v>0</v>
      </c>
      <c r="K130" s="29"/>
      <c r="L130" s="30"/>
      <c r="M130" s="65"/>
      <c r="N130" s="56"/>
      <c r="O130" s="66"/>
      <c r="P130" s="136">
        <f>P131+P157</f>
        <v>0</v>
      </c>
      <c r="Q130" s="66"/>
      <c r="R130" s="136">
        <f>R131+R157</f>
        <v>1.6615818</v>
      </c>
      <c r="S130" s="66"/>
      <c r="T130" s="137">
        <f>T131+T157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T130" s="14" t="s">
        <v>68</v>
      </c>
      <c r="AU130" s="14" t="s">
        <v>138</v>
      </c>
      <c r="BK130" s="138">
        <f>BK131+BK157</f>
        <v>0</v>
      </c>
    </row>
    <row r="131" spans="1:65" s="12" customFormat="1" ht="25.9" customHeight="1">
      <c r="B131" s="139"/>
      <c r="D131" s="140" t="s">
        <v>68</v>
      </c>
      <c r="E131" s="141" t="s">
        <v>177</v>
      </c>
      <c r="F131" s="141" t="s">
        <v>985</v>
      </c>
      <c r="I131" s="142"/>
      <c r="J131" s="143">
        <v>0</v>
      </c>
      <c r="L131" s="139"/>
      <c r="M131" s="144"/>
      <c r="N131" s="145"/>
      <c r="O131" s="145"/>
      <c r="P131" s="146">
        <f>P132+P143+P145</f>
        <v>0</v>
      </c>
      <c r="Q131" s="145"/>
      <c r="R131" s="146">
        <f>R132+R143+R145</f>
        <v>0</v>
      </c>
      <c r="S131" s="145"/>
      <c r="T131" s="147">
        <f>T132+T143+T145</f>
        <v>0</v>
      </c>
      <c r="AR131" s="140" t="s">
        <v>76</v>
      </c>
      <c r="AT131" s="148" t="s">
        <v>68</v>
      </c>
      <c r="AU131" s="148" t="s">
        <v>69</v>
      </c>
      <c r="AY131" s="140" t="s">
        <v>179</v>
      </c>
      <c r="BK131" s="149">
        <f>BK132+BK143+BK145</f>
        <v>0</v>
      </c>
    </row>
    <row r="132" spans="1:65" s="12" customFormat="1" ht="22.9" customHeight="1">
      <c r="B132" s="139"/>
      <c r="D132" s="140" t="s">
        <v>68</v>
      </c>
      <c r="E132" s="150" t="s">
        <v>76</v>
      </c>
      <c r="F132" s="150" t="s">
        <v>986</v>
      </c>
      <c r="I132" s="142"/>
      <c r="J132" s="151">
        <v>0</v>
      </c>
      <c r="L132" s="139"/>
      <c r="M132" s="144"/>
      <c r="N132" s="145"/>
      <c r="O132" s="145"/>
      <c r="P132" s="146">
        <f>SUM(P133:P142)</f>
        <v>0</v>
      </c>
      <c r="Q132" s="145"/>
      <c r="R132" s="146">
        <f>SUM(R133:R142)</f>
        <v>0</v>
      </c>
      <c r="S132" s="145"/>
      <c r="T132" s="147">
        <f>SUM(T133:T142)</f>
        <v>0</v>
      </c>
      <c r="AR132" s="140" t="s">
        <v>76</v>
      </c>
      <c r="AT132" s="148" t="s">
        <v>68</v>
      </c>
      <c r="AU132" s="148" t="s">
        <v>76</v>
      </c>
      <c r="AY132" s="140" t="s">
        <v>179</v>
      </c>
      <c r="BK132" s="149">
        <f>SUM(BK133:BK142)</f>
        <v>0</v>
      </c>
    </row>
    <row r="133" spans="1:65" s="2" customFormat="1" ht="33" customHeight="1">
      <c r="A133" s="29"/>
      <c r="B133" s="152"/>
      <c r="C133" s="153" t="s">
        <v>76</v>
      </c>
      <c r="D133" s="153" t="s">
        <v>181</v>
      </c>
      <c r="E133" s="154" t="s">
        <v>987</v>
      </c>
      <c r="F133" s="155" t="s">
        <v>988</v>
      </c>
      <c r="G133" s="156" t="s">
        <v>196</v>
      </c>
      <c r="H133" s="157">
        <v>2.6960000000000002</v>
      </c>
      <c r="I133" s="158"/>
      <c r="J133" s="151">
        <v>0</v>
      </c>
      <c r="K133" s="160"/>
      <c r="L133" s="30"/>
      <c r="M133" s="161" t="s">
        <v>1</v>
      </c>
      <c r="N133" s="162" t="s">
        <v>35</v>
      </c>
      <c r="O133" s="58"/>
      <c r="P133" s="163">
        <f t="shared" ref="P133:P142" si="0">O133*H133</f>
        <v>0</v>
      </c>
      <c r="Q133" s="163">
        <v>0</v>
      </c>
      <c r="R133" s="163">
        <f t="shared" ref="R133:R142" si="1">Q133*H133</f>
        <v>0</v>
      </c>
      <c r="S133" s="163">
        <v>0</v>
      </c>
      <c r="T133" s="164">
        <f t="shared" ref="T133:T142" si="2"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5" t="s">
        <v>185</v>
      </c>
      <c r="AT133" s="165" t="s">
        <v>181</v>
      </c>
      <c r="AU133" s="165" t="s">
        <v>82</v>
      </c>
      <c r="AY133" s="14" t="s">
        <v>179</v>
      </c>
      <c r="BE133" s="166">
        <f t="shared" ref="BE133:BE142" si="3">IF(N133="základná",J133,0)</f>
        <v>0</v>
      </c>
      <c r="BF133" s="166">
        <f t="shared" ref="BF133:BF142" si="4">IF(N133="znížená",J133,0)</f>
        <v>0</v>
      </c>
      <c r="BG133" s="166">
        <f t="shared" ref="BG133:BG142" si="5">IF(N133="zákl. prenesená",J133,0)</f>
        <v>0</v>
      </c>
      <c r="BH133" s="166">
        <f t="shared" ref="BH133:BH142" si="6">IF(N133="zníž. prenesená",J133,0)</f>
        <v>0</v>
      </c>
      <c r="BI133" s="166">
        <f t="shared" ref="BI133:BI142" si="7">IF(N133="nulová",J133,0)</f>
        <v>0</v>
      </c>
      <c r="BJ133" s="14" t="s">
        <v>82</v>
      </c>
      <c r="BK133" s="166">
        <f t="shared" ref="BK133:BK142" si="8">ROUND(I133*H133,2)</f>
        <v>0</v>
      </c>
      <c r="BL133" s="14" t="s">
        <v>185</v>
      </c>
      <c r="BM133" s="165" t="s">
        <v>82</v>
      </c>
    </row>
    <row r="134" spans="1:65" s="2" customFormat="1" ht="16.5" customHeight="1">
      <c r="A134" s="29"/>
      <c r="B134" s="152"/>
      <c r="C134" s="153" t="s">
        <v>82</v>
      </c>
      <c r="D134" s="153" t="s">
        <v>181</v>
      </c>
      <c r="E134" s="154" t="s">
        <v>989</v>
      </c>
      <c r="F134" s="155" t="s">
        <v>990</v>
      </c>
      <c r="G134" s="156" t="s">
        <v>196</v>
      </c>
      <c r="H134" s="157">
        <v>2.6960000000000002</v>
      </c>
      <c r="I134" s="158"/>
      <c r="J134" s="151">
        <v>0</v>
      </c>
      <c r="K134" s="160"/>
      <c r="L134" s="30"/>
      <c r="M134" s="161" t="s">
        <v>1</v>
      </c>
      <c r="N134" s="162" t="s">
        <v>35</v>
      </c>
      <c r="O134" s="58"/>
      <c r="P134" s="163">
        <f t="shared" si="0"/>
        <v>0</v>
      </c>
      <c r="Q134" s="163">
        <v>0</v>
      </c>
      <c r="R134" s="163">
        <f t="shared" si="1"/>
        <v>0</v>
      </c>
      <c r="S134" s="163">
        <v>0</v>
      </c>
      <c r="T134" s="164">
        <f t="shared" si="2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5" t="s">
        <v>185</v>
      </c>
      <c r="AT134" s="165" t="s">
        <v>181</v>
      </c>
      <c r="AU134" s="165" t="s">
        <v>82</v>
      </c>
      <c r="AY134" s="14" t="s">
        <v>179</v>
      </c>
      <c r="BE134" s="166">
        <f t="shared" si="3"/>
        <v>0</v>
      </c>
      <c r="BF134" s="166">
        <f t="shared" si="4"/>
        <v>0</v>
      </c>
      <c r="BG134" s="166">
        <f t="shared" si="5"/>
        <v>0</v>
      </c>
      <c r="BH134" s="166">
        <f t="shared" si="6"/>
        <v>0</v>
      </c>
      <c r="BI134" s="166">
        <f t="shared" si="7"/>
        <v>0</v>
      </c>
      <c r="BJ134" s="14" t="s">
        <v>82</v>
      </c>
      <c r="BK134" s="166">
        <f t="shared" si="8"/>
        <v>0</v>
      </c>
      <c r="BL134" s="14" t="s">
        <v>185</v>
      </c>
      <c r="BM134" s="165" t="s">
        <v>185</v>
      </c>
    </row>
    <row r="135" spans="1:65" s="2" customFormat="1" ht="33" customHeight="1">
      <c r="A135" s="29"/>
      <c r="B135" s="152"/>
      <c r="C135" s="153" t="s">
        <v>188</v>
      </c>
      <c r="D135" s="153" t="s">
        <v>181</v>
      </c>
      <c r="E135" s="154" t="s">
        <v>991</v>
      </c>
      <c r="F135" s="155" t="s">
        <v>992</v>
      </c>
      <c r="G135" s="156" t="s">
        <v>196</v>
      </c>
      <c r="H135" s="157">
        <v>2.6960000000000002</v>
      </c>
      <c r="I135" s="158"/>
      <c r="J135" s="151">
        <v>0</v>
      </c>
      <c r="K135" s="160"/>
      <c r="L135" s="30"/>
      <c r="M135" s="161" t="s">
        <v>1</v>
      </c>
      <c r="N135" s="162" t="s">
        <v>35</v>
      </c>
      <c r="O135" s="58"/>
      <c r="P135" s="163">
        <f t="shared" si="0"/>
        <v>0</v>
      </c>
      <c r="Q135" s="163">
        <v>0</v>
      </c>
      <c r="R135" s="163">
        <f t="shared" si="1"/>
        <v>0</v>
      </c>
      <c r="S135" s="163">
        <v>0</v>
      </c>
      <c r="T135" s="164">
        <f t="shared" si="2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5" t="s">
        <v>185</v>
      </c>
      <c r="AT135" s="165" t="s">
        <v>181</v>
      </c>
      <c r="AU135" s="165" t="s">
        <v>82</v>
      </c>
      <c r="AY135" s="14" t="s">
        <v>179</v>
      </c>
      <c r="BE135" s="166">
        <f t="shared" si="3"/>
        <v>0</v>
      </c>
      <c r="BF135" s="166">
        <f t="shared" si="4"/>
        <v>0</v>
      </c>
      <c r="BG135" s="166">
        <f t="shared" si="5"/>
        <v>0</v>
      </c>
      <c r="BH135" s="166">
        <f t="shared" si="6"/>
        <v>0</v>
      </c>
      <c r="BI135" s="166">
        <f t="shared" si="7"/>
        <v>0</v>
      </c>
      <c r="BJ135" s="14" t="s">
        <v>82</v>
      </c>
      <c r="BK135" s="166">
        <f t="shared" si="8"/>
        <v>0</v>
      </c>
      <c r="BL135" s="14" t="s">
        <v>185</v>
      </c>
      <c r="BM135" s="165" t="s">
        <v>192</v>
      </c>
    </row>
    <row r="136" spans="1:65" s="2" customFormat="1" ht="16.5" customHeight="1">
      <c r="A136" s="29"/>
      <c r="B136" s="152"/>
      <c r="C136" s="153" t="s">
        <v>185</v>
      </c>
      <c r="D136" s="153" t="s">
        <v>181</v>
      </c>
      <c r="E136" s="154" t="s">
        <v>993</v>
      </c>
      <c r="F136" s="155" t="s">
        <v>994</v>
      </c>
      <c r="G136" s="156" t="s">
        <v>196</v>
      </c>
      <c r="H136" s="157">
        <v>2.6960000000000002</v>
      </c>
      <c r="I136" s="158"/>
      <c r="J136" s="151">
        <v>0</v>
      </c>
      <c r="K136" s="160"/>
      <c r="L136" s="30"/>
      <c r="M136" s="161" t="s">
        <v>1</v>
      </c>
      <c r="N136" s="162" t="s">
        <v>35</v>
      </c>
      <c r="O136" s="58"/>
      <c r="P136" s="163">
        <f t="shared" si="0"/>
        <v>0</v>
      </c>
      <c r="Q136" s="163">
        <v>0</v>
      </c>
      <c r="R136" s="163">
        <f t="shared" si="1"/>
        <v>0</v>
      </c>
      <c r="S136" s="163">
        <v>0</v>
      </c>
      <c r="T136" s="164">
        <f t="shared" si="2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5" t="s">
        <v>185</v>
      </c>
      <c r="AT136" s="165" t="s">
        <v>181</v>
      </c>
      <c r="AU136" s="165" t="s">
        <v>82</v>
      </c>
      <c r="AY136" s="14" t="s">
        <v>179</v>
      </c>
      <c r="BE136" s="166">
        <f t="shared" si="3"/>
        <v>0</v>
      </c>
      <c r="BF136" s="166">
        <f t="shared" si="4"/>
        <v>0</v>
      </c>
      <c r="BG136" s="166">
        <f t="shared" si="5"/>
        <v>0</v>
      </c>
      <c r="BH136" s="166">
        <f t="shared" si="6"/>
        <v>0</v>
      </c>
      <c r="BI136" s="166">
        <f t="shared" si="7"/>
        <v>0</v>
      </c>
      <c r="BJ136" s="14" t="s">
        <v>82</v>
      </c>
      <c r="BK136" s="166">
        <f t="shared" si="8"/>
        <v>0</v>
      </c>
      <c r="BL136" s="14" t="s">
        <v>185</v>
      </c>
      <c r="BM136" s="165" t="s">
        <v>197</v>
      </c>
    </row>
    <row r="137" spans="1:65" s="2" customFormat="1" ht="33" customHeight="1">
      <c r="A137" s="29"/>
      <c r="B137" s="152"/>
      <c r="C137" s="153" t="s">
        <v>198</v>
      </c>
      <c r="D137" s="153" t="s">
        <v>181</v>
      </c>
      <c r="E137" s="154" t="s">
        <v>995</v>
      </c>
      <c r="F137" s="155" t="s">
        <v>996</v>
      </c>
      <c r="G137" s="156" t="s">
        <v>196</v>
      </c>
      <c r="H137" s="157">
        <v>2.5640000000000001</v>
      </c>
      <c r="I137" s="158"/>
      <c r="J137" s="151">
        <v>0</v>
      </c>
      <c r="K137" s="160"/>
      <c r="L137" s="30"/>
      <c r="M137" s="161" t="s">
        <v>1</v>
      </c>
      <c r="N137" s="162" t="s">
        <v>35</v>
      </c>
      <c r="O137" s="58"/>
      <c r="P137" s="163">
        <f t="shared" si="0"/>
        <v>0</v>
      </c>
      <c r="Q137" s="163">
        <v>0</v>
      </c>
      <c r="R137" s="163">
        <f t="shared" si="1"/>
        <v>0</v>
      </c>
      <c r="S137" s="163">
        <v>0</v>
      </c>
      <c r="T137" s="164">
        <f t="shared" si="2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185</v>
      </c>
      <c r="AT137" s="165" t="s">
        <v>181</v>
      </c>
      <c r="AU137" s="165" t="s">
        <v>82</v>
      </c>
      <c r="AY137" s="14" t="s">
        <v>179</v>
      </c>
      <c r="BE137" s="166">
        <f t="shared" si="3"/>
        <v>0</v>
      </c>
      <c r="BF137" s="166">
        <f t="shared" si="4"/>
        <v>0</v>
      </c>
      <c r="BG137" s="166">
        <f t="shared" si="5"/>
        <v>0</v>
      </c>
      <c r="BH137" s="166">
        <f t="shared" si="6"/>
        <v>0</v>
      </c>
      <c r="BI137" s="166">
        <f t="shared" si="7"/>
        <v>0</v>
      </c>
      <c r="BJ137" s="14" t="s">
        <v>82</v>
      </c>
      <c r="BK137" s="166">
        <f t="shared" si="8"/>
        <v>0</v>
      </c>
      <c r="BL137" s="14" t="s">
        <v>185</v>
      </c>
      <c r="BM137" s="165" t="s">
        <v>201</v>
      </c>
    </row>
    <row r="138" spans="1:65" s="2" customFormat="1" ht="37.9" customHeight="1">
      <c r="A138" s="29"/>
      <c r="B138" s="152"/>
      <c r="C138" s="153" t="s">
        <v>192</v>
      </c>
      <c r="D138" s="153" t="s">
        <v>181</v>
      </c>
      <c r="E138" s="154" t="s">
        <v>997</v>
      </c>
      <c r="F138" s="155" t="s">
        <v>998</v>
      </c>
      <c r="G138" s="156" t="s">
        <v>196</v>
      </c>
      <c r="H138" s="157">
        <v>2.5640000000000001</v>
      </c>
      <c r="I138" s="158"/>
      <c r="J138" s="151">
        <v>0</v>
      </c>
      <c r="K138" s="160"/>
      <c r="L138" s="30"/>
      <c r="M138" s="161" t="s">
        <v>1</v>
      </c>
      <c r="N138" s="162" t="s">
        <v>35</v>
      </c>
      <c r="O138" s="58"/>
      <c r="P138" s="163">
        <f t="shared" si="0"/>
        <v>0</v>
      </c>
      <c r="Q138" s="163">
        <v>0</v>
      </c>
      <c r="R138" s="163">
        <f t="shared" si="1"/>
        <v>0</v>
      </c>
      <c r="S138" s="163">
        <v>0</v>
      </c>
      <c r="T138" s="164">
        <f t="shared" si="2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185</v>
      </c>
      <c r="AT138" s="165" t="s">
        <v>181</v>
      </c>
      <c r="AU138" s="165" t="s">
        <v>82</v>
      </c>
      <c r="AY138" s="14" t="s">
        <v>179</v>
      </c>
      <c r="BE138" s="166">
        <f t="shared" si="3"/>
        <v>0</v>
      </c>
      <c r="BF138" s="166">
        <f t="shared" si="4"/>
        <v>0</v>
      </c>
      <c r="BG138" s="166">
        <f t="shared" si="5"/>
        <v>0</v>
      </c>
      <c r="BH138" s="166">
        <f t="shared" si="6"/>
        <v>0</v>
      </c>
      <c r="BI138" s="166">
        <f t="shared" si="7"/>
        <v>0</v>
      </c>
      <c r="BJ138" s="14" t="s">
        <v>82</v>
      </c>
      <c r="BK138" s="166">
        <f t="shared" si="8"/>
        <v>0</v>
      </c>
      <c r="BL138" s="14" t="s">
        <v>185</v>
      </c>
      <c r="BM138" s="165" t="s">
        <v>205</v>
      </c>
    </row>
    <row r="139" spans="1:65" s="2" customFormat="1" ht="24.2" customHeight="1">
      <c r="A139" s="29"/>
      <c r="B139" s="152"/>
      <c r="C139" s="153" t="s">
        <v>207</v>
      </c>
      <c r="D139" s="153" t="s">
        <v>181</v>
      </c>
      <c r="E139" s="154" t="s">
        <v>999</v>
      </c>
      <c r="F139" s="155" t="s">
        <v>1000</v>
      </c>
      <c r="G139" s="156" t="s">
        <v>196</v>
      </c>
      <c r="H139" s="157">
        <v>2.5640000000000001</v>
      </c>
      <c r="I139" s="158"/>
      <c r="J139" s="151">
        <v>0</v>
      </c>
      <c r="K139" s="160"/>
      <c r="L139" s="30"/>
      <c r="M139" s="161" t="s">
        <v>1</v>
      </c>
      <c r="N139" s="162" t="s">
        <v>35</v>
      </c>
      <c r="O139" s="58"/>
      <c r="P139" s="163">
        <f t="shared" si="0"/>
        <v>0</v>
      </c>
      <c r="Q139" s="163">
        <v>0</v>
      </c>
      <c r="R139" s="163">
        <f t="shared" si="1"/>
        <v>0</v>
      </c>
      <c r="S139" s="163">
        <v>0</v>
      </c>
      <c r="T139" s="164">
        <f t="shared" si="2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185</v>
      </c>
      <c r="AT139" s="165" t="s">
        <v>181</v>
      </c>
      <c r="AU139" s="165" t="s">
        <v>82</v>
      </c>
      <c r="AY139" s="14" t="s">
        <v>179</v>
      </c>
      <c r="BE139" s="166">
        <f t="shared" si="3"/>
        <v>0</v>
      </c>
      <c r="BF139" s="166">
        <f t="shared" si="4"/>
        <v>0</v>
      </c>
      <c r="BG139" s="166">
        <f t="shared" si="5"/>
        <v>0</v>
      </c>
      <c r="BH139" s="166">
        <f t="shared" si="6"/>
        <v>0</v>
      </c>
      <c r="BI139" s="166">
        <f t="shared" si="7"/>
        <v>0</v>
      </c>
      <c r="BJ139" s="14" t="s">
        <v>82</v>
      </c>
      <c r="BK139" s="166">
        <f t="shared" si="8"/>
        <v>0</v>
      </c>
      <c r="BL139" s="14" t="s">
        <v>185</v>
      </c>
      <c r="BM139" s="165" t="s">
        <v>210</v>
      </c>
    </row>
    <row r="140" spans="1:65" s="2" customFormat="1" ht="24.2" customHeight="1">
      <c r="A140" s="29"/>
      <c r="B140" s="152"/>
      <c r="C140" s="153" t="s">
        <v>197</v>
      </c>
      <c r="D140" s="153" t="s">
        <v>181</v>
      </c>
      <c r="E140" s="154" t="s">
        <v>1001</v>
      </c>
      <c r="F140" s="155" t="s">
        <v>1002</v>
      </c>
      <c r="G140" s="156" t="s">
        <v>191</v>
      </c>
      <c r="H140" s="157">
        <v>4.282</v>
      </c>
      <c r="I140" s="158"/>
      <c r="J140" s="151">
        <v>0</v>
      </c>
      <c r="K140" s="160"/>
      <c r="L140" s="30"/>
      <c r="M140" s="161" t="s">
        <v>1</v>
      </c>
      <c r="N140" s="162" t="s">
        <v>35</v>
      </c>
      <c r="O140" s="58"/>
      <c r="P140" s="163">
        <f t="shared" si="0"/>
        <v>0</v>
      </c>
      <c r="Q140" s="163">
        <v>0</v>
      </c>
      <c r="R140" s="163">
        <f t="shared" si="1"/>
        <v>0</v>
      </c>
      <c r="S140" s="163">
        <v>0</v>
      </c>
      <c r="T140" s="164">
        <f t="shared" si="2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185</v>
      </c>
      <c r="AT140" s="165" t="s">
        <v>181</v>
      </c>
      <c r="AU140" s="165" t="s">
        <v>82</v>
      </c>
      <c r="AY140" s="14" t="s">
        <v>179</v>
      </c>
      <c r="BE140" s="166">
        <f t="shared" si="3"/>
        <v>0</v>
      </c>
      <c r="BF140" s="166">
        <f t="shared" si="4"/>
        <v>0</v>
      </c>
      <c r="BG140" s="166">
        <f t="shared" si="5"/>
        <v>0</v>
      </c>
      <c r="BH140" s="166">
        <f t="shared" si="6"/>
        <v>0</v>
      </c>
      <c r="BI140" s="166">
        <f t="shared" si="7"/>
        <v>0</v>
      </c>
      <c r="BJ140" s="14" t="s">
        <v>82</v>
      </c>
      <c r="BK140" s="166">
        <f t="shared" si="8"/>
        <v>0</v>
      </c>
      <c r="BL140" s="14" t="s">
        <v>185</v>
      </c>
      <c r="BM140" s="165" t="s">
        <v>213</v>
      </c>
    </row>
    <row r="141" spans="1:65" s="2" customFormat="1" ht="24.2" customHeight="1">
      <c r="A141" s="29"/>
      <c r="B141" s="152"/>
      <c r="C141" s="153" t="s">
        <v>214</v>
      </c>
      <c r="D141" s="153" t="s">
        <v>181</v>
      </c>
      <c r="E141" s="154" t="s">
        <v>1003</v>
      </c>
      <c r="F141" s="155" t="s">
        <v>1004</v>
      </c>
      <c r="G141" s="156" t="s">
        <v>196</v>
      </c>
      <c r="H141" s="157">
        <v>1.893</v>
      </c>
      <c r="I141" s="158"/>
      <c r="J141" s="151">
        <v>0</v>
      </c>
      <c r="K141" s="160"/>
      <c r="L141" s="30"/>
      <c r="M141" s="161" t="s">
        <v>1</v>
      </c>
      <c r="N141" s="162" t="s">
        <v>35</v>
      </c>
      <c r="O141" s="58"/>
      <c r="P141" s="163">
        <f t="shared" si="0"/>
        <v>0</v>
      </c>
      <c r="Q141" s="163">
        <v>0</v>
      </c>
      <c r="R141" s="163">
        <f t="shared" si="1"/>
        <v>0</v>
      </c>
      <c r="S141" s="163">
        <v>0</v>
      </c>
      <c r="T141" s="164">
        <f t="shared" si="2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5" t="s">
        <v>185</v>
      </c>
      <c r="AT141" s="165" t="s">
        <v>181</v>
      </c>
      <c r="AU141" s="165" t="s">
        <v>82</v>
      </c>
      <c r="AY141" s="14" t="s">
        <v>179</v>
      </c>
      <c r="BE141" s="166">
        <f t="shared" si="3"/>
        <v>0</v>
      </c>
      <c r="BF141" s="166">
        <f t="shared" si="4"/>
        <v>0</v>
      </c>
      <c r="BG141" s="166">
        <f t="shared" si="5"/>
        <v>0</v>
      </c>
      <c r="BH141" s="166">
        <f t="shared" si="6"/>
        <v>0</v>
      </c>
      <c r="BI141" s="166">
        <f t="shared" si="7"/>
        <v>0</v>
      </c>
      <c r="BJ141" s="14" t="s">
        <v>82</v>
      </c>
      <c r="BK141" s="166">
        <f t="shared" si="8"/>
        <v>0</v>
      </c>
      <c r="BL141" s="14" t="s">
        <v>185</v>
      </c>
      <c r="BM141" s="165" t="s">
        <v>218</v>
      </c>
    </row>
    <row r="142" spans="1:65" s="2" customFormat="1" ht="21.75" customHeight="1">
      <c r="A142" s="29"/>
      <c r="B142" s="152"/>
      <c r="C142" s="167" t="s">
        <v>201</v>
      </c>
      <c r="D142" s="167" t="s">
        <v>202</v>
      </c>
      <c r="E142" s="168" t="s">
        <v>1005</v>
      </c>
      <c r="F142" s="169" t="s">
        <v>1006</v>
      </c>
      <c r="G142" s="170" t="s">
        <v>191</v>
      </c>
      <c r="H142" s="171">
        <v>5.016</v>
      </c>
      <c r="I142" s="172"/>
      <c r="J142" s="151">
        <v>0</v>
      </c>
      <c r="K142" s="174"/>
      <c r="L142" s="175"/>
      <c r="M142" s="176" t="s">
        <v>1</v>
      </c>
      <c r="N142" s="177" t="s">
        <v>35</v>
      </c>
      <c r="O142" s="58"/>
      <c r="P142" s="163">
        <f t="shared" si="0"/>
        <v>0</v>
      </c>
      <c r="Q142" s="163">
        <v>0</v>
      </c>
      <c r="R142" s="163">
        <f t="shared" si="1"/>
        <v>0</v>
      </c>
      <c r="S142" s="163">
        <v>0</v>
      </c>
      <c r="T142" s="164">
        <f t="shared" si="2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5" t="s">
        <v>197</v>
      </c>
      <c r="AT142" s="165" t="s">
        <v>202</v>
      </c>
      <c r="AU142" s="165" t="s">
        <v>82</v>
      </c>
      <c r="AY142" s="14" t="s">
        <v>179</v>
      </c>
      <c r="BE142" s="166">
        <f t="shared" si="3"/>
        <v>0</v>
      </c>
      <c r="BF142" s="166">
        <f t="shared" si="4"/>
        <v>0</v>
      </c>
      <c r="BG142" s="166">
        <f t="shared" si="5"/>
        <v>0</v>
      </c>
      <c r="BH142" s="166">
        <f t="shared" si="6"/>
        <v>0</v>
      </c>
      <c r="BI142" s="166">
        <f t="shared" si="7"/>
        <v>0</v>
      </c>
      <c r="BJ142" s="14" t="s">
        <v>82</v>
      </c>
      <c r="BK142" s="166">
        <f t="shared" si="8"/>
        <v>0</v>
      </c>
      <c r="BL142" s="14" t="s">
        <v>185</v>
      </c>
      <c r="BM142" s="165" t="s">
        <v>221</v>
      </c>
    </row>
    <row r="143" spans="1:65" s="12" customFormat="1" ht="22.9" customHeight="1">
      <c r="B143" s="139"/>
      <c r="D143" s="140" t="s">
        <v>68</v>
      </c>
      <c r="E143" s="150" t="s">
        <v>185</v>
      </c>
      <c r="F143" s="150" t="s">
        <v>1007</v>
      </c>
      <c r="I143" s="142"/>
      <c r="J143" s="151">
        <v>0</v>
      </c>
      <c r="L143" s="139"/>
      <c r="M143" s="144"/>
      <c r="N143" s="145"/>
      <c r="O143" s="145"/>
      <c r="P143" s="146">
        <f>P144</f>
        <v>0</v>
      </c>
      <c r="Q143" s="145"/>
      <c r="R143" s="146">
        <f>R144</f>
        <v>0</v>
      </c>
      <c r="S143" s="145"/>
      <c r="T143" s="147">
        <f>T144</f>
        <v>0</v>
      </c>
      <c r="AR143" s="140" t="s">
        <v>76</v>
      </c>
      <c r="AT143" s="148" t="s">
        <v>68</v>
      </c>
      <c r="AU143" s="148" t="s">
        <v>76</v>
      </c>
      <c r="AY143" s="140" t="s">
        <v>179</v>
      </c>
      <c r="BK143" s="149">
        <f>BK144</f>
        <v>0</v>
      </c>
    </row>
    <row r="144" spans="1:65" s="2" customFormat="1" ht="37.9" customHeight="1">
      <c r="A144" s="29"/>
      <c r="B144" s="152"/>
      <c r="C144" s="153" t="s">
        <v>222</v>
      </c>
      <c r="D144" s="153" t="s">
        <v>181</v>
      </c>
      <c r="E144" s="154" t="s">
        <v>1008</v>
      </c>
      <c r="F144" s="155" t="s">
        <v>1009</v>
      </c>
      <c r="G144" s="156" t="s">
        <v>196</v>
      </c>
      <c r="H144" s="157">
        <v>0.67100000000000004</v>
      </c>
      <c r="I144" s="158"/>
      <c r="J144" s="151">
        <v>0</v>
      </c>
      <c r="K144" s="160"/>
      <c r="L144" s="30"/>
      <c r="M144" s="161" t="s">
        <v>1</v>
      </c>
      <c r="N144" s="162" t="s">
        <v>35</v>
      </c>
      <c r="O144" s="58"/>
      <c r="P144" s="163">
        <f>O144*H144</f>
        <v>0</v>
      </c>
      <c r="Q144" s="163">
        <v>0</v>
      </c>
      <c r="R144" s="163">
        <f>Q144*H144</f>
        <v>0</v>
      </c>
      <c r="S144" s="163">
        <v>0</v>
      </c>
      <c r="T144" s="164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5" t="s">
        <v>185</v>
      </c>
      <c r="AT144" s="165" t="s">
        <v>181</v>
      </c>
      <c r="AU144" s="165" t="s">
        <v>82</v>
      </c>
      <c r="AY144" s="14" t="s">
        <v>179</v>
      </c>
      <c r="BE144" s="166">
        <f>IF(N144="základná",J144,0)</f>
        <v>0</v>
      </c>
      <c r="BF144" s="166">
        <f>IF(N144="znížená",J144,0)</f>
        <v>0</v>
      </c>
      <c r="BG144" s="166">
        <f>IF(N144="zákl. prenesená",J144,0)</f>
        <v>0</v>
      </c>
      <c r="BH144" s="166">
        <f>IF(N144="zníž. prenesená",J144,0)</f>
        <v>0</v>
      </c>
      <c r="BI144" s="166">
        <f>IF(N144="nulová",J144,0)</f>
        <v>0</v>
      </c>
      <c r="BJ144" s="14" t="s">
        <v>82</v>
      </c>
      <c r="BK144" s="166">
        <f>ROUND(I144*H144,2)</f>
        <v>0</v>
      </c>
      <c r="BL144" s="14" t="s">
        <v>185</v>
      </c>
      <c r="BM144" s="165" t="s">
        <v>225</v>
      </c>
    </row>
    <row r="145" spans="1:65" s="12" customFormat="1" ht="22.9" customHeight="1">
      <c r="B145" s="139"/>
      <c r="D145" s="140" t="s">
        <v>68</v>
      </c>
      <c r="E145" s="150" t="s">
        <v>214</v>
      </c>
      <c r="F145" s="150" t="s">
        <v>1010</v>
      </c>
      <c r="I145" s="142"/>
      <c r="J145" s="151">
        <v>0</v>
      </c>
      <c r="L145" s="139"/>
      <c r="M145" s="144"/>
      <c r="N145" s="145"/>
      <c r="O145" s="145"/>
      <c r="P145" s="146">
        <f>SUM(P146:P156)</f>
        <v>0</v>
      </c>
      <c r="Q145" s="145"/>
      <c r="R145" s="146">
        <f>SUM(R146:R156)</f>
        <v>0</v>
      </c>
      <c r="S145" s="145"/>
      <c r="T145" s="147">
        <f>SUM(T146:T156)</f>
        <v>0</v>
      </c>
      <c r="AR145" s="140" t="s">
        <v>76</v>
      </c>
      <c r="AT145" s="148" t="s">
        <v>68</v>
      </c>
      <c r="AU145" s="148" t="s">
        <v>76</v>
      </c>
      <c r="AY145" s="140" t="s">
        <v>179</v>
      </c>
      <c r="BK145" s="149">
        <f>SUM(BK146:BK156)</f>
        <v>0</v>
      </c>
    </row>
    <row r="146" spans="1:65" s="2" customFormat="1" ht="24.2" customHeight="1">
      <c r="A146" s="29"/>
      <c r="B146" s="152"/>
      <c r="C146" s="153" t="s">
        <v>205</v>
      </c>
      <c r="D146" s="153" t="s">
        <v>181</v>
      </c>
      <c r="E146" s="154" t="s">
        <v>454</v>
      </c>
      <c r="F146" s="155" t="s">
        <v>455</v>
      </c>
      <c r="G146" s="156" t="s">
        <v>217</v>
      </c>
      <c r="H146" s="157">
        <v>2</v>
      </c>
      <c r="I146" s="158"/>
      <c r="J146" s="151">
        <v>0</v>
      </c>
      <c r="K146" s="160"/>
      <c r="L146" s="30"/>
      <c r="M146" s="161" t="s">
        <v>1</v>
      </c>
      <c r="N146" s="162" t="s">
        <v>35</v>
      </c>
      <c r="O146" s="58"/>
      <c r="P146" s="163">
        <f t="shared" ref="P146:P156" si="9">O146*H146</f>
        <v>0</v>
      </c>
      <c r="Q146" s="163">
        <v>0</v>
      </c>
      <c r="R146" s="163">
        <f t="shared" ref="R146:R156" si="10">Q146*H146</f>
        <v>0</v>
      </c>
      <c r="S146" s="163">
        <v>0</v>
      </c>
      <c r="T146" s="164">
        <f t="shared" ref="T146:T156" si="11"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5" t="s">
        <v>185</v>
      </c>
      <c r="AT146" s="165" t="s">
        <v>181</v>
      </c>
      <c r="AU146" s="165" t="s">
        <v>82</v>
      </c>
      <c r="AY146" s="14" t="s">
        <v>179</v>
      </c>
      <c r="BE146" s="166">
        <f t="shared" ref="BE146:BE156" si="12">IF(N146="základná",J146,0)</f>
        <v>0</v>
      </c>
      <c r="BF146" s="166">
        <f t="shared" ref="BF146:BF156" si="13">IF(N146="znížená",J146,0)</f>
        <v>0</v>
      </c>
      <c r="BG146" s="166">
        <f t="shared" ref="BG146:BG156" si="14">IF(N146="zákl. prenesená",J146,0)</f>
        <v>0</v>
      </c>
      <c r="BH146" s="166">
        <f t="shared" ref="BH146:BH156" si="15">IF(N146="zníž. prenesená",J146,0)</f>
        <v>0</v>
      </c>
      <c r="BI146" s="166">
        <f t="shared" ref="BI146:BI156" si="16">IF(N146="nulová",J146,0)</f>
        <v>0</v>
      </c>
      <c r="BJ146" s="14" t="s">
        <v>82</v>
      </c>
      <c r="BK146" s="166">
        <f t="shared" ref="BK146:BK156" si="17">ROUND(I146*H146,2)</f>
        <v>0</v>
      </c>
      <c r="BL146" s="14" t="s">
        <v>185</v>
      </c>
      <c r="BM146" s="165" t="s">
        <v>228</v>
      </c>
    </row>
    <row r="147" spans="1:65" s="2" customFormat="1" ht="33" customHeight="1">
      <c r="A147" s="29"/>
      <c r="B147" s="152"/>
      <c r="C147" s="153" t="s">
        <v>229</v>
      </c>
      <c r="D147" s="153" t="s">
        <v>181</v>
      </c>
      <c r="E147" s="154" t="s">
        <v>1011</v>
      </c>
      <c r="F147" s="155" t="s">
        <v>1012</v>
      </c>
      <c r="G147" s="156" t="s">
        <v>217</v>
      </c>
      <c r="H147" s="157">
        <v>2</v>
      </c>
      <c r="I147" s="158"/>
      <c r="J147" s="151">
        <v>0</v>
      </c>
      <c r="K147" s="160"/>
      <c r="L147" s="30"/>
      <c r="M147" s="161" t="s">
        <v>1</v>
      </c>
      <c r="N147" s="162" t="s">
        <v>35</v>
      </c>
      <c r="O147" s="58"/>
      <c r="P147" s="163">
        <f t="shared" si="9"/>
        <v>0</v>
      </c>
      <c r="Q147" s="163">
        <v>0</v>
      </c>
      <c r="R147" s="163">
        <f t="shared" si="10"/>
        <v>0</v>
      </c>
      <c r="S147" s="163">
        <v>0</v>
      </c>
      <c r="T147" s="164">
        <f t="shared" si="11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5" t="s">
        <v>185</v>
      </c>
      <c r="AT147" s="165" t="s">
        <v>181</v>
      </c>
      <c r="AU147" s="165" t="s">
        <v>82</v>
      </c>
      <c r="AY147" s="14" t="s">
        <v>179</v>
      </c>
      <c r="BE147" s="166">
        <f t="shared" si="12"/>
        <v>0</v>
      </c>
      <c r="BF147" s="166">
        <f t="shared" si="13"/>
        <v>0</v>
      </c>
      <c r="BG147" s="166">
        <f t="shared" si="14"/>
        <v>0</v>
      </c>
      <c r="BH147" s="166">
        <f t="shared" si="15"/>
        <v>0</v>
      </c>
      <c r="BI147" s="166">
        <f t="shared" si="16"/>
        <v>0</v>
      </c>
      <c r="BJ147" s="14" t="s">
        <v>82</v>
      </c>
      <c r="BK147" s="166">
        <f t="shared" si="17"/>
        <v>0</v>
      </c>
      <c r="BL147" s="14" t="s">
        <v>185</v>
      </c>
      <c r="BM147" s="165" t="s">
        <v>232</v>
      </c>
    </row>
    <row r="148" spans="1:65" s="2" customFormat="1" ht="33" customHeight="1">
      <c r="A148" s="29"/>
      <c r="B148" s="152"/>
      <c r="C148" s="153" t="s">
        <v>210</v>
      </c>
      <c r="D148" s="153" t="s">
        <v>181</v>
      </c>
      <c r="E148" s="154" t="s">
        <v>1013</v>
      </c>
      <c r="F148" s="155" t="s">
        <v>1014</v>
      </c>
      <c r="G148" s="156" t="s">
        <v>217</v>
      </c>
      <c r="H148" s="157">
        <v>1</v>
      </c>
      <c r="I148" s="158"/>
      <c r="J148" s="151">
        <v>0</v>
      </c>
      <c r="K148" s="160"/>
      <c r="L148" s="30"/>
      <c r="M148" s="161" t="s">
        <v>1</v>
      </c>
      <c r="N148" s="162" t="s">
        <v>35</v>
      </c>
      <c r="O148" s="58"/>
      <c r="P148" s="163">
        <f t="shared" si="9"/>
        <v>0</v>
      </c>
      <c r="Q148" s="163">
        <v>0</v>
      </c>
      <c r="R148" s="163">
        <f t="shared" si="10"/>
        <v>0</v>
      </c>
      <c r="S148" s="163">
        <v>0</v>
      </c>
      <c r="T148" s="164">
        <f t="shared" si="11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5" t="s">
        <v>185</v>
      </c>
      <c r="AT148" s="165" t="s">
        <v>181</v>
      </c>
      <c r="AU148" s="165" t="s">
        <v>82</v>
      </c>
      <c r="AY148" s="14" t="s">
        <v>179</v>
      </c>
      <c r="BE148" s="166">
        <f t="shared" si="12"/>
        <v>0</v>
      </c>
      <c r="BF148" s="166">
        <f t="shared" si="13"/>
        <v>0</v>
      </c>
      <c r="BG148" s="166">
        <f t="shared" si="14"/>
        <v>0</v>
      </c>
      <c r="BH148" s="166">
        <f t="shared" si="15"/>
        <v>0</v>
      </c>
      <c r="BI148" s="166">
        <f t="shared" si="16"/>
        <v>0</v>
      </c>
      <c r="BJ148" s="14" t="s">
        <v>82</v>
      </c>
      <c r="BK148" s="166">
        <f t="shared" si="17"/>
        <v>0</v>
      </c>
      <c r="BL148" s="14" t="s">
        <v>185</v>
      </c>
      <c r="BM148" s="165" t="s">
        <v>235</v>
      </c>
    </row>
    <row r="149" spans="1:65" s="2" customFormat="1" ht="24.2" customHeight="1">
      <c r="A149" s="29"/>
      <c r="B149" s="152"/>
      <c r="C149" s="153" t="s">
        <v>236</v>
      </c>
      <c r="D149" s="153" t="s">
        <v>181</v>
      </c>
      <c r="E149" s="154" t="s">
        <v>1015</v>
      </c>
      <c r="F149" s="155" t="s">
        <v>523</v>
      </c>
      <c r="G149" s="156" t="s">
        <v>191</v>
      </c>
      <c r="H149" s="157">
        <v>1.0109999999999999</v>
      </c>
      <c r="I149" s="158"/>
      <c r="J149" s="151">
        <v>0</v>
      </c>
      <c r="K149" s="160"/>
      <c r="L149" s="30"/>
      <c r="M149" s="161" t="s">
        <v>1</v>
      </c>
      <c r="N149" s="162" t="s">
        <v>35</v>
      </c>
      <c r="O149" s="58"/>
      <c r="P149" s="163">
        <f t="shared" si="9"/>
        <v>0</v>
      </c>
      <c r="Q149" s="163">
        <v>0</v>
      </c>
      <c r="R149" s="163">
        <f t="shared" si="10"/>
        <v>0</v>
      </c>
      <c r="S149" s="163">
        <v>0</v>
      </c>
      <c r="T149" s="164">
        <f t="shared" si="11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5" t="s">
        <v>185</v>
      </c>
      <c r="AT149" s="165" t="s">
        <v>181</v>
      </c>
      <c r="AU149" s="165" t="s">
        <v>82</v>
      </c>
      <c r="AY149" s="14" t="s">
        <v>179</v>
      </c>
      <c r="BE149" s="166">
        <f t="shared" si="12"/>
        <v>0</v>
      </c>
      <c r="BF149" s="166">
        <f t="shared" si="13"/>
        <v>0</v>
      </c>
      <c r="BG149" s="166">
        <f t="shared" si="14"/>
        <v>0</v>
      </c>
      <c r="BH149" s="166">
        <f t="shared" si="15"/>
        <v>0</v>
      </c>
      <c r="BI149" s="166">
        <f t="shared" si="16"/>
        <v>0</v>
      </c>
      <c r="BJ149" s="14" t="s">
        <v>82</v>
      </c>
      <c r="BK149" s="166">
        <f t="shared" si="17"/>
        <v>0</v>
      </c>
      <c r="BL149" s="14" t="s">
        <v>185</v>
      </c>
      <c r="BM149" s="165" t="s">
        <v>239</v>
      </c>
    </row>
    <row r="150" spans="1:65" s="2" customFormat="1" ht="24.2" customHeight="1">
      <c r="A150" s="29"/>
      <c r="B150" s="152"/>
      <c r="C150" s="153" t="s">
        <v>213</v>
      </c>
      <c r="D150" s="153" t="s">
        <v>181</v>
      </c>
      <c r="E150" s="154" t="s">
        <v>1016</v>
      </c>
      <c r="F150" s="155" t="s">
        <v>1017</v>
      </c>
      <c r="G150" s="156" t="s">
        <v>191</v>
      </c>
      <c r="H150" s="157">
        <v>1.0109999999999999</v>
      </c>
      <c r="I150" s="158"/>
      <c r="J150" s="151">
        <v>0</v>
      </c>
      <c r="K150" s="160"/>
      <c r="L150" s="30"/>
      <c r="M150" s="161" t="s">
        <v>1</v>
      </c>
      <c r="N150" s="162" t="s">
        <v>35</v>
      </c>
      <c r="O150" s="58"/>
      <c r="P150" s="163">
        <f t="shared" si="9"/>
        <v>0</v>
      </c>
      <c r="Q150" s="163">
        <v>0</v>
      </c>
      <c r="R150" s="163">
        <f t="shared" si="10"/>
        <v>0</v>
      </c>
      <c r="S150" s="163">
        <v>0</v>
      </c>
      <c r="T150" s="164">
        <f t="shared" si="11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5" t="s">
        <v>185</v>
      </c>
      <c r="AT150" s="165" t="s">
        <v>181</v>
      </c>
      <c r="AU150" s="165" t="s">
        <v>82</v>
      </c>
      <c r="AY150" s="14" t="s">
        <v>179</v>
      </c>
      <c r="BE150" s="166">
        <f t="shared" si="12"/>
        <v>0</v>
      </c>
      <c r="BF150" s="166">
        <f t="shared" si="13"/>
        <v>0</v>
      </c>
      <c r="BG150" s="166">
        <f t="shared" si="14"/>
        <v>0</v>
      </c>
      <c r="BH150" s="166">
        <f t="shared" si="15"/>
        <v>0</v>
      </c>
      <c r="BI150" s="166">
        <f t="shared" si="16"/>
        <v>0</v>
      </c>
      <c r="BJ150" s="14" t="s">
        <v>82</v>
      </c>
      <c r="BK150" s="166">
        <f t="shared" si="17"/>
        <v>0</v>
      </c>
      <c r="BL150" s="14" t="s">
        <v>185</v>
      </c>
      <c r="BM150" s="165" t="s">
        <v>242</v>
      </c>
    </row>
    <row r="151" spans="1:65" s="2" customFormat="1" ht="21.75" customHeight="1">
      <c r="A151" s="29"/>
      <c r="B151" s="152"/>
      <c r="C151" s="153" t="s">
        <v>243</v>
      </c>
      <c r="D151" s="153" t="s">
        <v>181</v>
      </c>
      <c r="E151" s="154" t="s">
        <v>1018</v>
      </c>
      <c r="F151" s="155" t="s">
        <v>1019</v>
      </c>
      <c r="G151" s="156" t="s">
        <v>191</v>
      </c>
      <c r="H151" s="157">
        <v>1.0109999999999999</v>
      </c>
      <c r="I151" s="158"/>
      <c r="J151" s="151">
        <v>0</v>
      </c>
      <c r="K151" s="160"/>
      <c r="L151" s="30"/>
      <c r="M151" s="161" t="s">
        <v>1</v>
      </c>
      <c r="N151" s="162" t="s">
        <v>35</v>
      </c>
      <c r="O151" s="58"/>
      <c r="P151" s="163">
        <f t="shared" si="9"/>
        <v>0</v>
      </c>
      <c r="Q151" s="163">
        <v>0</v>
      </c>
      <c r="R151" s="163">
        <f t="shared" si="10"/>
        <v>0</v>
      </c>
      <c r="S151" s="163">
        <v>0</v>
      </c>
      <c r="T151" s="164">
        <f t="shared" si="11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5" t="s">
        <v>185</v>
      </c>
      <c r="AT151" s="165" t="s">
        <v>181</v>
      </c>
      <c r="AU151" s="165" t="s">
        <v>82</v>
      </c>
      <c r="AY151" s="14" t="s">
        <v>179</v>
      </c>
      <c r="BE151" s="166">
        <f t="shared" si="12"/>
        <v>0</v>
      </c>
      <c r="BF151" s="166">
        <f t="shared" si="13"/>
        <v>0</v>
      </c>
      <c r="BG151" s="166">
        <f t="shared" si="14"/>
        <v>0</v>
      </c>
      <c r="BH151" s="166">
        <f t="shared" si="15"/>
        <v>0</v>
      </c>
      <c r="BI151" s="166">
        <f t="shared" si="16"/>
        <v>0</v>
      </c>
      <c r="BJ151" s="14" t="s">
        <v>82</v>
      </c>
      <c r="BK151" s="166">
        <f t="shared" si="17"/>
        <v>0</v>
      </c>
      <c r="BL151" s="14" t="s">
        <v>185</v>
      </c>
      <c r="BM151" s="165" t="s">
        <v>246</v>
      </c>
    </row>
    <row r="152" spans="1:65" s="2" customFormat="1" ht="24.2" customHeight="1">
      <c r="A152" s="29"/>
      <c r="B152" s="152"/>
      <c r="C152" s="153" t="s">
        <v>218</v>
      </c>
      <c r="D152" s="153" t="s">
        <v>181</v>
      </c>
      <c r="E152" s="154" t="s">
        <v>1020</v>
      </c>
      <c r="F152" s="155" t="s">
        <v>1021</v>
      </c>
      <c r="G152" s="156" t="s">
        <v>191</v>
      </c>
      <c r="H152" s="157">
        <v>1.0109999999999999</v>
      </c>
      <c r="I152" s="158"/>
      <c r="J152" s="151">
        <v>0</v>
      </c>
      <c r="K152" s="160"/>
      <c r="L152" s="30"/>
      <c r="M152" s="161" t="s">
        <v>1</v>
      </c>
      <c r="N152" s="162" t="s">
        <v>35</v>
      </c>
      <c r="O152" s="58"/>
      <c r="P152" s="163">
        <f t="shared" si="9"/>
        <v>0</v>
      </c>
      <c r="Q152" s="163">
        <v>0</v>
      </c>
      <c r="R152" s="163">
        <f t="shared" si="10"/>
        <v>0</v>
      </c>
      <c r="S152" s="163">
        <v>0</v>
      </c>
      <c r="T152" s="164">
        <f t="shared" si="11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5" t="s">
        <v>185</v>
      </c>
      <c r="AT152" s="165" t="s">
        <v>181</v>
      </c>
      <c r="AU152" s="165" t="s">
        <v>82</v>
      </c>
      <c r="AY152" s="14" t="s">
        <v>179</v>
      </c>
      <c r="BE152" s="166">
        <f t="shared" si="12"/>
        <v>0</v>
      </c>
      <c r="BF152" s="166">
        <f t="shared" si="13"/>
        <v>0</v>
      </c>
      <c r="BG152" s="166">
        <f t="shared" si="14"/>
        <v>0</v>
      </c>
      <c r="BH152" s="166">
        <f t="shared" si="15"/>
        <v>0</v>
      </c>
      <c r="BI152" s="166">
        <f t="shared" si="16"/>
        <v>0</v>
      </c>
      <c r="BJ152" s="14" t="s">
        <v>82</v>
      </c>
      <c r="BK152" s="166">
        <f t="shared" si="17"/>
        <v>0</v>
      </c>
      <c r="BL152" s="14" t="s">
        <v>185</v>
      </c>
      <c r="BM152" s="165" t="s">
        <v>250</v>
      </c>
    </row>
    <row r="153" spans="1:65" s="2" customFormat="1" ht="24.2" customHeight="1">
      <c r="A153" s="29"/>
      <c r="B153" s="152"/>
      <c r="C153" s="153" t="s">
        <v>251</v>
      </c>
      <c r="D153" s="153" t="s">
        <v>181</v>
      </c>
      <c r="E153" s="154" t="s">
        <v>1022</v>
      </c>
      <c r="F153" s="155" t="s">
        <v>526</v>
      </c>
      <c r="G153" s="156" t="s">
        <v>191</v>
      </c>
      <c r="H153" s="157">
        <v>1.0109999999999999</v>
      </c>
      <c r="I153" s="158"/>
      <c r="J153" s="151">
        <v>0</v>
      </c>
      <c r="K153" s="160"/>
      <c r="L153" s="30"/>
      <c r="M153" s="161" t="s">
        <v>1</v>
      </c>
      <c r="N153" s="162" t="s">
        <v>35</v>
      </c>
      <c r="O153" s="58"/>
      <c r="P153" s="163">
        <f t="shared" si="9"/>
        <v>0</v>
      </c>
      <c r="Q153" s="163">
        <v>0</v>
      </c>
      <c r="R153" s="163">
        <f t="shared" si="10"/>
        <v>0</v>
      </c>
      <c r="S153" s="163">
        <v>0</v>
      </c>
      <c r="T153" s="164">
        <f t="shared" si="11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5" t="s">
        <v>185</v>
      </c>
      <c r="AT153" s="165" t="s">
        <v>181</v>
      </c>
      <c r="AU153" s="165" t="s">
        <v>82</v>
      </c>
      <c r="AY153" s="14" t="s">
        <v>179</v>
      </c>
      <c r="BE153" s="166">
        <f t="shared" si="12"/>
        <v>0</v>
      </c>
      <c r="BF153" s="166">
        <f t="shared" si="13"/>
        <v>0</v>
      </c>
      <c r="BG153" s="166">
        <f t="shared" si="14"/>
        <v>0</v>
      </c>
      <c r="BH153" s="166">
        <f t="shared" si="15"/>
        <v>0</v>
      </c>
      <c r="BI153" s="166">
        <f t="shared" si="16"/>
        <v>0</v>
      </c>
      <c r="BJ153" s="14" t="s">
        <v>82</v>
      </c>
      <c r="BK153" s="166">
        <f t="shared" si="17"/>
        <v>0</v>
      </c>
      <c r="BL153" s="14" t="s">
        <v>185</v>
      </c>
      <c r="BM153" s="165" t="s">
        <v>254</v>
      </c>
    </row>
    <row r="154" spans="1:65" s="2" customFormat="1" ht="24.2" customHeight="1">
      <c r="A154" s="29"/>
      <c r="B154" s="152"/>
      <c r="C154" s="153" t="s">
        <v>221</v>
      </c>
      <c r="D154" s="153" t="s">
        <v>181</v>
      </c>
      <c r="E154" s="154" t="s">
        <v>529</v>
      </c>
      <c r="F154" s="155" t="s">
        <v>1023</v>
      </c>
      <c r="G154" s="156" t="s">
        <v>191</v>
      </c>
      <c r="H154" s="157">
        <v>1.0109999999999999</v>
      </c>
      <c r="I154" s="158"/>
      <c r="J154" s="151">
        <v>0</v>
      </c>
      <c r="K154" s="160"/>
      <c r="L154" s="30"/>
      <c r="M154" s="161" t="s">
        <v>1</v>
      </c>
      <c r="N154" s="162" t="s">
        <v>35</v>
      </c>
      <c r="O154" s="58"/>
      <c r="P154" s="163">
        <f t="shared" si="9"/>
        <v>0</v>
      </c>
      <c r="Q154" s="163">
        <v>0</v>
      </c>
      <c r="R154" s="163">
        <f t="shared" si="10"/>
        <v>0</v>
      </c>
      <c r="S154" s="163">
        <v>0</v>
      </c>
      <c r="T154" s="164">
        <f t="shared" si="11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5" t="s">
        <v>185</v>
      </c>
      <c r="AT154" s="165" t="s">
        <v>181</v>
      </c>
      <c r="AU154" s="165" t="s">
        <v>82</v>
      </c>
      <c r="AY154" s="14" t="s">
        <v>179</v>
      </c>
      <c r="BE154" s="166">
        <f t="shared" si="12"/>
        <v>0</v>
      </c>
      <c r="BF154" s="166">
        <f t="shared" si="13"/>
        <v>0</v>
      </c>
      <c r="BG154" s="166">
        <f t="shared" si="14"/>
        <v>0</v>
      </c>
      <c r="BH154" s="166">
        <f t="shared" si="15"/>
        <v>0</v>
      </c>
      <c r="BI154" s="166">
        <f t="shared" si="16"/>
        <v>0</v>
      </c>
      <c r="BJ154" s="14" t="s">
        <v>82</v>
      </c>
      <c r="BK154" s="166">
        <f t="shared" si="17"/>
        <v>0</v>
      </c>
      <c r="BL154" s="14" t="s">
        <v>185</v>
      </c>
      <c r="BM154" s="165" t="s">
        <v>257</v>
      </c>
    </row>
    <row r="155" spans="1:65" s="2" customFormat="1" ht="16.5" customHeight="1">
      <c r="A155" s="29"/>
      <c r="B155" s="152"/>
      <c r="C155" s="153" t="s">
        <v>258</v>
      </c>
      <c r="D155" s="153" t="s">
        <v>181</v>
      </c>
      <c r="E155" s="154" t="s">
        <v>546</v>
      </c>
      <c r="F155" s="155" t="s">
        <v>547</v>
      </c>
      <c r="G155" s="156" t="s">
        <v>217</v>
      </c>
      <c r="H155" s="157">
        <v>1</v>
      </c>
      <c r="I155" s="158"/>
      <c r="J155" s="151">
        <v>0</v>
      </c>
      <c r="K155" s="160"/>
      <c r="L155" s="30"/>
      <c r="M155" s="161" t="s">
        <v>1</v>
      </c>
      <c r="N155" s="162" t="s">
        <v>35</v>
      </c>
      <c r="O155" s="58"/>
      <c r="P155" s="163">
        <f t="shared" si="9"/>
        <v>0</v>
      </c>
      <c r="Q155" s="163">
        <v>0</v>
      </c>
      <c r="R155" s="163">
        <f t="shared" si="10"/>
        <v>0</v>
      </c>
      <c r="S155" s="163">
        <v>0</v>
      </c>
      <c r="T155" s="164">
        <f t="shared" si="11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5" t="s">
        <v>185</v>
      </c>
      <c r="AT155" s="165" t="s">
        <v>181</v>
      </c>
      <c r="AU155" s="165" t="s">
        <v>82</v>
      </c>
      <c r="AY155" s="14" t="s">
        <v>179</v>
      </c>
      <c r="BE155" s="166">
        <f t="shared" si="12"/>
        <v>0</v>
      </c>
      <c r="BF155" s="166">
        <f t="shared" si="13"/>
        <v>0</v>
      </c>
      <c r="BG155" s="166">
        <f t="shared" si="14"/>
        <v>0</v>
      </c>
      <c r="BH155" s="166">
        <f t="shared" si="15"/>
        <v>0</v>
      </c>
      <c r="BI155" s="166">
        <f t="shared" si="16"/>
        <v>0</v>
      </c>
      <c r="BJ155" s="14" t="s">
        <v>82</v>
      </c>
      <c r="BK155" s="166">
        <f t="shared" si="17"/>
        <v>0</v>
      </c>
      <c r="BL155" s="14" t="s">
        <v>185</v>
      </c>
      <c r="BM155" s="165" t="s">
        <v>261</v>
      </c>
    </row>
    <row r="156" spans="1:65" s="2" customFormat="1" ht="24.2" customHeight="1">
      <c r="A156" s="29"/>
      <c r="B156" s="152"/>
      <c r="C156" s="153" t="s">
        <v>225</v>
      </c>
      <c r="D156" s="153" t="s">
        <v>181</v>
      </c>
      <c r="E156" s="154" t="s">
        <v>1024</v>
      </c>
      <c r="F156" s="155" t="s">
        <v>1025</v>
      </c>
      <c r="G156" s="156" t="s">
        <v>191</v>
      </c>
      <c r="H156" s="157">
        <v>1.0109999999999999</v>
      </c>
      <c r="I156" s="158"/>
      <c r="J156" s="151">
        <v>0</v>
      </c>
      <c r="K156" s="160"/>
      <c r="L156" s="30"/>
      <c r="M156" s="161" t="s">
        <v>1</v>
      </c>
      <c r="N156" s="162" t="s">
        <v>35</v>
      </c>
      <c r="O156" s="58"/>
      <c r="P156" s="163">
        <f t="shared" si="9"/>
        <v>0</v>
      </c>
      <c r="Q156" s="163">
        <v>0</v>
      </c>
      <c r="R156" s="163">
        <f t="shared" si="10"/>
        <v>0</v>
      </c>
      <c r="S156" s="163">
        <v>0</v>
      </c>
      <c r="T156" s="164">
        <f t="shared" si="11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5" t="s">
        <v>185</v>
      </c>
      <c r="AT156" s="165" t="s">
        <v>181</v>
      </c>
      <c r="AU156" s="165" t="s">
        <v>82</v>
      </c>
      <c r="AY156" s="14" t="s">
        <v>179</v>
      </c>
      <c r="BE156" s="166">
        <f t="shared" si="12"/>
        <v>0</v>
      </c>
      <c r="BF156" s="166">
        <f t="shared" si="13"/>
        <v>0</v>
      </c>
      <c r="BG156" s="166">
        <f t="shared" si="14"/>
        <v>0</v>
      </c>
      <c r="BH156" s="166">
        <f t="shared" si="15"/>
        <v>0</v>
      </c>
      <c r="BI156" s="166">
        <f t="shared" si="16"/>
        <v>0</v>
      </c>
      <c r="BJ156" s="14" t="s">
        <v>82</v>
      </c>
      <c r="BK156" s="166">
        <f t="shared" si="17"/>
        <v>0</v>
      </c>
      <c r="BL156" s="14" t="s">
        <v>185</v>
      </c>
      <c r="BM156" s="165" t="s">
        <v>265</v>
      </c>
    </row>
    <row r="157" spans="1:65" s="12" customFormat="1" ht="25.9" customHeight="1">
      <c r="B157" s="139"/>
      <c r="D157" s="140" t="s">
        <v>68</v>
      </c>
      <c r="E157" s="141" t="s">
        <v>554</v>
      </c>
      <c r="F157" s="141" t="s">
        <v>1026</v>
      </c>
      <c r="I157" s="142"/>
      <c r="J157" s="151">
        <v>0</v>
      </c>
      <c r="L157" s="139"/>
      <c r="M157" s="144"/>
      <c r="N157" s="145"/>
      <c r="O157" s="145"/>
      <c r="P157" s="146">
        <f>P158+P173+P204+P255+P289</f>
        <v>0</v>
      </c>
      <c r="Q157" s="145"/>
      <c r="R157" s="146">
        <f>R158+R173+R204+R255+R289</f>
        <v>1.6615818</v>
      </c>
      <c r="S157" s="145"/>
      <c r="T157" s="147">
        <f>T158+T173+T204+T255+T289</f>
        <v>0</v>
      </c>
      <c r="AR157" s="140" t="s">
        <v>82</v>
      </c>
      <c r="AT157" s="148" t="s">
        <v>68</v>
      </c>
      <c r="AU157" s="148" t="s">
        <v>69</v>
      </c>
      <c r="AY157" s="140" t="s">
        <v>179</v>
      </c>
      <c r="BK157" s="149">
        <f>BK158+BK173+BK204+BK255+BK289</f>
        <v>0</v>
      </c>
    </row>
    <row r="158" spans="1:65" s="12" customFormat="1" ht="22.9" customHeight="1">
      <c r="B158" s="139"/>
      <c r="D158" s="140" t="s">
        <v>68</v>
      </c>
      <c r="E158" s="150" t="s">
        <v>600</v>
      </c>
      <c r="F158" s="150" t="s">
        <v>1027</v>
      </c>
      <c r="I158" s="142"/>
      <c r="J158" s="151">
        <v>0</v>
      </c>
      <c r="L158" s="139"/>
      <c r="M158" s="144"/>
      <c r="N158" s="145"/>
      <c r="O158" s="145"/>
      <c r="P158" s="146">
        <f>SUM(P159:P172)</f>
        <v>0</v>
      </c>
      <c r="Q158" s="145"/>
      <c r="R158" s="146">
        <f>SUM(R159:R172)</f>
        <v>1.0991800000000001E-2</v>
      </c>
      <c r="S158" s="145"/>
      <c r="T158" s="147">
        <f>SUM(T159:T172)</f>
        <v>0</v>
      </c>
      <c r="AR158" s="140" t="s">
        <v>82</v>
      </c>
      <c r="AT158" s="148" t="s">
        <v>68</v>
      </c>
      <c r="AU158" s="148" t="s">
        <v>76</v>
      </c>
      <c r="AY158" s="140" t="s">
        <v>179</v>
      </c>
      <c r="BK158" s="149">
        <f>SUM(BK159:BK172)</f>
        <v>0</v>
      </c>
    </row>
    <row r="159" spans="1:65" s="2" customFormat="1" ht="24.2" customHeight="1">
      <c r="A159" s="29"/>
      <c r="B159" s="152"/>
      <c r="C159" s="153" t="s">
        <v>7</v>
      </c>
      <c r="D159" s="153" t="s">
        <v>181</v>
      </c>
      <c r="E159" s="154" t="s">
        <v>1028</v>
      </c>
      <c r="F159" s="155" t="s">
        <v>1029</v>
      </c>
      <c r="G159" s="156" t="s">
        <v>293</v>
      </c>
      <c r="H159" s="157">
        <v>74</v>
      </c>
      <c r="I159" s="158"/>
      <c r="J159" s="151">
        <v>0</v>
      </c>
      <c r="K159" s="160"/>
      <c r="L159" s="30"/>
      <c r="M159" s="161" t="s">
        <v>1</v>
      </c>
      <c r="N159" s="162" t="s">
        <v>35</v>
      </c>
      <c r="O159" s="58"/>
      <c r="P159" s="163">
        <f t="shared" ref="P159:P172" si="18">O159*H159</f>
        <v>0</v>
      </c>
      <c r="Q159" s="163">
        <v>1.0000000000000001E-5</v>
      </c>
      <c r="R159" s="163">
        <f t="shared" ref="R159:R172" si="19">Q159*H159</f>
        <v>7.400000000000001E-4</v>
      </c>
      <c r="S159" s="163">
        <v>0</v>
      </c>
      <c r="T159" s="164">
        <f t="shared" ref="T159:T172" si="20"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5" t="s">
        <v>213</v>
      </c>
      <c r="AT159" s="165" t="s">
        <v>181</v>
      </c>
      <c r="AU159" s="165" t="s">
        <v>82</v>
      </c>
      <c r="AY159" s="14" t="s">
        <v>179</v>
      </c>
      <c r="BE159" s="166">
        <f t="shared" ref="BE159:BE172" si="21">IF(N159="základná",J159,0)</f>
        <v>0</v>
      </c>
      <c r="BF159" s="166">
        <f t="shared" ref="BF159:BF172" si="22">IF(N159="znížená",J159,0)</f>
        <v>0</v>
      </c>
      <c r="BG159" s="166">
        <f t="shared" ref="BG159:BG172" si="23">IF(N159="zákl. prenesená",J159,0)</f>
        <v>0</v>
      </c>
      <c r="BH159" s="166">
        <f t="shared" ref="BH159:BH172" si="24">IF(N159="zníž. prenesená",J159,0)</f>
        <v>0</v>
      </c>
      <c r="BI159" s="166">
        <f t="shared" ref="BI159:BI172" si="25">IF(N159="nulová",J159,0)</f>
        <v>0</v>
      </c>
      <c r="BJ159" s="14" t="s">
        <v>82</v>
      </c>
      <c r="BK159" s="166">
        <f t="shared" ref="BK159:BK172" si="26">ROUND(I159*H159,2)</f>
        <v>0</v>
      </c>
      <c r="BL159" s="14" t="s">
        <v>213</v>
      </c>
      <c r="BM159" s="165" t="s">
        <v>268</v>
      </c>
    </row>
    <row r="160" spans="1:65" s="2" customFormat="1" ht="33" customHeight="1">
      <c r="A160" s="29"/>
      <c r="B160" s="152"/>
      <c r="C160" s="167" t="s">
        <v>228</v>
      </c>
      <c r="D160" s="167" t="s">
        <v>202</v>
      </c>
      <c r="E160" s="168" t="s">
        <v>1030</v>
      </c>
      <c r="F160" s="169" t="s">
        <v>1031</v>
      </c>
      <c r="G160" s="170" t="s">
        <v>293</v>
      </c>
      <c r="H160" s="171">
        <v>6.12</v>
      </c>
      <c r="I160" s="172"/>
      <c r="J160" s="151">
        <v>0</v>
      </c>
      <c r="K160" s="174"/>
      <c r="L160" s="175"/>
      <c r="M160" s="176" t="s">
        <v>1</v>
      </c>
      <c r="N160" s="177" t="s">
        <v>35</v>
      </c>
      <c r="O160" s="58"/>
      <c r="P160" s="163">
        <f t="shared" si="18"/>
        <v>0</v>
      </c>
      <c r="Q160" s="163">
        <v>4.0000000000000003E-5</v>
      </c>
      <c r="R160" s="163">
        <f t="shared" si="19"/>
        <v>2.4480000000000004E-4</v>
      </c>
      <c r="S160" s="163">
        <v>0</v>
      </c>
      <c r="T160" s="164">
        <f t="shared" si="20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5" t="s">
        <v>242</v>
      </c>
      <c r="AT160" s="165" t="s">
        <v>202</v>
      </c>
      <c r="AU160" s="165" t="s">
        <v>82</v>
      </c>
      <c r="AY160" s="14" t="s">
        <v>179</v>
      </c>
      <c r="BE160" s="166">
        <f t="shared" si="21"/>
        <v>0</v>
      </c>
      <c r="BF160" s="166">
        <f t="shared" si="22"/>
        <v>0</v>
      </c>
      <c r="BG160" s="166">
        <f t="shared" si="23"/>
        <v>0</v>
      </c>
      <c r="BH160" s="166">
        <f t="shared" si="24"/>
        <v>0</v>
      </c>
      <c r="BI160" s="166">
        <f t="shared" si="25"/>
        <v>0</v>
      </c>
      <c r="BJ160" s="14" t="s">
        <v>82</v>
      </c>
      <c r="BK160" s="166">
        <f t="shared" si="26"/>
        <v>0</v>
      </c>
      <c r="BL160" s="14" t="s">
        <v>213</v>
      </c>
      <c r="BM160" s="165" t="s">
        <v>271</v>
      </c>
    </row>
    <row r="161" spans="1:65" s="2" customFormat="1" ht="33" customHeight="1">
      <c r="A161" s="29"/>
      <c r="B161" s="152"/>
      <c r="C161" s="167" t="s">
        <v>272</v>
      </c>
      <c r="D161" s="167" t="s">
        <v>202</v>
      </c>
      <c r="E161" s="168" t="s">
        <v>1032</v>
      </c>
      <c r="F161" s="169" t="s">
        <v>1033</v>
      </c>
      <c r="G161" s="170" t="s">
        <v>293</v>
      </c>
      <c r="H161" s="171">
        <v>7.14</v>
      </c>
      <c r="I161" s="172"/>
      <c r="J161" s="151">
        <v>0</v>
      </c>
      <c r="K161" s="174"/>
      <c r="L161" s="175"/>
      <c r="M161" s="176" t="s">
        <v>1</v>
      </c>
      <c r="N161" s="177" t="s">
        <v>35</v>
      </c>
      <c r="O161" s="58"/>
      <c r="P161" s="163">
        <f t="shared" si="18"/>
        <v>0</v>
      </c>
      <c r="Q161" s="163">
        <v>2.0000000000000002E-5</v>
      </c>
      <c r="R161" s="163">
        <f t="shared" si="19"/>
        <v>1.428E-4</v>
      </c>
      <c r="S161" s="163">
        <v>0</v>
      </c>
      <c r="T161" s="164">
        <f t="shared" si="20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5" t="s">
        <v>242</v>
      </c>
      <c r="AT161" s="165" t="s">
        <v>202</v>
      </c>
      <c r="AU161" s="165" t="s">
        <v>82</v>
      </c>
      <c r="AY161" s="14" t="s">
        <v>179</v>
      </c>
      <c r="BE161" s="166">
        <f t="shared" si="21"/>
        <v>0</v>
      </c>
      <c r="BF161" s="166">
        <f t="shared" si="22"/>
        <v>0</v>
      </c>
      <c r="BG161" s="166">
        <f t="shared" si="23"/>
        <v>0</v>
      </c>
      <c r="BH161" s="166">
        <f t="shared" si="24"/>
        <v>0</v>
      </c>
      <c r="BI161" s="166">
        <f t="shared" si="25"/>
        <v>0</v>
      </c>
      <c r="BJ161" s="14" t="s">
        <v>82</v>
      </c>
      <c r="BK161" s="166">
        <f t="shared" si="26"/>
        <v>0</v>
      </c>
      <c r="BL161" s="14" t="s">
        <v>213</v>
      </c>
      <c r="BM161" s="165" t="s">
        <v>275</v>
      </c>
    </row>
    <row r="162" spans="1:65" s="2" customFormat="1" ht="33" customHeight="1">
      <c r="A162" s="29"/>
      <c r="B162" s="152"/>
      <c r="C162" s="167" t="s">
        <v>232</v>
      </c>
      <c r="D162" s="167" t="s">
        <v>202</v>
      </c>
      <c r="E162" s="168" t="s">
        <v>1034</v>
      </c>
      <c r="F162" s="169" t="s">
        <v>1035</v>
      </c>
      <c r="G162" s="170" t="s">
        <v>293</v>
      </c>
      <c r="H162" s="171">
        <v>15.3</v>
      </c>
      <c r="I162" s="172"/>
      <c r="J162" s="151">
        <v>0</v>
      </c>
      <c r="K162" s="174"/>
      <c r="L162" s="175"/>
      <c r="M162" s="176" t="s">
        <v>1</v>
      </c>
      <c r="N162" s="177" t="s">
        <v>35</v>
      </c>
      <c r="O162" s="58"/>
      <c r="P162" s="163">
        <f t="shared" si="18"/>
        <v>0</v>
      </c>
      <c r="Q162" s="163">
        <v>1.4999999999999999E-4</v>
      </c>
      <c r="R162" s="163">
        <f t="shared" si="19"/>
        <v>2.2949999999999997E-3</v>
      </c>
      <c r="S162" s="163">
        <v>0</v>
      </c>
      <c r="T162" s="164">
        <f t="shared" si="20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5" t="s">
        <v>242</v>
      </c>
      <c r="AT162" s="165" t="s">
        <v>202</v>
      </c>
      <c r="AU162" s="165" t="s">
        <v>82</v>
      </c>
      <c r="AY162" s="14" t="s">
        <v>179</v>
      </c>
      <c r="BE162" s="166">
        <f t="shared" si="21"/>
        <v>0</v>
      </c>
      <c r="BF162" s="166">
        <f t="shared" si="22"/>
        <v>0</v>
      </c>
      <c r="BG162" s="166">
        <f t="shared" si="23"/>
        <v>0</v>
      </c>
      <c r="BH162" s="166">
        <f t="shared" si="24"/>
        <v>0</v>
      </c>
      <c r="BI162" s="166">
        <f t="shared" si="25"/>
        <v>0</v>
      </c>
      <c r="BJ162" s="14" t="s">
        <v>82</v>
      </c>
      <c r="BK162" s="166">
        <f t="shared" si="26"/>
        <v>0</v>
      </c>
      <c r="BL162" s="14" t="s">
        <v>213</v>
      </c>
      <c r="BM162" s="165" t="s">
        <v>279</v>
      </c>
    </row>
    <row r="163" spans="1:65" s="2" customFormat="1" ht="33" customHeight="1">
      <c r="A163" s="29"/>
      <c r="B163" s="152"/>
      <c r="C163" s="167" t="s">
        <v>280</v>
      </c>
      <c r="D163" s="167" t="s">
        <v>202</v>
      </c>
      <c r="E163" s="168" t="s">
        <v>1036</v>
      </c>
      <c r="F163" s="169" t="s">
        <v>1037</v>
      </c>
      <c r="G163" s="170" t="s">
        <v>293</v>
      </c>
      <c r="H163" s="171">
        <v>46.92</v>
      </c>
      <c r="I163" s="172"/>
      <c r="J163" s="151">
        <v>0</v>
      </c>
      <c r="K163" s="174"/>
      <c r="L163" s="175"/>
      <c r="M163" s="176" t="s">
        <v>1</v>
      </c>
      <c r="N163" s="177" t="s">
        <v>35</v>
      </c>
      <c r="O163" s="58"/>
      <c r="P163" s="163">
        <f t="shared" si="18"/>
        <v>0</v>
      </c>
      <c r="Q163" s="163">
        <v>1E-4</v>
      </c>
      <c r="R163" s="163">
        <f t="shared" si="19"/>
        <v>4.692E-3</v>
      </c>
      <c r="S163" s="163">
        <v>0</v>
      </c>
      <c r="T163" s="164">
        <f t="shared" si="20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5" t="s">
        <v>242</v>
      </c>
      <c r="AT163" s="165" t="s">
        <v>202</v>
      </c>
      <c r="AU163" s="165" t="s">
        <v>82</v>
      </c>
      <c r="AY163" s="14" t="s">
        <v>179</v>
      </c>
      <c r="BE163" s="166">
        <f t="shared" si="21"/>
        <v>0</v>
      </c>
      <c r="BF163" s="166">
        <f t="shared" si="22"/>
        <v>0</v>
      </c>
      <c r="BG163" s="166">
        <f t="shared" si="23"/>
        <v>0</v>
      </c>
      <c r="BH163" s="166">
        <f t="shared" si="24"/>
        <v>0</v>
      </c>
      <c r="BI163" s="166">
        <f t="shared" si="25"/>
        <v>0</v>
      </c>
      <c r="BJ163" s="14" t="s">
        <v>82</v>
      </c>
      <c r="BK163" s="166">
        <f t="shared" si="26"/>
        <v>0</v>
      </c>
      <c r="BL163" s="14" t="s">
        <v>213</v>
      </c>
      <c r="BM163" s="165" t="s">
        <v>283</v>
      </c>
    </row>
    <row r="164" spans="1:65" s="2" customFormat="1" ht="24.2" customHeight="1">
      <c r="A164" s="29"/>
      <c r="B164" s="152"/>
      <c r="C164" s="153" t="s">
        <v>235</v>
      </c>
      <c r="D164" s="153" t="s">
        <v>181</v>
      </c>
      <c r="E164" s="154" t="s">
        <v>1038</v>
      </c>
      <c r="F164" s="155" t="s">
        <v>1039</v>
      </c>
      <c r="G164" s="156" t="s">
        <v>293</v>
      </c>
      <c r="H164" s="157">
        <v>39</v>
      </c>
      <c r="I164" s="158"/>
      <c r="J164" s="151">
        <v>0</v>
      </c>
      <c r="K164" s="160"/>
      <c r="L164" s="30"/>
      <c r="M164" s="161" t="s">
        <v>1</v>
      </c>
      <c r="N164" s="162" t="s">
        <v>35</v>
      </c>
      <c r="O164" s="58"/>
      <c r="P164" s="163">
        <f t="shared" si="18"/>
        <v>0</v>
      </c>
      <c r="Q164" s="163">
        <v>1.0000000000000001E-5</v>
      </c>
      <c r="R164" s="163">
        <f t="shared" si="19"/>
        <v>3.9000000000000005E-4</v>
      </c>
      <c r="S164" s="163">
        <v>0</v>
      </c>
      <c r="T164" s="164">
        <f t="shared" si="20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5" t="s">
        <v>213</v>
      </c>
      <c r="AT164" s="165" t="s">
        <v>181</v>
      </c>
      <c r="AU164" s="165" t="s">
        <v>82</v>
      </c>
      <c r="AY164" s="14" t="s">
        <v>179</v>
      </c>
      <c r="BE164" s="166">
        <f t="shared" si="21"/>
        <v>0</v>
      </c>
      <c r="BF164" s="166">
        <f t="shared" si="22"/>
        <v>0</v>
      </c>
      <c r="BG164" s="166">
        <f t="shared" si="23"/>
        <v>0</v>
      </c>
      <c r="BH164" s="166">
        <f t="shared" si="24"/>
        <v>0</v>
      </c>
      <c r="BI164" s="166">
        <f t="shared" si="25"/>
        <v>0</v>
      </c>
      <c r="BJ164" s="14" t="s">
        <v>82</v>
      </c>
      <c r="BK164" s="166">
        <f t="shared" si="26"/>
        <v>0</v>
      </c>
      <c r="BL164" s="14" t="s">
        <v>213</v>
      </c>
      <c r="BM164" s="165" t="s">
        <v>286</v>
      </c>
    </row>
    <row r="165" spans="1:65" s="2" customFormat="1" ht="33" customHeight="1">
      <c r="A165" s="29"/>
      <c r="B165" s="152"/>
      <c r="C165" s="167" t="s">
        <v>287</v>
      </c>
      <c r="D165" s="167" t="s">
        <v>202</v>
      </c>
      <c r="E165" s="168" t="s">
        <v>1040</v>
      </c>
      <c r="F165" s="169" t="s">
        <v>1041</v>
      </c>
      <c r="G165" s="170" t="s">
        <v>293</v>
      </c>
      <c r="H165" s="171">
        <v>19.38</v>
      </c>
      <c r="I165" s="172"/>
      <c r="J165" s="151">
        <v>0</v>
      </c>
      <c r="K165" s="174"/>
      <c r="L165" s="175"/>
      <c r="M165" s="176" t="s">
        <v>1</v>
      </c>
      <c r="N165" s="177" t="s">
        <v>35</v>
      </c>
      <c r="O165" s="58"/>
      <c r="P165" s="163">
        <f t="shared" si="18"/>
        <v>0</v>
      </c>
      <c r="Q165" s="163">
        <v>4.0000000000000003E-5</v>
      </c>
      <c r="R165" s="163">
        <f t="shared" si="19"/>
        <v>7.7519999999999998E-4</v>
      </c>
      <c r="S165" s="163">
        <v>0</v>
      </c>
      <c r="T165" s="164">
        <f t="shared" si="20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5" t="s">
        <v>242</v>
      </c>
      <c r="AT165" s="165" t="s">
        <v>202</v>
      </c>
      <c r="AU165" s="165" t="s">
        <v>82</v>
      </c>
      <c r="AY165" s="14" t="s">
        <v>179</v>
      </c>
      <c r="BE165" s="166">
        <f t="shared" si="21"/>
        <v>0</v>
      </c>
      <c r="BF165" s="166">
        <f t="shared" si="22"/>
        <v>0</v>
      </c>
      <c r="BG165" s="166">
        <f t="shared" si="23"/>
        <v>0</v>
      </c>
      <c r="BH165" s="166">
        <f t="shared" si="24"/>
        <v>0</v>
      </c>
      <c r="BI165" s="166">
        <f t="shared" si="25"/>
        <v>0</v>
      </c>
      <c r="BJ165" s="14" t="s">
        <v>82</v>
      </c>
      <c r="BK165" s="166">
        <f t="shared" si="26"/>
        <v>0</v>
      </c>
      <c r="BL165" s="14" t="s">
        <v>213</v>
      </c>
      <c r="BM165" s="165" t="s">
        <v>290</v>
      </c>
    </row>
    <row r="166" spans="1:65" s="2" customFormat="1" ht="33" customHeight="1">
      <c r="A166" s="29"/>
      <c r="B166" s="152"/>
      <c r="C166" s="167" t="s">
        <v>239</v>
      </c>
      <c r="D166" s="167" t="s">
        <v>202</v>
      </c>
      <c r="E166" s="168" t="s">
        <v>1042</v>
      </c>
      <c r="F166" s="169" t="s">
        <v>1043</v>
      </c>
      <c r="G166" s="170" t="s">
        <v>293</v>
      </c>
      <c r="H166" s="171">
        <v>15.3</v>
      </c>
      <c r="I166" s="172"/>
      <c r="J166" s="151">
        <v>0</v>
      </c>
      <c r="K166" s="174"/>
      <c r="L166" s="175"/>
      <c r="M166" s="176" t="s">
        <v>1</v>
      </c>
      <c r="N166" s="177" t="s">
        <v>35</v>
      </c>
      <c r="O166" s="58"/>
      <c r="P166" s="163">
        <f t="shared" si="18"/>
        <v>0</v>
      </c>
      <c r="Q166" s="163">
        <v>6.0000000000000002E-5</v>
      </c>
      <c r="R166" s="163">
        <f t="shared" si="19"/>
        <v>9.1800000000000009E-4</v>
      </c>
      <c r="S166" s="163">
        <v>0</v>
      </c>
      <c r="T166" s="164">
        <f t="shared" si="20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5" t="s">
        <v>242</v>
      </c>
      <c r="AT166" s="165" t="s">
        <v>202</v>
      </c>
      <c r="AU166" s="165" t="s">
        <v>82</v>
      </c>
      <c r="AY166" s="14" t="s">
        <v>179</v>
      </c>
      <c r="BE166" s="166">
        <f t="shared" si="21"/>
        <v>0</v>
      </c>
      <c r="BF166" s="166">
        <f t="shared" si="22"/>
        <v>0</v>
      </c>
      <c r="BG166" s="166">
        <f t="shared" si="23"/>
        <v>0</v>
      </c>
      <c r="BH166" s="166">
        <f t="shared" si="24"/>
        <v>0</v>
      </c>
      <c r="BI166" s="166">
        <f t="shared" si="25"/>
        <v>0</v>
      </c>
      <c r="BJ166" s="14" t="s">
        <v>82</v>
      </c>
      <c r="BK166" s="166">
        <f t="shared" si="26"/>
        <v>0</v>
      </c>
      <c r="BL166" s="14" t="s">
        <v>213</v>
      </c>
      <c r="BM166" s="165" t="s">
        <v>294</v>
      </c>
    </row>
    <row r="167" spans="1:65" s="2" customFormat="1" ht="33" customHeight="1">
      <c r="A167" s="29"/>
      <c r="B167" s="152"/>
      <c r="C167" s="167" t="s">
        <v>295</v>
      </c>
      <c r="D167" s="167" t="s">
        <v>202</v>
      </c>
      <c r="E167" s="168" t="s">
        <v>1044</v>
      </c>
      <c r="F167" s="169" t="s">
        <v>1045</v>
      </c>
      <c r="G167" s="170" t="s">
        <v>293</v>
      </c>
      <c r="H167" s="171">
        <v>3.06</v>
      </c>
      <c r="I167" s="172"/>
      <c r="J167" s="151">
        <v>0</v>
      </c>
      <c r="K167" s="174"/>
      <c r="L167" s="175"/>
      <c r="M167" s="176" t="s">
        <v>1</v>
      </c>
      <c r="N167" s="177" t="s">
        <v>35</v>
      </c>
      <c r="O167" s="58"/>
      <c r="P167" s="163">
        <f t="shared" si="18"/>
        <v>0</v>
      </c>
      <c r="Q167" s="163">
        <v>1E-4</v>
      </c>
      <c r="R167" s="163">
        <f t="shared" si="19"/>
        <v>3.0600000000000001E-4</v>
      </c>
      <c r="S167" s="163">
        <v>0</v>
      </c>
      <c r="T167" s="164">
        <f t="shared" si="20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5" t="s">
        <v>242</v>
      </c>
      <c r="AT167" s="165" t="s">
        <v>202</v>
      </c>
      <c r="AU167" s="165" t="s">
        <v>82</v>
      </c>
      <c r="AY167" s="14" t="s">
        <v>179</v>
      </c>
      <c r="BE167" s="166">
        <f t="shared" si="21"/>
        <v>0</v>
      </c>
      <c r="BF167" s="166">
        <f t="shared" si="22"/>
        <v>0</v>
      </c>
      <c r="BG167" s="166">
        <f t="shared" si="23"/>
        <v>0</v>
      </c>
      <c r="BH167" s="166">
        <f t="shared" si="24"/>
        <v>0</v>
      </c>
      <c r="BI167" s="166">
        <f t="shared" si="25"/>
        <v>0</v>
      </c>
      <c r="BJ167" s="14" t="s">
        <v>82</v>
      </c>
      <c r="BK167" s="166">
        <f t="shared" si="26"/>
        <v>0</v>
      </c>
      <c r="BL167" s="14" t="s">
        <v>213</v>
      </c>
      <c r="BM167" s="165" t="s">
        <v>298</v>
      </c>
    </row>
    <row r="168" spans="1:65" s="2" customFormat="1" ht="33" customHeight="1">
      <c r="A168" s="29"/>
      <c r="B168" s="152"/>
      <c r="C168" s="167" t="s">
        <v>242</v>
      </c>
      <c r="D168" s="167" t="s">
        <v>202</v>
      </c>
      <c r="E168" s="168" t="s">
        <v>1046</v>
      </c>
      <c r="F168" s="169" t="s">
        <v>1047</v>
      </c>
      <c r="G168" s="170" t="s">
        <v>293</v>
      </c>
      <c r="H168" s="171">
        <v>2.04</v>
      </c>
      <c r="I168" s="172"/>
      <c r="J168" s="151">
        <v>0</v>
      </c>
      <c r="K168" s="174"/>
      <c r="L168" s="175"/>
      <c r="M168" s="176" t="s">
        <v>1</v>
      </c>
      <c r="N168" s="177" t="s">
        <v>35</v>
      </c>
      <c r="O168" s="58"/>
      <c r="P168" s="163">
        <f t="shared" si="18"/>
        <v>0</v>
      </c>
      <c r="Q168" s="163">
        <v>1.8000000000000001E-4</v>
      </c>
      <c r="R168" s="163">
        <f t="shared" si="19"/>
        <v>3.6720000000000004E-4</v>
      </c>
      <c r="S168" s="163">
        <v>0</v>
      </c>
      <c r="T168" s="164">
        <f t="shared" si="20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5" t="s">
        <v>242</v>
      </c>
      <c r="AT168" s="165" t="s">
        <v>202</v>
      </c>
      <c r="AU168" s="165" t="s">
        <v>82</v>
      </c>
      <c r="AY168" s="14" t="s">
        <v>179</v>
      </c>
      <c r="BE168" s="166">
        <f t="shared" si="21"/>
        <v>0</v>
      </c>
      <c r="BF168" s="166">
        <f t="shared" si="22"/>
        <v>0</v>
      </c>
      <c r="BG168" s="166">
        <f t="shared" si="23"/>
        <v>0</v>
      </c>
      <c r="BH168" s="166">
        <f t="shared" si="24"/>
        <v>0</v>
      </c>
      <c r="BI168" s="166">
        <f t="shared" si="25"/>
        <v>0</v>
      </c>
      <c r="BJ168" s="14" t="s">
        <v>82</v>
      </c>
      <c r="BK168" s="166">
        <f t="shared" si="26"/>
        <v>0</v>
      </c>
      <c r="BL168" s="14" t="s">
        <v>213</v>
      </c>
      <c r="BM168" s="165" t="s">
        <v>301</v>
      </c>
    </row>
    <row r="169" spans="1:65" s="2" customFormat="1" ht="24.2" customHeight="1">
      <c r="A169" s="29"/>
      <c r="B169" s="152"/>
      <c r="C169" s="153" t="s">
        <v>302</v>
      </c>
      <c r="D169" s="153" t="s">
        <v>181</v>
      </c>
      <c r="E169" s="154" t="s">
        <v>1048</v>
      </c>
      <c r="F169" s="155" t="s">
        <v>1049</v>
      </c>
      <c r="G169" s="156" t="s">
        <v>293</v>
      </c>
      <c r="H169" s="157">
        <v>4</v>
      </c>
      <c r="I169" s="158"/>
      <c r="J169" s="151">
        <v>0</v>
      </c>
      <c r="K169" s="160"/>
      <c r="L169" s="30"/>
      <c r="M169" s="161" t="s">
        <v>1</v>
      </c>
      <c r="N169" s="162" t="s">
        <v>35</v>
      </c>
      <c r="O169" s="58"/>
      <c r="P169" s="163">
        <f t="shared" si="18"/>
        <v>0</v>
      </c>
      <c r="Q169" s="163">
        <v>2.0000000000000002E-5</v>
      </c>
      <c r="R169" s="163">
        <f t="shared" si="19"/>
        <v>8.0000000000000007E-5</v>
      </c>
      <c r="S169" s="163">
        <v>0</v>
      </c>
      <c r="T169" s="164">
        <f t="shared" si="20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5" t="s">
        <v>213</v>
      </c>
      <c r="AT169" s="165" t="s">
        <v>181</v>
      </c>
      <c r="AU169" s="165" t="s">
        <v>82</v>
      </c>
      <c r="AY169" s="14" t="s">
        <v>179</v>
      </c>
      <c r="BE169" s="166">
        <f t="shared" si="21"/>
        <v>0</v>
      </c>
      <c r="BF169" s="166">
        <f t="shared" si="22"/>
        <v>0</v>
      </c>
      <c r="BG169" s="166">
        <f t="shared" si="23"/>
        <v>0</v>
      </c>
      <c r="BH169" s="166">
        <f t="shared" si="24"/>
        <v>0</v>
      </c>
      <c r="BI169" s="166">
        <f t="shared" si="25"/>
        <v>0</v>
      </c>
      <c r="BJ169" s="14" t="s">
        <v>82</v>
      </c>
      <c r="BK169" s="166">
        <f t="shared" si="26"/>
        <v>0</v>
      </c>
      <c r="BL169" s="14" t="s">
        <v>213</v>
      </c>
      <c r="BM169" s="165" t="s">
        <v>305</v>
      </c>
    </row>
    <row r="170" spans="1:65" s="2" customFormat="1" ht="33" customHeight="1">
      <c r="A170" s="29"/>
      <c r="B170" s="152"/>
      <c r="C170" s="167" t="s">
        <v>246</v>
      </c>
      <c r="D170" s="167" t="s">
        <v>202</v>
      </c>
      <c r="E170" s="168" t="s">
        <v>1050</v>
      </c>
      <c r="F170" s="169" t="s">
        <v>1051</v>
      </c>
      <c r="G170" s="170" t="s">
        <v>293</v>
      </c>
      <c r="H170" s="171">
        <v>4.08</v>
      </c>
      <c r="I170" s="172"/>
      <c r="J170" s="151">
        <v>0</v>
      </c>
      <c r="K170" s="174"/>
      <c r="L170" s="175"/>
      <c r="M170" s="176" t="s">
        <v>1</v>
      </c>
      <c r="N170" s="177" t="s">
        <v>35</v>
      </c>
      <c r="O170" s="58"/>
      <c r="P170" s="163">
        <f t="shared" si="18"/>
        <v>0</v>
      </c>
      <c r="Q170" s="163">
        <v>1.0000000000000001E-5</v>
      </c>
      <c r="R170" s="163">
        <f t="shared" si="19"/>
        <v>4.0800000000000002E-5</v>
      </c>
      <c r="S170" s="163">
        <v>0</v>
      </c>
      <c r="T170" s="164">
        <f t="shared" si="20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5" t="s">
        <v>242</v>
      </c>
      <c r="AT170" s="165" t="s">
        <v>202</v>
      </c>
      <c r="AU170" s="165" t="s">
        <v>82</v>
      </c>
      <c r="AY170" s="14" t="s">
        <v>179</v>
      </c>
      <c r="BE170" s="166">
        <f t="shared" si="21"/>
        <v>0</v>
      </c>
      <c r="BF170" s="166">
        <f t="shared" si="22"/>
        <v>0</v>
      </c>
      <c r="BG170" s="166">
        <f t="shared" si="23"/>
        <v>0</v>
      </c>
      <c r="BH170" s="166">
        <f t="shared" si="24"/>
        <v>0</v>
      </c>
      <c r="BI170" s="166">
        <f t="shared" si="25"/>
        <v>0</v>
      </c>
      <c r="BJ170" s="14" t="s">
        <v>82</v>
      </c>
      <c r="BK170" s="166">
        <f t="shared" si="26"/>
        <v>0</v>
      </c>
      <c r="BL170" s="14" t="s">
        <v>213</v>
      </c>
      <c r="BM170" s="165" t="s">
        <v>308</v>
      </c>
    </row>
    <row r="171" spans="1:65" s="2" customFormat="1" ht="24.2" customHeight="1">
      <c r="A171" s="29"/>
      <c r="B171" s="152"/>
      <c r="C171" s="153" t="s">
        <v>309</v>
      </c>
      <c r="D171" s="153" t="s">
        <v>181</v>
      </c>
      <c r="E171" s="154" t="s">
        <v>1052</v>
      </c>
      <c r="F171" s="155" t="s">
        <v>1053</v>
      </c>
      <c r="G171" s="156" t="s">
        <v>585</v>
      </c>
      <c r="H171" s="178"/>
      <c r="I171" s="158"/>
      <c r="J171" s="151">
        <v>0</v>
      </c>
      <c r="K171" s="160"/>
      <c r="L171" s="30"/>
      <c r="M171" s="161" t="s">
        <v>1</v>
      </c>
      <c r="N171" s="162" t="s">
        <v>35</v>
      </c>
      <c r="O171" s="58"/>
      <c r="P171" s="163">
        <f t="shared" si="18"/>
        <v>0</v>
      </c>
      <c r="Q171" s="163">
        <v>0</v>
      </c>
      <c r="R171" s="163">
        <f t="shared" si="19"/>
        <v>0</v>
      </c>
      <c r="S171" s="163">
        <v>0</v>
      </c>
      <c r="T171" s="164">
        <f t="shared" si="20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5" t="s">
        <v>213</v>
      </c>
      <c r="AT171" s="165" t="s">
        <v>181</v>
      </c>
      <c r="AU171" s="165" t="s">
        <v>82</v>
      </c>
      <c r="AY171" s="14" t="s">
        <v>179</v>
      </c>
      <c r="BE171" s="166">
        <f t="shared" si="21"/>
        <v>0</v>
      </c>
      <c r="BF171" s="166">
        <f t="shared" si="22"/>
        <v>0</v>
      </c>
      <c r="BG171" s="166">
        <f t="shared" si="23"/>
        <v>0</v>
      </c>
      <c r="BH171" s="166">
        <f t="shared" si="24"/>
        <v>0</v>
      </c>
      <c r="BI171" s="166">
        <f t="shared" si="25"/>
        <v>0</v>
      </c>
      <c r="BJ171" s="14" t="s">
        <v>82</v>
      </c>
      <c r="BK171" s="166">
        <f t="shared" si="26"/>
        <v>0</v>
      </c>
      <c r="BL171" s="14" t="s">
        <v>213</v>
      </c>
      <c r="BM171" s="165" t="s">
        <v>312</v>
      </c>
    </row>
    <row r="172" spans="1:65" s="2" customFormat="1" ht="24.2" customHeight="1">
      <c r="A172" s="29"/>
      <c r="B172" s="152"/>
      <c r="C172" s="153" t="s">
        <v>250</v>
      </c>
      <c r="D172" s="153" t="s">
        <v>181</v>
      </c>
      <c r="E172" s="154" t="s">
        <v>1054</v>
      </c>
      <c r="F172" s="155" t="s">
        <v>1055</v>
      </c>
      <c r="G172" s="156" t="s">
        <v>585</v>
      </c>
      <c r="H172" s="178"/>
      <c r="I172" s="158"/>
      <c r="J172" s="151">
        <v>0</v>
      </c>
      <c r="K172" s="160"/>
      <c r="L172" s="30"/>
      <c r="M172" s="161" t="s">
        <v>1</v>
      </c>
      <c r="N172" s="162" t="s">
        <v>35</v>
      </c>
      <c r="O172" s="58"/>
      <c r="P172" s="163">
        <f t="shared" si="18"/>
        <v>0</v>
      </c>
      <c r="Q172" s="163">
        <v>0</v>
      </c>
      <c r="R172" s="163">
        <f t="shared" si="19"/>
        <v>0</v>
      </c>
      <c r="S172" s="163">
        <v>0</v>
      </c>
      <c r="T172" s="164">
        <f t="shared" si="20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5" t="s">
        <v>213</v>
      </c>
      <c r="AT172" s="165" t="s">
        <v>181</v>
      </c>
      <c r="AU172" s="165" t="s">
        <v>82</v>
      </c>
      <c r="AY172" s="14" t="s">
        <v>179</v>
      </c>
      <c r="BE172" s="166">
        <f t="shared" si="21"/>
        <v>0</v>
      </c>
      <c r="BF172" s="166">
        <f t="shared" si="22"/>
        <v>0</v>
      </c>
      <c r="BG172" s="166">
        <f t="shared" si="23"/>
        <v>0</v>
      </c>
      <c r="BH172" s="166">
        <f t="shared" si="24"/>
        <v>0</v>
      </c>
      <c r="BI172" s="166">
        <f t="shared" si="25"/>
        <v>0</v>
      </c>
      <c r="BJ172" s="14" t="s">
        <v>82</v>
      </c>
      <c r="BK172" s="166">
        <f t="shared" si="26"/>
        <v>0</v>
      </c>
      <c r="BL172" s="14" t="s">
        <v>213</v>
      </c>
      <c r="BM172" s="165" t="s">
        <v>315</v>
      </c>
    </row>
    <row r="173" spans="1:65" s="12" customFormat="1" ht="22.9" customHeight="1">
      <c r="B173" s="139"/>
      <c r="D173" s="140" t="s">
        <v>68</v>
      </c>
      <c r="E173" s="150" t="s">
        <v>1056</v>
      </c>
      <c r="F173" s="150" t="s">
        <v>1057</v>
      </c>
      <c r="I173" s="142"/>
      <c r="J173" s="151">
        <v>0</v>
      </c>
      <c r="L173" s="139"/>
      <c r="M173" s="144"/>
      <c r="N173" s="145"/>
      <c r="O173" s="145"/>
      <c r="P173" s="146">
        <f>SUM(P174:P203)</f>
        <v>0</v>
      </c>
      <c r="Q173" s="145"/>
      <c r="R173" s="146">
        <f>SUM(R174:R203)</f>
        <v>4.6190000000000016E-2</v>
      </c>
      <c r="S173" s="145"/>
      <c r="T173" s="147">
        <f>SUM(T174:T203)</f>
        <v>0</v>
      </c>
      <c r="AR173" s="140" t="s">
        <v>82</v>
      </c>
      <c r="AT173" s="148" t="s">
        <v>68</v>
      </c>
      <c r="AU173" s="148" t="s">
        <v>76</v>
      </c>
      <c r="AY173" s="140" t="s">
        <v>179</v>
      </c>
      <c r="BK173" s="149">
        <f>SUM(BK174:BK203)</f>
        <v>0</v>
      </c>
    </row>
    <row r="174" spans="1:65" s="2" customFormat="1" ht="24.2" customHeight="1">
      <c r="A174" s="29"/>
      <c r="B174" s="152"/>
      <c r="C174" s="153" t="s">
        <v>316</v>
      </c>
      <c r="D174" s="153" t="s">
        <v>181</v>
      </c>
      <c r="E174" s="154" t="s">
        <v>1058</v>
      </c>
      <c r="F174" s="155" t="s">
        <v>1059</v>
      </c>
      <c r="G174" s="156" t="s">
        <v>293</v>
      </c>
      <c r="H174" s="157">
        <v>4</v>
      </c>
      <c r="I174" s="158"/>
      <c r="J174" s="151">
        <v>0</v>
      </c>
      <c r="K174" s="160"/>
      <c r="L174" s="30"/>
      <c r="M174" s="161" t="s">
        <v>1</v>
      </c>
      <c r="N174" s="162" t="s">
        <v>35</v>
      </c>
      <c r="O174" s="58"/>
      <c r="P174" s="163">
        <f t="shared" ref="P174:P203" si="27">O174*H174</f>
        <v>0</v>
      </c>
      <c r="Q174" s="163">
        <v>0</v>
      </c>
      <c r="R174" s="163">
        <f t="shared" ref="R174:R203" si="28">Q174*H174</f>
        <v>0</v>
      </c>
      <c r="S174" s="163">
        <v>0</v>
      </c>
      <c r="T174" s="164">
        <f t="shared" ref="T174:T203" si="29">S174*H174</f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5" t="s">
        <v>213</v>
      </c>
      <c r="AT174" s="165" t="s">
        <v>181</v>
      </c>
      <c r="AU174" s="165" t="s">
        <v>82</v>
      </c>
      <c r="AY174" s="14" t="s">
        <v>179</v>
      </c>
      <c r="BE174" s="166">
        <f t="shared" ref="BE174:BE203" si="30">IF(N174="základná",J174,0)</f>
        <v>0</v>
      </c>
      <c r="BF174" s="166">
        <f t="shared" ref="BF174:BF203" si="31">IF(N174="znížená",J174,0)</f>
        <v>0</v>
      </c>
      <c r="BG174" s="166">
        <f t="shared" ref="BG174:BG203" si="32">IF(N174="zákl. prenesená",J174,0)</f>
        <v>0</v>
      </c>
      <c r="BH174" s="166">
        <f t="shared" ref="BH174:BH203" si="33">IF(N174="zníž. prenesená",J174,0)</f>
        <v>0</v>
      </c>
      <c r="BI174" s="166">
        <f t="shared" ref="BI174:BI203" si="34">IF(N174="nulová",J174,0)</f>
        <v>0</v>
      </c>
      <c r="BJ174" s="14" t="s">
        <v>82</v>
      </c>
      <c r="BK174" s="166">
        <f t="shared" ref="BK174:BK203" si="35">ROUND(I174*H174,2)</f>
        <v>0</v>
      </c>
      <c r="BL174" s="14" t="s">
        <v>213</v>
      </c>
      <c r="BM174" s="165" t="s">
        <v>319</v>
      </c>
    </row>
    <row r="175" spans="1:65" s="2" customFormat="1" ht="33" customHeight="1">
      <c r="A175" s="29"/>
      <c r="B175" s="152"/>
      <c r="C175" s="153" t="s">
        <v>254</v>
      </c>
      <c r="D175" s="153" t="s">
        <v>181</v>
      </c>
      <c r="E175" s="154" t="s">
        <v>1060</v>
      </c>
      <c r="F175" s="155" t="s">
        <v>1061</v>
      </c>
      <c r="G175" s="156" t="s">
        <v>293</v>
      </c>
      <c r="H175" s="157">
        <v>1</v>
      </c>
      <c r="I175" s="158"/>
      <c r="J175" s="151">
        <v>0</v>
      </c>
      <c r="K175" s="160"/>
      <c r="L175" s="30"/>
      <c r="M175" s="161" t="s">
        <v>1</v>
      </c>
      <c r="N175" s="162" t="s">
        <v>35</v>
      </c>
      <c r="O175" s="58"/>
      <c r="P175" s="163">
        <f t="shared" si="27"/>
        <v>0</v>
      </c>
      <c r="Q175" s="163">
        <v>0</v>
      </c>
      <c r="R175" s="163">
        <f t="shared" si="28"/>
        <v>0</v>
      </c>
      <c r="S175" s="163">
        <v>0</v>
      </c>
      <c r="T175" s="164">
        <f t="shared" si="29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5" t="s">
        <v>213</v>
      </c>
      <c r="AT175" s="165" t="s">
        <v>181</v>
      </c>
      <c r="AU175" s="165" t="s">
        <v>82</v>
      </c>
      <c r="AY175" s="14" t="s">
        <v>179</v>
      </c>
      <c r="BE175" s="166">
        <f t="shared" si="30"/>
        <v>0</v>
      </c>
      <c r="BF175" s="166">
        <f t="shared" si="31"/>
        <v>0</v>
      </c>
      <c r="BG175" s="166">
        <f t="shared" si="32"/>
        <v>0</v>
      </c>
      <c r="BH175" s="166">
        <f t="shared" si="33"/>
        <v>0</v>
      </c>
      <c r="BI175" s="166">
        <f t="shared" si="34"/>
        <v>0</v>
      </c>
      <c r="BJ175" s="14" t="s">
        <v>82</v>
      </c>
      <c r="BK175" s="166">
        <f t="shared" si="35"/>
        <v>0</v>
      </c>
      <c r="BL175" s="14" t="s">
        <v>213</v>
      </c>
      <c r="BM175" s="165" t="s">
        <v>322</v>
      </c>
    </row>
    <row r="176" spans="1:65" s="2" customFormat="1" ht="24.2" customHeight="1">
      <c r="A176" s="29"/>
      <c r="B176" s="152"/>
      <c r="C176" s="153" t="s">
        <v>323</v>
      </c>
      <c r="D176" s="153" t="s">
        <v>181</v>
      </c>
      <c r="E176" s="154" t="s">
        <v>1062</v>
      </c>
      <c r="F176" s="155" t="s">
        <v>1063</v>
      </c>
      <c r="G176" s="156" t="s">
        <v>293</v>
      </c>
      <c r="H176" s="157">
        <v>3</v>
      </c>
      <c r="I176" s="158"/>
      <c r="J176" s="151">
        <v>0</v>
      </c>
      <c r="K176" s="160"/>
      <c r="L176" s="30"/>
      <c r="M176" s="161" t="s">
        <v>1</v>
      </c>
      <c r="N176" s="162" t="s">
        <v>35</v>
      </c>
      <c r="O176" s="58"/>
      <c r="P176" s="163">
        <f t="shared" si="27"/>
        <v>0</v>
      </c>
      <c r="Q176" s="163">
        <v>0</v>
      </c>
      <c r="R176" s="163">
        <f t="shared" si="28"/>
        <v>0</v>
      </c>
      <c r="S176" s="163">
        <v>0</v>
      </c>
      <c r="T176" s="164">
        <f t="shared" si="29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5" t="s">
        <v>213</v>
      </c>
      <c r="AT176" s="165" t="s">
        <v>181</v>
      </c>
      <c r="AU176" s="165" t="s">
        <v>82</v>
      </c>
      <c r="AY176" s="14" t="s">
        <v>179</v>
      </c>
      <c r="BE176" s="166">
        <f t="shared" si="30"/>
        <v>0</v>
      </c>
      <c r="BF176" s="166">
        <f t="shared" si="31"/>
        <v>0</v>
      </c>
      <c r="BG176" s="166">
        <f t="shared" si="32"/>
        <v>0</v>
      </c>
      <c r="BH176" s="166">
        <f t="shared" si="33"/>
        <v>0</v>
      </c>
      <c r="BI176" s="166">
        <f t="shared" si="34"/>
        <v>0</v>
      </c>
      <c r="BJ176" s="14" t="s">
        <v>82</v>
      </c>
      <c r="BK176" s="166">
        <f t="shared" si="35"/>
        <v>0</v>
      </c>
      <c r="BL176" s="14" t="s">
        <v>213</v>
      </c>
      <c r="BM176" s="165" t="s">
        <v>326</v>
      </c>
    </row>
    <row r="177" spans="1:65" s="2" customFormat="1" ht="24.2" customHeight="1">
      <c r="A177" s="29"/>
      <c r="B177" s="152"/>
      <c r="C177" s="153" t="s">
        <v>257</v>
      </c>
      <c r="D177" s="153" t="s">
        <v>181</v>
      </c>
      <c r="E177" s="154" t="s">
        <v>1064</v>
      </c>
      <c r="F177" s="155" t="s">
        <v>1065</v>
      </c>
      <c r="G177" s="156" t="s">
        <v>217</v>
      </c>
      <c r="H177" s="157">
        <v>4</v>
      </c>
      <c r="I177" s="158"/>
      <c r="J177" s="151">
        <v>0</v>
      </c>
      <c r="K177" s="160"/>
      <c r="L177" s="30"/>
      <c r="M177" s="161" t="s">
        <v>1</v>
      </c>
      <c r="N177" s="162" t="s">
        <v>35</v>
      </c>
      <c r="O177" s="58"/>
      <c r="P177" s="163">
        <f t="shared" si="27"/>
        <v>0</v>
      </c>
      <c r="Q177" s="163">
        <v>0</v>
      </c>
      <c r="R177" s="163">
        <f t="shared" si="28"/>
        <v>0</v>
      </c>
      <c r="S177" s="163">
        <v>0</v>
      </c>
      <c r="T177" s="164">
        <f t="shared" si="29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5" t="s">
        <v>213</v>
      </c>
      <c r="AT177" s="165" t="s">
        <v>181</v>
      </c>
      <c r="AU177" s="165" t="s">
        <v>82</v>
      </c>
      <c r="AY177" s="14" t="s">
        <v>179</v>
      </c>
      <c r="BE177" s="166">
        <f t="shared" si="30"/>
        <v>0</v>
      </c>
      <c r="BF177" s="166">
        <f t="shared" si="31"/>
        <v>0</v>
      </c>
      <c r="BG177" s="166">
        <f t="shared" si="32"/>
        <v>0</v>
      </c>
      <c r="BH177" s="166">
        <f t="shared" si="33"/>
        <v>0</v>
      </c>
      <c r="BI177" s="166">
        <f t="shared" si="34"/>
        <v>0</v>
      </c>
      <c r="BJ177" s="14" t="s">
        <v>82</v>
      </c>
      <c r="BK177" s="166">
        <f t="shared" si="35"/>
        <v>0</v>
      </c>
      <c r="BL177" s="14" t="s">
        <v>213</v>
      </c>
      <c r="BM177" s="165" t="s">
        <v>329</v>
      </c>
    </row>
    <row r="178" spans="1:65" s="2" customFormat="1" ht="21.75" customHeight="1">
      <c r="A178" s="29"/>
      <c r="B178" s="152"/>
      <c r="C178" s="153" t="s">
        <v>330</v>
      </c>
      <c r="D178" s="153" t="s">
        <v>181</v>
      </c>
      <c r="E178" s="154" t="s">
        <v>1066</v>
      </c>
      <c r="F178" s="155" t="s">
        <v>1067</v>
      </c>
      <c r="G178" s="156" t="s">
        <v>217</v>
      </c>
      <c r="H178" s="157">
        <v>3</v>
      </c>
      <c r="I178" s="158"/>
      <c r="J178" s="151">
        <v>0</v>
      </c>
      <c r="K178" s="160"/>
      <c r="L178" s="30"/>
      <c r="M178" s="161" t="s">
        <v>1</v>
      </c>
      <c r="N178" s="162" t="s">
        <v>35</v>
      </c>
      <c r="O178" s="58"/>
      <c r="P178" s="163">
        <f t="shared" si="27"/>
        <v>0</v>
      </c>
      <c r="Q178" s="163">
        <v>0</v>
      </c>
      <c r="R178" s="163">
        <f t="shared" si="28"/>
        <v>0</v>
      </c>
      <c r="S178" s="163">
        <v>0</v>
      </c>
      <c r="T178" s="164">
        <f t="shared" si="29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5" t="s">
        <v>213</v>
      </c>
      <c r="AT178" s="165" t="s">
        <v>181</v>
      </c>
      <c r="AU178" s="165" t="s">
        <v>82</v>
      </c>
      <c r="AY178" s="14" t="s">
        <v>179</v>
      </c>
      <c r="BE178" s="166">
        <f t="shared" si="30"/>
        <v>0</v>
      </c>
      <c r="BF178" s="166">
        <f t="shared" si="31"/>
        <v>0</v>
      </c>
      <c r="BG178" s="166">
        <f t="shared" si="32"/>
        <v>0</v>
      </c>
      <c r="BH178" s="166">
        <f t="shared" si="33"/>
        <v>0</v>
      </c>
      <c r="BI178" s="166">
        <f t="shared" si="34"/>
        <v>0</v>
      </c>
      <c r="BJ178" s="14" t="s">
        <v>82</v>
      </c>
      <c r="BK178" s="166">
        <f t="shared" si="35"/>
        <v>0</v>
      </c>
      <c r="BL178" s="14" t="s">
        <v>213</v>
      </c>
      <c r="BM178" s="165" t="s">
        <v>333</v>
      </c>
    </row>
    <row r="179" spans="1:65" s="2" customFormat="1" ht="33" customHeight="1">
      <c r="A179" s="29"/>
      <c r="B179" s="152"/>
      <c r="C179" s="153" t="s">
        <v>261</v>
      </c>
      <c r="D179" s="153" t="s">
        <v>181</v>
      </c>
      <c r="E179" s="154" t="s">
        <v>1068</v>
      </c>
      <c r="F179" s="155" t="s">
        <v>1069</v>
      </c>
      <c r="G179" s="156" t="s">
        <v>191</v>
      </c>
      <c r="H179" s="157">
        <v>0.223</v>
      </c>
      <c r="I179" s="158"/>
      <c r="J179" s="151">
        <v>0</v>
      </c>
      <c r="K179" s="160"/>
      <c r="L179" s="30"/>
      <c r="M179" s="161" t="s">
        <v>1</v>
      </c>
      <c r="N179" s="162" t="s">
        <v>35</v>
      </c>
      <c r="O179" s="58"/>
      <c r="P179" s="163">
        <f t="shared" si="27"/>
        <v>0</v>
      </c>
      <c r="Q179" s="163">
        <v>0</v>
      </c>
      <c r="R179" s="163">
        <f t="shared" si="28"/>
        <v>0</v>
      </c>
      <c r="S179" s="163">
        <v>0</v>
      </c>
      <c r="T179" s="164">
        <f t="shared" si="29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5" t="s">
        <v>213</v>
      </c>
      <c r="AT179" s="165" t="s">
        <v>181</v>
      </c>
      <c r="AU179" s="165" t="s">
        <v>82</v>
      </c>
      <c r="AY179" s="14" t="s">
        <v>179</v>
      </c>
      <c r="BE179" s="166">
        <f t="shared" si="30"/>
        <v>0</v>
      </c>
      <c r="BF179" s="166">
        <f t="shared" si="31"/>
        <v>0</v>
      </c>
      <c r="BG179" s="166">
        <f t="shared" si="32"/>
        <v>0</v>
      </c>
      <c r="BH179" s="166">
        <f t="shared" si="33"/>
        <v>0</v>
      </c>
      <c r="BI179" s="166">
        <f t="shared" si="34"/>
        <v>0</v>
      </c>
      <c r="BJ179" s="14" t="s">
        <v>82</v>
      </c>
      <c r="BK179" s="166">
        <f t="shared" si="35"/>
        <v>0</v>
      </c>
      <c r="BL179" s="14" t="s">
        <v>213</v>
      </c>
      <c r="BM179" s="165" t="s">
        <v>336</v>
      </c>
    </row>
    <row r="180" spans="1:65" s="2" customFormat="1" ht="24.2" customHeight="1">
      <c r="A180" s="29"/>
      <c r="B180" s="152"/>
      <c r="C180" s="153" t="s">
        <v>337</v>
      </c>
      <c r="D180" s="153" t="s">
        <v>181</v>
      </c>
      <c r="E180" s="154" t="s">
        <v>1070</v>
      </c>
      <c r="F180" s="155" t="s">
        <v>1071</v>
      </c>
      <c r="G180" s="156" t="s">
        <v>217</v>
      </c>
      <c r="H180" s="157">
        <v>2</v>
      </c>
      <c r="I180" s="158"/>
      <c r="J180" s="151">
        <v>0</v>
      </c>
      <c r="K180" s="160"/>
      <c r="L180" s="30"/>
      <c r="M180" s="161" t="s">
        <v>1</v>
      </c>
      <c r="N180" s="162" t="s">
        <v>35</v>
      </c>
      <c r="O180" s="58"/>
      <c r="P180" s="163">
        <f t="shared" si="27"/>
        <v>0</v>
      </c>
      <c r="Q180" s="163">
        <v>1.4400000000000001E-3</v>
      </c>
      <c r="R180" s="163">
        <f t="shared" si="28"/>
        <v>2.8800000000000002E-3</v>
      </c>
      <c r="S180" s="163">
        <v>0</v>
      </c>
      <c r="T180" s="164">
        <f t="shared" si="29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5" t="s">
        <v>213</v>
      </c>
      <c r="AT180" s="165" t="s">
        <v>181</v>
      </c>
      <c r="AU180" s="165" t="s">
        <v>82</v>
      </c>
      <c r="AY180" s="14" t="s">
        <v>179</v>
      </c>
      <c r="BE180" s="166">
        <f t="shared" si="30"/>
        <v>0</v>
      </c>
      <c r="BF180" s="166">
        <f t="shared" si="31"/>
        <v>0</v>
      </c>
      <c r="BG180" s="166">
        <f t="shared" si="32"/>
        <v>0</v>
      </c>
      <c r="BH180" s="166">
        <f t="shared" si="33"/>
        <v>0</v>
      </c>
      <c r="BI180" s="166">
        <f t="shared" si="34"/>
        <v>0</v>
      </c>
      <c r="BJ180" s="14" t="s">
        <v>82</v>
      </c>
      <c r="BK180" s="166">
        <f t="shared" si="35"/>
        <v>0</v>
      </c>
      <c r="BL180" s="14" t="s">
        <v>213</v>
      </c>
      <c r="BM180" s="165" t="s">
        <v>340</v>
      </c>
    </row>
    <row r="181" spans="1:65" s="2" customFormat="1" ht="24.2" customHeight="1">
      <c r="A181" s="29"/>
      <c r="B181" s="152"/>
      <c r="C181" s="153" t="s">
        <v>265</v>
      </c>
      <c r="D181" s="153" t="s">
        <v>181</v>
      </c>
      <c r="E181" s="154" t="s">
        <v>1072</v>
      </c>
      <c r="F181" s="155" t="s">
        <v>1073</v>
      </c>
      <c r="G181" s="156" t="s">
        <v>217</v>
      </c>
      <c r="H181" s="157">
        <v>1</v>
      </c>
      <c r="I181" s="158"/>
      <c r="J181" s="151">
        <v>0</v>
      </c>
      <c r="K181" s="160"/>
      <c r="L181" s="30"/>
      <c r="M181" s="161" t="s">
        <v>1</v>
      </c>
      <c r="N181" s="162" t="s">
        <v>35</v>
      </c>
      <c r="O181" s="58"/>
      <c r="P181" s="163">
        <f t="shared" si="27"/>
        <v>0</v>
      </c>
      <c r="Q181" s="163">
        <v>1.58E-3</v>
      </c>
      <c r="R181" s="163">
        <f t="shared" si="28"/>
        <v>1.58E-3</v>
      </c>
      <c r="S181" s="163">
        <v>0</v>
      </c>
      <c r="T181" s="164">
        <f t="shared" si="29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5" t="s">
        <v>213</v>
      </c>
      <c r="AT181" s="165" t="s">
        <v>181</v>
      </c>
      <c r="AU181" s="165" t="s">
        <v>82</v>
      </c>
      <c r="AY181" s="14" t="s">
        <v>179</v>
      </c>
      <c r="BE181" s="166">
        <f t="shared" si="30"/>
        <v>0</v>
      </c>
      <c r="BF181" s="166">
        <f t="shared" si="31"/>
        <v>0</v>
      </c>
      <c r="BG181" s="166">
        <f t="shared" si="32"/>
        <v>0</v>
      </c>
      <c r="BH181" s="166">
        <f t="shared" si="33"/>
        <v>0</v>
      </c>
      <c r="BI181" s="166">
        <f t="shared" si="34"/>
        <v>0</v>
      </c>
      <c r="BJ181" s="14" t="s">
        <v>82</v>
      </c>
      <c r="BK181" s="166">
        <f t="shared" si="35"/>
        <v>0</v>
      </c>
      <c r="BL181" s="14" t="s">
        <v>213</v>
      </c>
      <c r="BM181" s="165" t="s">
        <v>343</v>
      </c>
    </row>
    <row r="182" spans="1:65" s="2" customFormat="1" ht="24.2" customHeight="1">
      <c r="A182" s="29"/>
      <c r="B182" s="152"/>
      <c r="C182" s="153" t="s">
        <v>344</v>
      </c>
      <c r="D182" s="153" t="s">
        <v>181</v>
      </c>
      <c r="E182" s="154" t="s">
        <v>1074</v>
      </c>
      <c r="F182" s="155" t="s">
        <v>1075</v>
      </c>
      <c r="G182" s="156" t="s">
        <v>217</v>
      </c>
      <c r="H182" s="157">
        <v>1</v>
      </c>
      <c r="I182" s="158"/>
      <c r="J182" s="151">
        <v>0</v>
      </c>
      <c r="K182" s="160"/>
      <c r="L182" s="30"/>
      <c r="M182" s="161" t="s">
        <v>1</v>
      </c>
      <c r="N182" s="162" t="s">
        <v>35</v>
      </c>
      <c r="O182" s="58"/>
      <c r="P182" s="163">
        <f t="shared" si="27"/>
        <v>0</v>
      </c>
      <c r="Q182" s="163">
        <v>0</v>
      </c>
      <c r="R182" s="163">
        <f t="shared" si="28"/>
        <v>0</v>
      </c>
      <c r="S182" s="163">
        <v>0</v>
      </c>
      <c r="T182" s="164">
        <f t="shared" si="29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65" t="s">
        <v>213</v>
      </c>
      <c r="AT182" s="165" t="s">
        <v>181</v>
      </c>
      <c r="AU182" s="165" t="s">
        <v>82</v>
      </c>
      <c r="AY182" s="14" t="s">
        <v>179</v>
      </c>
      <c r="BE182" s="166">
        <f t="shared" si="30"/>
        <v>0</v>
      </c>
      <c r="BF182" s="166">
        <f t="shared" si="31"/>
        <v>0</v>
      </c>
      <c r="BG182" s="166">
        <f t="shared" si="32"/>
        <v>0</v>
      </c>
      <c r="BH182" s="166">
        <f t="shared" si="33"/>
        <v>0</v>
      </c>
      <c r="BI182" s="166">
        <f t="shared" si="34"/>
        <v>0</v>
      </c>
      <c r="BJ182" s="14" t="s">
        <v>82</v>
      </c>
      <c r="BK182" s="166">
        <f t="shared" si="35"/>
        <v>0</v>
      </c>
      <c r="BL182" s="14" t="s">
        <v>213</v>
      </c>
      <c r="BM182" s="165" t="s">
        <v>354</v>
      </c>
    </row>
    <row r="183" spans="1:65" s="2" customFormat="1" ht="24.2" customHeight="1">
      <c r="A183" s="29"/>
      <c r="B183" s="152"/>
      <c r="C183" s="153" t="s">
        <v>268</v>
      </c>
      <c r="D183" s="153" t="s">
        <v>181</v>
      </c>
      <c r="E183" s="154" t="s">
        <v>1076</v>
      </c>
      <c r="F183" s="155" t="s">
        <v>1077</v>
      </c>
      <c r="G183" s="156" t="s">
        <v>217</v>
      </c>
      <c r="H183" s="157">
        <v>52</v>
      </c>
      <c r="I183" s="158"/>
      <c r="J183" s="151">
        <v>0</v>
      </c>
      <c r="K183" s="160"/>
      <c r="L183" s="30"/>
      <c r="M183" s="161" t="s">
        <v>1</v>
      </c>
      <c r="N183" s="162" t="s">
        <v>35</v>
      </c>
      <c r="O183" s="58"/>
      <c r="P183" s="163">
        <f t="shared" si="27"/>
        <v>0</v>
      </c>
      <c r="Q183" s="163">
        <v>0</v>
      </c>
      <c r="R183" s="163">
        <f t="shared" si="28"/>
        <v>0</v>
      </c>
      <c r="S183" s="163">
        <v>0</v>
      </c>
      <c r="T183" s="164">
        <f t="shared" si="29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5" t="s">
        <v>213</v>
      </c>
      <c r="AT183" s="165" t="s">
        <v>181</v>
      </c>
      <c r="AU183" s="165" t="s">
        <v>82</v>
      </c>
      <c r="AY183" s="14" t="s">
        <v>179</v>
      </c>
      <c r="BE183" s="166">
        <f t="shared" si="30"/>
        <v>0</v>
      </c>
      <c r="BF183" s="166">
        <f t="shared" si="31"/>
        <v>0</v>
      </c>
      <c r="BG183" s="166">
        <f t="shared" si="32"/>
        <v>0</v>
      </c>
      <c r="BH183" s="166">
        <f t="shared" si="33"/>
        <v>0</v>
      </c>
      <c r="BI183" s="166">
        <f t="shared" si="34"/>
        <v>0</v>
      </c>
      <c r="BJ183" s="14" t="s">
        <v>82</v>
      </c>
      <c r="BK183" s="166">
        <f t="shared" si="35"/>
        <v>0</v>
      </c>
      <c r="BL183" s="14" t="s">
        <v>213</v>
      </c>
      <c r="BM183" s="165" t="s">
        <v>357</v>
      </c>
    </row>
    <row r="184" spans="1:65" s="2" customFormat="1" ht="16.5" customHeight="1">
      <c r="A184" s="29"/>
      <c r="B184" s="152"/>
      <c r="C184" s="153" t="s">
        <v>351</v>
      </c>
      <c r="D184" s="153" t="s">
        <v>181</v>
      </c>
      <c r="E184" s="154" t="s">
        <v>1078</v>
      </c>
      <c r="F184" s="155" t="s">
        <v>1079</v>
      </c>
      <c r="G184" s="156" t="s">
        <v>293</v>
      </c>
      <c r="H184" s="157">
        <v>110</v>
      </c>
      <c r="I184" s="158"/>
      <c r="J184" s="151">
        <v>0</v>
      </c>
      <c r="K184" s="160"/>
      <c r="L184" s="30"/>
      <c r="M184" s="161" t="s">
        <v>1</v>
      </c>
      <c r="N184" s="162" t="s">
        <v>35</v>
      </c>
      <c r="O184" s="58"/>
      <c r="P184" s="163">
        <f t="shared" si="27"/>
        <v>0</v>
      </c>
      <c r="Q184" s="163">
        <v>0</v>
      </c>
      <c r="R184" s="163">
        <f t="shared" si="28"/>
        <v>0</v>
      </c>
      <c r="S184" s="163">
        <v>0</v>
      </c>
      <c r="T184" s="164">
        <f t="shared" si="29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5" t="s">
        <v>213</v>
      </c>
      <c r="AT184" s="165" t="s">
        <v>181</v>
      </c>
      <c r="AU184" s="165" t="s">
        <v>82</v>
      </c>
      <c r="AY184" s="14" t="s">
        <v>179</v>
      </c>
      <c r="BE184" s="166">
        <f t="shared" si="30"/>
        <v>0</v>
      </c>
      <c r="BF184" s="166">
        <f t="shared" si="31"/>
        <v>0</v>
      </c>
      <c r="BG184" s="166">
        <f t="shared" si="32"/>
        <v>0</v>
      </c>
      <c r="BH184" s="166">
        <f t="shared" si="33"/>
        <v>0</v>
      </c>
      <c r="BI184" s="166">
        <f t="shared" si="34"/>
        <v>0</v>
      </c>
      <c r="BJ184" s="14" t="s">
        <v>82</v>
      </c>
      <c r="BK184" s="166">
        <f t="shared" si="35"/>
        <v>0</v>
      </c>
      <c r="BL184" s="14" t="s">
        <v>213</v>
      </c>
      <c r="BM184" s="165" t="s">
        <v>361</v>
      </c>
    </row>
    <row r="185" spans="1:65" s="2" customFormat="1" ht="24.2" customHeight="1">
      <c r="A185" s="29"/>
      <c r="B185" s="152"/>
      <c r="C185" s="153" t="s">
        <v>271</v>
      </c>
      <c r="D185" s="153" t="s">
        <v>181</v>
      </c>
      <c r="E185" s="154" t="s">
        <v>1080</v>
      </c>
      <c r="F185" s="155" t="s">
        <v>1081</v>
      </c>
      <c r="G185" s="156" t="s">
        <v>293</v>
      </c>
      <c r="H185" s="157">
        <v>14.5</v>
      </c>
      <c r="I185" s="158"/>
      <c r="J185" s="151">
        <v>0</v>
      </c>
      <c r="K185" s="160"/>
      <c r="L185" s="30"/>
      <c r="M185" s="161" t="s">
        <v>1</v>
      </c>
      <c r="N185" s="162" t="s">
        <v>35</v>
      </c>
      <c r="O185" s="58"/>
      <c r="P185" s="163">
        <f t="shared" si="27"/>
        <v>0</v>
      </c>
      <c r="Q185" s="163">
        <v>1.57E-3</v>
      </c>
      <c r="R185" s="163">
        <f t="shared" si="28"/>
        <v>2.2765000000000001E-2</v>
      </c>
      <c r="S185" s="163">
        <v>0</v>
      </c>
      <c r="T185" s="164">
        <f t="shared" si="29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5" t="s">
        <v>213</v>
      </c>
      <c r="AT185" s="165" t="s">
        <v>181</v>
      </c>
      <c r="AU185" s="165" t="s">
        <v>82</v>
      </c>
      <c r="AY185" s="14" t="s">
        <v>179</v>
      </c>
      <c r="BE185" s="166">
        <f t="shared" si="30"/>
        <v>0</v>
      </c>
      <c r="BF185" s="166">
        <f t="shared" si="31"/>
        <v>0</v>
      </c>
      <c r="BG185" s="166">
        <f t="shared" si="32"/>
        <v>0</v>
      </c>
      <c r="BH185" s="166">
        <f t="shared" si="33"/>
        <v>0</v>
      </c>
      <c r="BI185" s="166">
        <f t="shared" si="34"/>
        <v>0</v>
      </c>
      <c r="BJ185" s="14" t="s">
        <v>82</v>
      </c>
      <c r="BK185" s="166">
        <f t="shared" si="35"/>
        <v>0</v>
      </c>
      <c r="BL185" s="14" t="s">
        <v>213</v>
      </c>
      <c r="BM185" s="165" t="s">
        <v>364</v>
      </c>
    </row>
    <row r="186" spans="1:65" s="2" customFormat="1" ht="16.5" customHeight="1">
      <c r="A186" s="29"/>
      <c r="B186" s="152"/>
      <c r="C186" s="153" t="s">
        <v>358</v>
      </c>
      <c r="D186" s="153" t="s">
        <v>181</v>
      </c>
      <c r="E186" s="154" t="s">
        <v>1082</v>
      </c>
      <c r="F186" s="155" t="s">
        <v>1083</v>
      </c>
      <c r="G186" s="156" t="s">
        <v>293</v>
      </c>
      <c r="H186" s="157">
        <v>5</v>
      </c>
      <c r="I186" s="158"/>
      <c r="J186" s="151">
        <v>0</v>
      </c>
      <c r="K186" s="160"/>
      <c r="L186" s="30"/>
      <c r="M186" s="161" t="s">
        <v>1</v>
      </c>
      <c r="N186" s="162" t="s">
        <v>35</v>
      </c>
      <c r="O186" s="58"/>
      <c r="P186" s="163">
        <f t="shared" si="27"/>
        <v>0</v>
      </c>
      <c r="Q186" s="163">
        <v>1.3799999999999999E-3</v>
      </c>
      <c r="R186" s="163">
        <f t="shared" si="28"/>
        <v>6.8999999999999999E-3</v>
      </c>
      <c r="S186" s="163">
        <v>0</v>
      </c>
      <c r="T186" s="164">
        <f t="shared" si="29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5" t="s">
        <v>213</v>
      </c>
      <c r="AT186" s="165" t="s">
        <v>181</v>
      </c>
      <c r="AU186" s="165" t="s">
        <v>82</v>
      </c>
      <c r="AY186" s="14" t="s">
        <v>179</v>
      </c>
      <c r="BE186" s="166">
        <f t="shared" si="30"/>
        <v>0</v>
      </c>
      <c r="BF186" s="166">
        <f t="shared" si="31"/>
        <v>0</v>
      </c>
      <c r="BG186" s="166">
        <f t="shared" si="32"/>
        <v>0</v>
      </c>
      <c r="BH186" s="166">
        <f t="shared" si="33"/>
        <v>0</v>
      </c>
      <c r="BI186" s="166">
        <f t="shared" si="34"/>
        <v>0</v>
      </c>
      <c r="BJ186" s="14" t="s">
        <v>82</v>
      </c>
      <c r="BK186" s="166">
        <f t="shared" si="35"/>
        <v>0</v>
      </c>
      <c r="BL186" s="14" t="s">
        <v>213</v>
      </c>
      <c r="BM186" s="165" t="s">
        <v>368</v>
      </c>
    </row>
    <row r="187" spans="1:65" s="2" customFormat="1" ht="21.75" customHeight="1">
      <c r="A187" s="29"/>
      <c r="B187" s="152"/>
      <c r="C187" s="153" t="s">
        <v>275</v>
      </c>
      <c r="D187" s="153" t="s">
        <v>181</v>
      </c>
      <c r="E187" s="154" t="s">
        <v>1084</v>
      </c>
      <c r="F187" s="155" t="s">
        <v>1085</v>
      </c>
      <c r="G187" s="156" t="s">
        <v>293</v>
      </c>
      <c r="H187" s="157">
        <v>2</v>
      </c>
      <c r="I187" s="158"/>
      <c r="J187" s="151">
        <v>0</v>
      </c>
      <c r="K187" s="160"/>
      <c r="L187" s="30"/>
      <c r="M187" s="161" t="s">
        <v>1</v>
      </c>
      <c r="N187" s="162" t="s">
        <v>35</v>
      </c>
      <c r="O187" s="58"/>
      <c r="P187" s="163">
        <f t="shared" si="27"/>
        <v>0</v>
      </c>
      <c r="Q187" s="163">
        <v>6.8000000000000005E-4</v>
      </c>
      <c r="R187" s="163">
        <f t="shared" si="28"/>
        <v>1.3600000000000001E-3</v>
      </c>
      <c r="S187" s="163">
        <v>0</v>
      </c>
      <c r="T187" s="164">
        <f t="shared" si="29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5" t="s">
        <v>213</v>
      </c>
      <c r="AT187" s="165" t="s">
        <v>181</v>
      </c>
      <c r="AU187" s="165" t="s">
        <v>82</v>
      </c>
      <c r="AY187" s="14" t="s">
        <v>179</v>
      </c>
      <c r="BE187" s="166">
        <f t="shared" si="30"/>
        <v>0</v>
      </c>
      <c r="BF187" s="166">
        <f t="shared" si="31"/>
        <v>0</v>
      </c>
      <c r="BG187" s="166">
        <f t="shared" si="32"/>
        <v>0</v>
      </c>
      <c r="BH187" s="166">
        <f t="shared" si="33"/>
        <v>0</v>
      </c>
      <c r="BI187" s="166">
        <f t="shared" si="34"/>
        <v>0</v>
      </c>
      <c r="BJ187" s="14" t="s">
        <v>82</v>
      </c>
      <c r="BK187" s="166">
        <f t="shared" si="35"/>
        <v>0</v>
      </c>
      <c r="BL187" s="14" t="s">
        <v>213</v>
      </c>
      <c r="BM187" s="165" t="s">
        <v>371</v>
      </c>
    </row>
    <row r="188" spans="1:65" s="2" customFormat="1" ht="21.75" customHeight="1">
      <c r="A188" s="29"/>
      <c r="B188" s="152"/>
      <c r="C188" s="153" t="s">
        <v>365</v>
      </c>
      <c r="D188" s="153" t="s">
        <v>181</v>
      </c>
      <c r="E188" s="154" t="s">
        <v>1086</v>
      </c>
      <c r="F188" s="155" t="s">
        <v>1087</v>
      </c>
      <c r="G188" s="156" t="s">
        <v>293</v>
      </c>
      <c r="H188" s="157">
        <v>4</v>
      </c>
      <c r="I188" s="158"/>
      <c r="J188" s="151">
        <v>0</v>
      </c>
      <c r="K188" s="160"/>
      <c r="L188" s="30"/>
      <c r="M188" s="161" t="s">
        <v>1</v>
      </c>
      <c r="N188" s="162" t="s">
        <v>35</v>
      </c>
      <c r="O188" s="58"/>
      <c r="P188" s="163">
        <f t="shared" si="27"/>
        <v>0</v>
      </c>
      <c r="Q188" s="163">
        <v>7.6000000000000004E-4</v>
      </c>
      <c r="R188" s="163">
        <f t="shared" si="28"/>
        <v>3.0400000000000002E-3</v>
      </c>
      <c r="S188" s="163">
        <v>0</v>
      </c>
      <c r="T188" s="164">
        <f t="shared" si="29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5" t="s">
        <v>213</v>
      </c>
      <c r="AT188" s="165" t="s">
        <v>181</v>
      </c>
      <c r="AU188" s="165" t="s">
        <v>82</v>
      </c>
      <c r="AY188" s="14" t="s">
        <v>179</v>
      </c>
      <c r="BE188" s="166">
        <f t="shared" si="30"/>
        <v>0</v>
      </c>
      <c r="BF188" s="166">
        <f t="shared" si="31"/>
        <v>0</v>
      </c>
      <c r="BG188" s="166">
        <f t="shared" si="32"/>
        <v>0</v>
      </c>
      <c r="BH188" s="166">
        <f t="shared" si="33"/>
        <v>0</v>
      </c>
      <c r="BI188" s="166">
        <f t="shared" si="34"/>
        <v>0</v>
      </c>
      <c r="BJ188" s="14" t="s">
        <v>82</v>
      </c>
      <c r="BK188" s="166">
        <f t="shared" si="35"/>
        <v>0</v>
      </c>
      <c r="BL188" s="14" t="s">
        <v>213</v>
      </c>
      <c r="BM188" s="165" t="s">
        <v>375</v>
      </c>
    </row>
    <row r="189" spans="1:65" s="2" customFormat="1" ht="21.75" customHeight="1">
      <c r="A189" s="29"/>
      <c r="B189" s="152"/>
      <c r="C189" s="153" t="s">
        <v>279</v>
      </c>
      <c r="D189" s="153" t="s">
        <v>181</v>
      </c>
      <c r="E189" s="154" t="s">
        <v>1088</v>
      </c>
      <c r="F189" s="155" t="s">
        <v>1089</v>
      </c>
      <c r="G189" s="156" t="s">
        <v>293</v>
      </c>
      <c r="H189" s="157">
        <v>4</v>
      </c>
      <c r="I189" s="158"/>
      <c r="J189" s="151">
        <v>0</v>
      </c>
      <c r="K189" s="160"/>
      <c r="L189" s="30"/>
      <c r="M189" s="161" t="s">
        <v>1</v>
      </c>
      <c r="N189" s="162" t="s">
        <v>35</v>
      </c>
      <c r="O189" s="58"/>
      <c r="P189" s="163">
        <f t="shared" si="27"/>
        <v>0</v>
      </c>
      <c r="Q189" s="163">
        <v>8.3000000000000001E-4</v>
      </c>
      <c r="R189" s="163">
        <f t="shared" si="28"/>
        <v>3.32E-3</v>
      </c>
      <c r="S189" s="163">
        <v>0</v>
      </c>
      <c r="T189" s="164">
        <f t="shared" si="29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65" t="s">
        <v>213</v>
      </c>
      <c r="AT189" s="165" t="s">
        <v>181</v>
      </c>
      <c r="AU189" s="165" t="s">
        <v>82</v>
      </c>
      <c r="AY189" s="14" t="s">
        <v>179</v>
      </c>
      <c r="BE189" s="166">
        <f t="shared" si="30"/>
        <v>0</v>
      </c>
      <c r="BF189" s="166">
        <f t="shared" si="31"/>
        <v>0</v>
      </c>
      <c r="BG189" s="166">
        <f t="shared" si="32"/>
        <v>0</v>
      </c>
      <c r="BH189" s="166">
        <f t="shared" si="33"/>
        <v>0</v>
      </c>
      <c r="BI189" s="166">
        <f t="shared" si="34"/>
        <v>0</v>
      </c>
      <c r="BJ189" s="14" t="s">
        <v>82</v>
      </c>
      <c r="BK189" s="166">
        <f t="shared" si="35"/>
        <v>0</v>
      </c>
      <c r="BL189" s="14" t="s">
        <v>213</v>
      </c>
      <c r="BM189" s="165" t="s">
        <v>378</v>
      </c>
    </row>
    <row r="190" spans="1:65" s="2" customFormat="1" ht="21.75" customHeight="1">
      <c r="A190" s="29"/>
      <c r="B190" s="152"/>
      <c r="C190" s="153" t="s">
        <v>372</v>
      </c>
      <c r="D190" s="153" t="s">
        <v>181</v>
      </c>
      <c r="E190" s="154" t="s">
        <v>1090</v>
      </c>
      <c r="F190" s="155" t="s">
        <v>1091</v>
      </c>
      <c r="G190" s="156" t="s">
        <v>293</v>
      </c>
      <c r="H190" s="157">
        <v>0.5</v>
      </c>
      <c r="I190" s="158"/>
      <c r="J190" s="151">
        <v>0</v>
      </c>
      <c r="K190" s="160"/>
      <c r="L190" s="30"/>
      <c r="M190" s="161" t="s">
        <v>1</v>
      </c>
      <c r="N190" s="162" t="s">
        <v>35</v>
      </c>
      <c r="O190" s="58"/>
      <c r="P190" s="163">
        <f t="shared" si="27"/>
        <v>0</v>
      </c>
      <c r="Q190" s="163">
        <v>1.5100000000000001E-3</v>
      </c>
      <c r="R190" s="163">
        <f t="shared" si="28"/>
        <v>7.5500000000000003E-4</v>
      </c>
      <c r="S190" s="163">
        <v>0</v>
      </c>
      <c r="T190" s="164">
        <f t="shared" si="29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65" t="s">
        <v>213</v>
      </c>
      <c r="AT190" s="165" t="s">
        <v>181</v>
      </c>
      <c r="AU190" s="165" t="s">
        <v>82</v>
      </c>
      <c r="AY190" s="14" t="s">
        <v>179</v>
      </c>
      <c r="BE190" s="166">
        <f t="shared" si="30"/>
        <v>0</v>
      </c>
      <c r="BF190" s="166">
        <f t="shared" si="31"/>
        <v>0</v>
      </c>
      <c r="BG190" s="166">
        <f t="shared" si="32"/>
        <v>0</v>
      </c>
      <c r="BH190" s="166">
        <f t="shared" si="33"/>
        <v>0</v>
      </c>
      <c r="BI190" s="166">
        <f t="shared" si="34"/>
        <v>0</v>
      </c>
      <c r="BJ190" s="14" t="s">
        <v>82</v>
      </c>
      <c r="BK190" s="166">
        <f t="shared" si="35"/>
        <v>0</v>
      </c>
      <c r="BL190" s="14" t="s">
        <v>213</v>
      </c>
      <c r="BM190" s="165" t="s">
        <v>382</v>
      </c>
    </row>
    <row r="191" spans="1:65" s="2" customFormat="1" ht="16.5" customHeight="1">
      <c r="A191" s="29"/>
      <c r="B191" s="152"/>
      <c r="C191" s="153" t="s">
        <v>283</v>
      </c>
      <c r="D191" s="153" t="s">
        <v>181</v>
      </c>
      <c r="E191" s="154" t="s">
        <v>1092</v>
      </c>
      <c r="F191" s="155" t="s">
        <v>1093</v>
      </c>
      <c r="G191" s="156" t="s">
        <v>217</v>
      </c>
      <c r="H191" s="157">
        <v>1</v>
      </c>
      <c r="I191" s="158"/>
      <c r="J191" s="151">
        <v>0</v>
      </c>
      <c r="K191" s="160"/>
      <c r="L191" s="30"/>
      <c r="M191" s="161" t="s">
        <v>1</v>
      </c>
      <c r="N191" s="162" t="s">
        <v>35</v>
      </c>
      <c r="O191" s="58"/>
      <c r="P191" s="163">
        <f t="shared" si="27"/>
        <v>0</v>
      </c>
      <c r="Q191" s="163">
        <v>1.9000000000000001E-4</v>
      </c>
      <c r="R191" s="163">
        <f t="shared" si="28"/>
        <v>1.9000000000000001E-4</v>
      </c>
      <c r="S191" s="163">
        <v>0</v>
      </c>
      <c r="T191" s="164">
        <f t="shared" si="29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65" t="s">
        <v>213</v>
      </c>
      <c r="AT191" s="165" t="s">
        <v>181</v>
      </c>
      <c r="AU191" s="165" t="s">
        <v>82</v>
      </c>
      <c r="AY191" s="14" t="s">
        <v>179</v>
      </c>
      <c r="BE191" s="166">
        <f t="shared" si="30"/>
        <v>0</v>
      </c>
      <c r="BF191" s="166">
        <f t="shared" si="31"/>
        <v>0</v>
      </c>
      <c r="BG191" s="166">
        <f t="shared" si="32"/>
        <v>0</v>
      </c>
      <c r="BH191" s="166">
        <f t="shared" si="33"/>
        <v>0</v>
      </c>
      <c r="BI191" s="166">
        <f t="shared" si="34"/>
        <v>0</v>
      </c>
      <c r="BJ191" s="14" t="s">
        <v>82</v>
      </c>
      <c r="BK191" s="166">
        <f t="shared" si="35"/>
        <v>0</v>
      </c>
      <c r="BL191" s="14" t="s">
        <v>213</v>
      </c>
      <c r="BM191" s="165" t="s">
        <v>385</v>
      </c>
    </row>
    <row r="192" spans="1:65" s="2" customFormat="1" ht="24.2" customHeight="1">
      <c r="A192" s="29"/>
      <c r="B192" s="152"/>
      <c r="C192" s="167" t="s">
        <v>379</v>
      </c>
      <c r="D192" s="167" t="s">
        <v>202</v>
      </c>
      <c r="E192" s="168" t="s">
        <v>1094</v>
      </c>
      <c r="F192" s="169" t="s">
        <v>1095</v>
      </c>
      <c r="G192" s="170" t="s">
        <v>217</v>
      </c>
      <c r="H192" s="171">
        <v>1</v>
      </c>
      <c r="I192" s="172"/>
      <c r="J192" s="151">
        <v>0</v>
      </c>
      <c r="K192" s="174"/>
      <c r="L192" s="175"/>
      <c r="M192" s="176" t="s">
        <v>1</v>
      </c>
      <c r="N192" s="177" t="s">
        <v>35</v>
      </c>
      <c r="O192" s="58"/>
      <c r="P192" s="163">
        <f t="shared" si="27"/>
        <v>0</v>
      </c>
      <c r="Q192" s="163">
        <v>3.5E-4</v>
      </c>
      <c r="R192" s="163">
        <f t="shared" si="28"/>
        <v>3.5E-4</v>
      </c>
      <c r="S192" s="163">
        <v>0</v>
      </c>
      <c r="T192" s="164">
        <f t="shared" si="29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65" t="s">
        <v>242</v>
      </c>
      <c r="AT192" s="165" t="s">
        <v>202</v>
      </c>
      <c r="AU192" s="165" t="s">
        <v>82</v>
      </c>
      <c r="AY192" s="14" t="s">
        <v>179</v>
      </c>
      <c r="BE192" s="166">
        <f t="shared" si="30"/>
        <v>0</v>
      </c>
      <c r="BF192" s="166">
        <f t="shared" si="31"/>
        <v>0</v>
      </c>
      <c r="BG192" s="166">
        <f t="shared" si="32"/>
        <v>0</v>
      </c>
      <c r="BH192" s="166">
        <f t="shared" si="33"/>
        <v>0</v>
      </c>
      <c r="BI192" s="166">
        <f t="shared" si="34"/>
        <v>0</v>
      </c>
      <c r="BJ192" s="14" t="s">
        <v>82</v>
      </c>
      <c r="BK192" s="166">
        <f t="shared" si="35"/>
        <v>0</v>
      </c>
      <c r="BL192" s="14" t="s">
        <v>213</v>
      </c>
      <c r="BM192" s="165" t="s">
        <v>390</v>
      </c>
    </row>
    <row r="193" spans="1:65" s="2" customFormat="1" ht="24.2" customHeight="1">
      <c r="A193" s="29"/>
      <c r="B193" s="152"/>
      <c r="C193" s="153" t="s">
        <v>286</v>
      </c>
      <c r="D193" s="153" t="s">
        <v>181</v>
      </c>
      <c r="E193" s="154" t="s">
        <v>1096</v>
      </c>
      <c r="F193" s="155" t="s">
        <v>1097</v>
      </c>
      <c r="G193" s="156" t="s">
        <v>217</v>
      </c>
      <c r="H193" s="157">
        <v>3</v>
      </c>
      <c r="I193" s="158"/>
      <c r="J193" s="151">
        <v>0</v>
      </c>
      <c r="K193" s="160"/>
      <c r="L193" s="30"/>
      <c r="M193" s="161" t="s">
        <v>1</v>
      </c>
      <c r="N193" s="162" t="s">
        <v>35</v>
      </c>
      <c r="O193" s="58"/>
      <c r="P193" s="163">
        <f t="shared" si="27"/>
        <v>0</v>
      </c>
      <c r="Q193" s="163">
        <v>0</v>
      </c>
      <c r="R193" s="163">
        <f t="shared" si="28"/>
        <v>0</v>
      </c>
      <c r="S193" s="163">
        <v>0</v>
      </c>
      <c r="T193" s="164">
        <f t="shared" si="29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65" t="s">
        <v>213</v>
      </c>
      <c r="AT193" s="165" t="s">
        <v>181</v>
      </c>
      <c r="AU193" s="165" t="s">
        <v>82</v>
      </c>
      <c r="AY193" s="14" t="s">
        <v>179</v>
      </c>
      <c r="BE193" s="166">
        <f t="shared" si="30"/>
        <v>0</v>
      </c>
      <c r="BF193" s="166">
        <f t="shared" si="31"/>
        <v>0</v>
      </c>
      <c r="BG193" s="166">
        <f t="shared" si="32"/>
        <v>0</v>
      </c>
      <c r="BH193" s="166">
        <f t="shared" si="33"/>
        <v>0</v>
      </c>
      <c r="BI193" s="166">
        <f t="shared" si="34"/>
        <v>0</v>
      </c>
      <c r="BJ193" s="14" t="s">
        <v>82</v>
      </c>
      <c r="BK193" s="166">
        <f t="shared" si="35"/>
        <v>0</v>
      </c>
      <c r="BL193" s="14" t="s">
        <v>213</v>
      </c>
      <c r="BM193" s="165" t="s">
        <v>393</v>
      </c>
    </row>
    <row r="194" spans="1:65" s="2" customFormat="1" ht="24.2" customHeight="1">
      <c r="A194" s="29"/>
      <c r="B194" s="152"/>
      <c r="C194" s="153" t="s">
        <v>387</v>
      </c>
      <c r="D194" s="153" t="s">
        <v>181</v>
      </c>
      <c r="E194" s="154" t="s">
        <v>1098</v>
      </c>
      <c r="F194" s="155" t="s">
        <v>1099</v>
      </c>
      <c r="G194" s="156" t="s">
        <v>217</v>
      </c>
      <c r="H194" s="157">
        <v>2</v>
      </c>
      <c r="I194" s="158"/>
      <c r="J194" s="151">
        <v>0</v>
      </c>
      <c r="K194" s="160"/>
      <c r="L194" s="30"/>
      <c r="M194" s="161" t="s">
        <v>1</v>
      </c>
      <c r="N194" s="162" t="s">
        <v>35</v>
      </c>
      <c r="O194" s="58"/>
      <c r="P194" s="163">
        <f t="shared" si="27"/>
        <v>0</v>
      </c>
      <c r="Q194" s="163">
        <v>0</v>
      </c>
      <c r="R194" s="163">
        <f t="shared" si="28"/>
        <v>0</v>
      </c>
      <c r="S194" s="163">
        <v>0</v>
      </c>
      <c r="T194" s="164">
        <f t="shared" si="29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65" t="s">
        <v>213</v>
      </c>
      <c r="AT194" s="165" t="s">
        <v>181</v>
      </c>
      <c r="AU194" s="165" t="s">
        <v>82</v>
      </c>
      <c r="AY194" s="14" t="s">
        <v>179</v>
      </c>
      <c r="BE194" s="166">
        <f t="shared" si="30"/>
        <v>0</v>
      </c>
      <c r="BF194" s="166">
        <f t="shared" si="31"/>
        <v>0</v>
      </c>
      <c r="BG194" s="166">
        <f t="shared" si="32"/>
        <v>0</v>
      </c>
      <c r="BH194" s="166">
        <f t="shared" si="33"/>
        <v>0</v>
      </c>
      <c r="BI194" s="166">
        <f t="shared" si="34"/>
        <v>0</v>
      </c>
      <c r="BJ194" s="14" t="s">
        <v>82</v>
      </c>
      <c r="BK194" s="166">
        <f t="shared" si="35"/>
        <v>0</v>
      </c>
      <c r="BL194" s="14" t="s">
        <v>213</v>
      </c>
      <c r="BM194" s="165" t="s">
        <v>397</v>
      </c>
    </row>
    <row r="195" spans="1:65" s="2" customFormat="1" ht="24.2" customHeight="1">
      <c r="A195" s="29"/>
      <c r="B195" s="152"/>
      <c r="C195" s="153" t="s">
        <v>290</v>
      </c>
      <c r="D195" s="153" t="s">
        <v>181</v>
      </c>
      <c r="E195" s="154" t="s">
        <v>1100</v>
      </c>
      <c r="F195" s="155" t="s">
        <v>1101</v>
      </c>
      <c r="G195" s="156" t="s">
        <v>217</v>
      </c>
      <c r="H195" s="157">
        <v>2</v>
      </c>
      <c r="I195" s="158"/>
      <c r="J195" s="151">
        <v>0</v>
      </c>
      <c r="K195" s="160"/>
      <c r="L195" s="30"/>
      <c r="M195" s="161" t="s">
        <v>1</v>
      </c>
      <c r="N195" s="162" t="s">
        <v>35</v>
      </c>
      <c r="O195" s="58"/>
      <c r="P195" s="163">
        <f t="shared" si="27"/>
        <v>0</v>
      </c>
      <c r="Q195" s="163">
        <v>0</v>
      </c>
      <c r="R195" s="163">
        <f t="shared" si="28"/>
        <v>0</v>
      </c>
      <c r="S195" s="163">
        <v>0</v>
      </c>
      <c r="T195" s="164">
        <f t="shared" si="29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65" t="s">
        <v>213</v>
      </c>
      <c r="AT195" s="165" t="s">
        <v>181</v>
      </c>
      <c r="AU195" s="165" t="s">
        <v>82</v>
      </c>
      <c r="AY195" s="14" t="s">
        <v>179</v>
      </c>
      <c r="BE195" s="166">
        <f t="shared" si="30"/>
        <v>0</v>
      </c>
      <c r="BF195" s="166">
        <f t="shared" si="31"/>
        <v>0</v>
      </c>
      <c r="BG195" s="166">
        <f t="shared" si="32"/>
        <v>0</v>
      </c>
      <c r="BH195" s="166">
        <f t="shared" si="33"/>
        <v>0</v>
      </c>
      <c r="BI195" s="166">
        <f t="shared" si="34"/>
        <v>0</v>
      </c>
      <c r="BJ195" s="14" t="s">
        <v>82</v>
      </c>
      <c r="BK195" s="166">
        <f t="shared" si="35"/>
        <v>0</v>
      </c>
      <c r="BL195" s="14" t="s">
        <v>213</v>
      </c>
      <c r="BM195" s="165" t="s">
        <v>400</v>
      </c>
    </row>
    <row r="196" spans="1:65" s="2" customFormat="1" ht="24.2" customHeight="1">
      <c r="A196" s="29"/>
      <c r="B196" s="152"/>
      <c r="C196" s="153" t="s">
        <v>394</v>
      </c>
      <c r="D196" s="153" t="s">
        <v>181</v>
      </c>
      <c r="E196" s="154" t="s">
        <v>1102</v>
      </c>
      <c r="F196" s="155" t="s">
        <v>1103</v>
      </c>
      <c r="G196" s="156" t="s">
        <v>217</v>
      </c>
      <c r="H196" s="157">
        <v>1</v>
      </c>
      <c r="I196" s="158"/>
      <c r="J196" s="151">
        <v>0</v>
      </c>
      <c r="K196" s="160"/>
      <c r="L196" s="30"/>
      <c r="M196" s="161" t="s">
        <v>1</v>
      </c>
      <c r="N196" s="162" t="s">
        <v>35</v>
      </c>
      <c r="O196" s="58"/>
      <c r="P196" s="163">
        <f t="shared" si="27"/>
        <v>0</v>
      </c>
      <c r="Q196" s="163">
        <v>4.6000000000000001E-4</v>
      </c>
      <c r="R196" s="163">
        <f t="shared" si="28"/>
        <v>4.6000000000000001E-4</v>
      </c>
      <c r="S196" s="163">
        <v>0</v>
      </c>
      <c r="T196" s="164">
        <f t="shared" si="29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65" t="s">
        <v>213</v>
      </c>
      <c r="AT196" s="165" t="s">
        <v>181</v>
      </c>
      <c r="AU196" s="165" t="s">
        <v>82</v>
      </c>
      <c r="AY196" s="14" t="s">
        <v>179</v>
      </c>
      <c r="BE196" s="166">
        <f t="shared" si="30"/>
        <v>0</v>
      </c>
      <c r="BF196" s="166">
        <f t="shared" si="31"/>
        <v>0</v>
      </c>
      <c r="BG196" s="166">
        <f t="shared" si="32"/>
        <v>0</v>
      </c>
      <c r="BH196" s="166">
        <f t="shared" si="33"/>
        <v>0</v>
      </c>
      <c r="BI196" s="166">
        <f t="shared" si="34"/>
        <v>0</v>
      </c>
      <c r="BJ196" s="14" t="s">
        <v>82</v>
      </c>
      <c r="BK196" s="166">
        <f t="shared" si="35"/>
        <v>0</v>
      </c>
      <c r="BL196" s="14" t="s">
        <v>213</v>
      </c>
      <c r="BM196" s="165" t="s">
        <v>404</v>
      </c>
    </row>
    <row r="197" spans="1:65" s="2" customFormat="1" ht="33" customHeight="1">
      <c r="A197" s="29"/>
      <c r="B197" s="152"/>
      <c r="C197" s="167" t="s">
        <v>294</v>
      </c>
      <c r="D197" s="167" t="s">
        <v>202</v>
      </c>
      <c r="E197" s="168" t="s">
        <v>1104</v>
      </c>
      <c r="F197" s="169" t="s">
        <v>1105</v>
      </c>
      <c r="G197" s="170" t="s">
        <v>217</v>
      </c>
      <c r="H197" s="171">
        <v>1</v>
      </c>
      <c r="I197" s="172"/>
      <c r="J197" s="151">
        <v>0</v>
      </c>
      <c r="K197" s="174"/>
      <c r="L197" s="175"/>
      <c r="M197" s="176" t="s">
        <v>1</v>
      </c>
      <c r="N197" s="177" t="s">
        <v>35</v>
      </c>
      <c r="O197" s="58"/>
      <c r="P197" s="163">
        <f t="shared" si="27"/>
        <v>0</v>
      </c>
      <c r="Q197" s="163">
        <v>1.2800000000000001E-3</v>
      </c>
      <c r="R197" s="163">
        <f t="shared" si="28"/>
        <v>1.2800000000000001E-3</v>
      </c>
      <c r="S197" s="163">
        <v>0</v>
      </c>
      <c r="T197" s="164">
        <f t="shared" si="29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65" t="s">
        <v>242</v>
      </c>
      <c r="AT197" s="165" t="s">
        <v>202</v>
      </c>
      <c r="AU197" s="165" t="s">
        <v>82</v>
      </c>
      <c r="AY197" s="14" t="s">
        <v>179</v>
      </c>
      <c r="BE197" s="166">
        <f t="shared" si="30"/>
        <v>0</v>
      </c>
      <c r="BF197" s="166">
        <f t="shared" si="31"/>
        <v>0</v>
      </c>
      <c r="BG197" s="166">
        <f t="shared" si="32"/>
        <v>0</v>
      </c>
      <c r="BH197" s="166">
        <f t="shared" si="33"/>
        <v>0</v>
      </c>
      <c r="BI197" s="166">
        <f t="shared" si="34"/>
        <v>0</v>
      </c>
      <c r="BJ197" s="14" t="s">
        <v>82</v>
      </c>
      <c r="BK197" s="166">
        <f t="shared" si="35"/>
        <v>0</v>
      </c>
      <c r="BL197" s="14" t="s">
        <v>213</v>
      </c>
      <c r="BM197" s="165" t="s">
        <v>407</v>
      </c>
    </row>
    <row r="198" spans="1:65" s="2" customFormat="1" ht="24.2" customHeight="1">
      <c r="A198" s="29"/>
      <c r="B198" s="152"/>
      <c r="C198" s="153" t="s">
        <v>401</v>
      </c>
      <c r="D198" s="153" t="s">
        <v>181</v>
      </c>
      <c r="E198" s="154" t="s">
        <v>1106</v>
      </c>
      <c r="F198" s="155" t="s">
        <v>1107</v>
      </c>
      <c r="G198" s="156" t="s">
        <v>217</v>
      </c>
      <c r="H198" s="157">
        <v>1</v>
      </c>
      <c r="I198" s="158"/>
      <c r="J198" s="151">
        <v>0</v>
      </c>
      <c r="K198" s="160"/>
      <c r="L198" s="30"/>
      <c r="M198" s="161" t="s">
        <v>1</v>
      </c>
      <c r="N198" s="162" t="s">
        <v>35</v>
      </c>
      <c r="O198" s="58"/>
      <c r="P198" s="163">
        <f t="shared" si="27"/>
        <v>0</v>
      </c>
      <c r="Q198" s="163">
        <v>4.6000000000000001E-4</v>
      </c>
      <c r="R198" s="163">
        <f t="shared" si="28"/>
        <v>4.6000000000000001E-4</v>
      </c>
      <c r="S198" s="163">
        <v>0</v>
      </c>
      <c r="T198" s="164">
        <f t="shared" si="29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65" t="s">
        <v>213</v>
      </c>
      <c r="AT198" s="165" t="s">
        <v>181</v>
      </c>
      <c r="AU198" s="165" t="s">
        <v>82</v>
      </c>
      <c r="AY198" s="14" t="s">
        <v>179</v>
      </c>
      <c r="BE198" s="166">
        <f t="shared" si="30"/>
        <v>0</v>
      </c>
      <c r="BF198" s="166">
        <f t="shared" si="31"/>
        <v>0</v>
      </c>
      <c r="BG198" s="166">
        <f t="shared" si="32"/>
        <v>0</v>
      </c>
      <c r="BH198" s="166">
        <f t="shared" si="33"/>
        <v>0</v>
      </c>
      <c r="BI198" s="166">
        <f t="shared" si="34"/>
        <v>0</v>
      </c>
      <c r="BJ198" s="14" t="s">
        <v>82</v>
      </c>
      <c r="BK198" s="166">
        <f t="shared" si="35"/>
        <v>0</v>
      </c>
      <c r="BL198" s="14" t="s">
        <v>213</v>
      </c>
      <c r="BM198" s="165" t="s">
        <v>411</v>
      </c>
    </row>
    <row r="199" spans="1:65" s="2" customFormat="1" ht="49.15" customHeight="1">
      <c r="A199" s="29"/>
      <c r="B199" s="152"/>
      <c r="C199" s="167" t="s">
        <v>298</v>
      </c>
      <c r="D199" s="167" t="s">
        <v>202</v>
      </c>
      <c r="E199" s="168" t="s">
        <v>1108</v>
      </c>
      <c r="F199" s="169" t="s">
        <v>1109</v>
      </c>
      <c r="G199" s="170" t="s">
        <v>217</v>
      </c>
      <c r="H199" s="171">
        <v>1</v>
      </c>
      <c r="I199" s="172"/>
      <c r="J199" s="151">
        <v>0</v>
      </c>
      <c r="K199" s="174"/>
      <c r="L199" s="175"/>
      <c r="M199" s="176" t="s">
        <v>1</v>
      </c>
      <c r="N199" s="177" t="s">
        <v>35</v>
      </c>
      <c r="O199" s="58"/>
      <c r="P199" s="163">
        <f t="shared" si="27"/>
        <v>0</v>
      </c>
      <c r="Q199" s="163">
        <v>8.4999999999999995E-4</v>
      </c>
      <c r="R199" s="163">
        <f t="shared" si="28"/>
        <v>8.4999999999999995E-4</v>
      </c>
      <c r="S199" s="163">
        <v>0</v>
      </c>
      <c r="T199" s="164">
        <f t="shared" si="29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65" t="s">
        <v>242</v>
      </c>
      <c r="AT199" s="165" t="s">
        <v>202</v>
      </c>
      <c r="AU199" s="165" t="s">
        <v>82</v>
      </c>
      <c r="AY199" s="14" t="s">
        <v>179</v>
      </c>
      <c r="BE199" s="166">
        <f t="shared" si="30"/>
        <v>0</v>
      </c>
      <c r="BF199" s="166">
        <f t="shared" si="31"/>
        <v>0</v>
      </c>
      <c r="BG199" s="166">
        <f t="shared" si="32"/>
        <v>0</v>
      </c>
      <c r="BH199" s="166">
        <f t="shared" si="33"/>
        <v>0</v>
      </c>
      <c r="BI199" s="166">
        <f t="shared" si="34"/>
        <v>0</v>
      </c>
      <c r="BJ199" s="14" t="s">
        <v>82</v>
      </c>
      <c r="BK199" s="166">
        <f t="shared" si="35"/>
        <v>0</v>
      </c>
      <c r="BL199" s="14" t="s">
        <v>213</v>
      </c>
      <c r="BM199" s="165" t="s">
        <v>414</v>
      </c>
    </row>
    <row r="200" spans="1:65" s="2" customFormat="1" ht="24.2" customHeight="1">
      <c r="A200" s="29"/>
      <c r="B200" s="152"/>
      <c r="C200" s="153" t="s">
        <v>408</v>
      </c>
      <c r="D200" s="153" t="s">
        <v>181</v>
      </c>
      <c r="E200" s="154" t="s">
        <v>1110</v>
      </c>
      <c r="F200" s="155" t="s">
        <v>1111</v>
      </c>
      <c r="G200" s="156" t="s">
        <v>293</v>
      </c>
      <c r="H200" s="157">
        <v>30</v>
      </c>
      <c r="I200" s="158"/>
      <c r="J200" s="151">
        <v>0</v>
      </c>
      <c r="K200" s="160"/>
      <c r="L200" s="30"/>
      <c r="M200" s="161" t="s">
        <v>1</v>
      </c>
      <c r="N200" s="162" t="s">
        <v>35</v>
      </c>
      <c r="O200" s="58"/>
      <c r="P200" s="163">
        <f t="shared" si="27"/>
        <v>0</v>
      </c>
      <c r="Q200" s="163">
        <v>0</v>
      </c>
      <c r="R200" s="163">
        <f t="shared" si="28"/>
        <v>0</v>
      </c>
      <c r="S200" s="163">
        <v>0</v>
      </c>
      <c r="T200" s="164">
        <f t="shared" si="29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65" t="s">
        <v>213</v>
      </c>
      <c r="AT200" s="165" t="s">
        <v>181</v>
      </c>
      <c r="AU200" s="165" t="s">
        <v>82</v>
      </c>
      <c r="AY200" s="14" t="s">
        <v>179</v>
      </c>
      <c r="BE200" s="166">
        <f t="shared" si="30"/>
        <v>0</v>
      </c>
      <c r="BF200" s="166">
        <f t="shared" si="31"/>
        <v>0</v>
      </c>
      <c r="BG200" s="166">
        <f t="shared" si="32"/>
        <v>0</v>
      </c>
      <c r="BH200" s="166">
        <f t="shared" si="33"/>
        <v>0</v>
      </c>
      <c r="BI200" s="166">
        <f t="shared" si="34"/>
        <v>0</v>
      </c>
      <c r="BJ200" s="14" t="s">
        <v>82</v>
      </c>
      <c r="BK200" s="166">
        <f t="shared" si="35"/>
        <v>0</v>
      </c>
      <c r="BL200" s="14" t="s">
        <v>213</v>
      </c>
      <c r="BM200" s="165" t="s">
        <v>418</v>
      </c>
    </row>
    <row r="201" spans="1:65" s="2" customFormat="1" ht="24.2" customHeight="1">
      <c r="A201" s="29"/>
      <c r="B201" s="152"/>
      <c r="C201" s="153" t="s">
        <v>301</v>
      </c>
      <c r="D201" s="153" t="s">
        <v>181</v>
      </c>
      <c r="E201" s="154" t="s">
        <v>1112</v>
      </c>
      <c r="F201" s="155" t="s">
        <v>3406</v>
      </c>
      <c r="G201" s="156" t="s">
        <v>1113</v>
      </c>
      <c r="H201" s="157">
        <v>40</v>
      </c>
      <c r="I201" s="158"/>
      <c r="J201" s="151">
        <v>0</v>
      </c>
      <c r="K201" s="160"/>
      <c r="L201" s="30"/>
      <c r="M201" s="161" t="s">
        <v>1</v>
      </c>
      <c r="N201" s="162" t="s">
        <v>35</v>
      </c>
      <c r="O201" s="58"/>
      <c r="P201" s="163">
        <f t="shared" si="27"/>
        <v>0</v>
      </c>
      <c r="Q201" s="163">
        <v>0</v>
      </c>
      <c r="R201" s="163">
        <f t="shared" si="28"/>
        <v>0</v>
      </c>
      <c r="S201" s="163">
        <v>0</v>
      </c>
      <c r="T201" s="164">
        <f t="shared" si="29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65" t="s">
        <v>213</v>
      </c>
      <c r="AT201" s="165" t="s">
        <v>181</v>
      </c>
      <c r="AU201" s="165" t="s">
        <v>82</v>
      </c>
      <c r="AY201" s="14" t="s">
        <v>179</v>
      </c>
      <c r="BE201" s="166">
        <f t="shared" si="30"/>
        <v>0</v>
      </c>
      <c r="BF201" s="166">
        <f t="shared" si="31"/>
        <v>0</v>
      </c>
      <c r="BG201" s="166">
        <f t="shared" si="32"/>
        <v>0</v>
      </c>
      <c r="BH201" s="166">
        <f t="shared" si="33"/>
        <v>0</v>
      </c>
      <c r="BI201" s="166">
        <f t="shared" si="34"/>
        <v>0</v>
      </c>
      <c r="BJ201" s="14" t="s">
        <v>82</v>
      </c>
      <c r="BK201" s="166">
        <f t="shared" si="35"/>
        <v>0</v>
      </c>
      <c r="BL201" s="14" t="s">
        <v>213</v>
      </c>
      <c r="BM201" s="165" t="s">
        <v>421</v>
      </c>
    </row>
    <row r="202" spans="1:65" s="2" customFormat="1" ht="24.2" customHeight="1">
      <c r="A202" s="29"/>
      <c r="B202" s="152"/>
      <c r="C202" s="153" t="s">
        <v>415</v>
      </c>
      <c r="D202" s="153" t="s">
        <v>181</v>
      </c>
      <c r="E202" s="154" t="s">
        <v>1114</v>
      </c>
      <c r="F202" s="155" t="s">
        <v>1115</v>
      </c>
      <c r="G202" s="156" t="s">
        <v>585</v>
      </c>
      <c r="H202" s="178"/>
      <c r="I202" s="158"/>
      <c r="J202" s="151">
        <v>0</v>
      </c>
      <c r="K202" s="160"/>
      <c r="L202" s="30"/>
      <c r="M202" s="161" t="s">
        <v>1</v>
      </c>
      <c r="N202" s="162" t="s">
        <v>35</v>
      </c>
      <c r="O202" s="58"/>
      <c r="P202" s="163">
        <f t="shared" si="27"/>
        <v>0</v>
      </c>
      <c r="Q202" s="163">
        <v>0</v>
      </c>
      <c r="R202" s="163">
        <f t="shared" si="28"/>
        <v>0</v>
      </c>
      <c r="S202" s="163">
        <v>0</v>
      </c>
      <c r="T202" s="164">
        <f t="shared" si="29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65" t="s">
        <v>213</v>
      </c>
      <c r="AT202" s="165" t="s">
        <v>181</v>
      </c>
      <c r="AU202" s="165" t="s">
        <v>82</v>
      </c>
      <c r="AY202" s="14" t="s">
        <v>179</v>
      </c>
      <c r="BE202" s="166">
        <f t="shared" si="30"/>
        <v>0</v>
      </c>
      <c r="BF202" s="166">
        <f t="shared" si="31"/>
        <v>0</v>
      </c>
      <c r="BG202" s="166">
        <f t="shared" si="32"/>
        <v>0</v>
      </c>
      <c r="BH202" s="166">
        <f t="shared" si="33"/>
        <v>0</v>
      </c>
      <c r="BI202" s="166">
        <f t="shared" si="34"/>
        <v>0</v>
      </c>
      <c r="BJ202" s="14" t="s">
        <v>82</v>
      </c>
      <c r="BK202" s="166">
        <f t="shared" si="35"/>
        <v>0</v>
      </c>
      <c r="BL202" s="14" t="s">
        <v>213</v>
      </c>
      <c r="BM202" s="165" t="s">
        <v>425</v>
      </c>
    </row>
    <row r="203" spans="1:65" s="2" customFormat="1" ht="24.2" customHeight="1">
      <c r="A203" s="29"/>
      <c r="B203" s="152"/>
      <c r="C203" s="153" t="s">
        <v>305</v>
      </c>
      <c r="D203" s="153" t="s">
        <v>181</v>
      </c>
      <c r="E203" s="154" t="s">
        <v>1116</v>
      </c>
      <c r="F203" s="155" t="s">
        <v>1117</v>
      </c>
      <c r="G203" s="156" t="s">
        <v>585</v>
      </c>
      <c r="H203" s="178"/>
      <c r="I203" s="158"/>
      <c r="J203" s="151">
        <v>0</v>
      </c>
      <c r="K203" s="160"/>
      <c r="L203" s="30"/>
      <c r="M203" s="161" t="s">
        <v>1</v>
      </c>
      <c r="N203" s="162" t="s">
        <v>35</v>
      </c>
      <c r="O203" s="58"/>
      <c r="P203" s="163">
        <f t="shared" si="27"/>
        <v>0</v>
      </c>
      <c r="Q203" s="163">
        <v>0</v>
      </c>
      <c r="R203" s="163">
        <f t="shared" si="28"/>
        <v>0</v>
      </c>
      <c r="S203" s="163">
        <v>0</v>
      </c>
      <c r="T203" s="164">
        <f t="shared" si="29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65" t="s">
        <v>213</v>
      </c>
      <c r="AT203" s="165" t="s">
        <v>181</v>
      </c>
      <c r="AU203" s="165" t="s">
        <v>82</v>
      </c>
      <c r="AY203" s="14" t="s">
        <v>179</v>
      </c>
      <c r="BE203" s="166">
        <f t="shared" si="30"/>
        <v>0</v>
      </c>
      <c r="BF203" s="166">
        <f t="shared" si="31"/>
        <v>0</v>
      </c>
      <c r="BG203" s="166">
        <f t="shared" si="32"/>
        <v>0</v>
      </c>
      <c r="BH203" s="166">
        <f t="shared" si="33"/>
        <v>0</v>
      </c>
      <c r="BI203" s="166">
        <f t="shared" si="34"/>
        <v>0</v>
      </c>
      <c r="BJ203" s="14" t="s">
        <v>82</v>
      </c>
      <c r="BK203" s="166">
        <f t="shared" si="35"/>
        <v>0</v>
      </c>
      <c r="BL203" s="14" t="s">
        <v>213</v>
      </c>
      <c r="BM203" s="165" t="s">
        <v>428</v>
      </c>
    </row>
    <row r="204" spans="1:65" s="12" customFormat="1" ht="22.9" customHeight="1">
      <c r="B204" s="139"/>
      <c r="D204" s="140" t="s">
        <v>68</v>
      </c>
      <c r="E204" s="150" t="s">
        <v>1118</v>
      </c>
      <c r="F204" s="150" t="s">
        <v>1119</v>
      </c>
      <c r="I204" s="142"/>
      <c r="J204" s="151">
        <v>0</v>
      </c>
      <c r="L204" s="139"/>
      <c r="M204" s="144"/>
      <c r="N204" s="145"/>
      <c r="O204" s="145"/>
      <c r="P204" s="146">
        <f>SUM(P205:P254)</f>
        <v>0</v>
      </c>
      <c r="Q204" s="145"/>
      <c r="R204" s="146">
        <f>SUM(R205:R254)</f>
        <v>0.53534000000000004</v>
      </c>
      <c r="S204" s="145"/>
      <c r="T204" s="147">
        <f>SUM(T205:T254)</f>
        <v>0</v>
      </c>
      <c r="AR204" s="140" t="s">
        <v>82</v>
      </c>
      <c r="AT204" s="148" t="s">
        <v>68</v>
      </c>
      <c r="AU204" s="148" t="s">
        <v>76</v>
      </c>
      <c r="AY204" s="140" t="s">
        <v>179</v>
      </c>
      <c r="BK204" s="149">
        <f>SUM(BK205:BK254)</f>
        <v>0</v>
      </c>
    </row>
    <row r="205" spans="1:65" s="2" customFormat="1" ht="24.2" customHeight="1">
      <c r="A205" s="29"/>
      <c r="B205" s="152"/>
      <c r="C205" s="153" t="s">
        <v>422</v>
      </c>
      <c r="D205" s="153" t="s">
        <v>181</v>
      </c>
      <c r="E205" s="154" t="s">
        <v>1120</v>
      </c>
      <c r="F205" s="155" t="s">
        <v>1121</v>
      </c>
      <c r="G205" s="156" t="s">
        <v>293</v>
      </c>
      <c r="H205" s="157">
        <v>50</v>
      </c>
      <c r="I205" s="158"/>
      <c r="J205" s="151">
        <v>0</v>
      </c>
      <c r="K205" s="160"/>
      <c r="L205" s="30"/>
      <c r="M205" s="161" t="s">
        <v>1</v>
      </c>
      <c r="N205" s="162" t="s">
        <v>35</v>
      </c>
      <c r="O205" s="58"/>
      <c r="P205" s="163">
        <f t="shared" ref="P205:P236" si="36">O205*H205</f>
        <v>0</v>
      </c>
      <c r="Q205" s="163">
        <v>0</v>
      </c>
      <c r="R205" s="163">
        <f t="shared" ref="R205:R236" si="37">Q205*H205</f>
        <v>0</v>
      </c>
      <c r="S205" s="163">
        <v>0</v>
      </c>
      <c r="T205" s="164">
        <f t="shared" ref="T205:T236" si="38">S205*H205</f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65" t="s">
        <v>213</v>
      </c>
      <c r="AT205" s="165" t="s">
        <v>181</v>
      </c>
      <c r="AU205" s="165" t="s">
        <v>82</v>
      </c>
      <c r="AY205" s="14" t="s">
        <v>179</v>
      </c>
      <c r="BE205" s="166">
        <f t="shared" ref="BE205:BE236" si="39">IF(N205="základná",J205,0)</f>
        <v>0</v>
      </c>
      <c r="BF205" s="166">
        <f t="shared" ref="BF205:BF236" si="40">IF(N205="znížená",J205,0)</f>
        <v>0</v>
      </c>
      <c r="BG205" s="166">
        <f t="shared" ref="BG205:BG236" si="41">IF(N205="zákl. prenesená",J205,0)</f>
        <v>0</v>
      </c>
      <c r="BH205" s="166">
        <f t="shared" ref="BH205:BH236" si="42">IF(N205="zníž. prenesená",J205,0)</f>
        <v>0</v>
      </c>
      <c r="BI205" s="166">
        <f t="shared" ref="BI205:BI236" si="43">IF(N205="nulová",J205,0)</f>
        <v>0</v>
      </c>
      <c r="BJ205" s="14" t="s">
        <v>82</v>
      </c>
      <c r="BK205" s="166">
        <f t="shared" ref="BK205:BK236" si="44">ROUND(I205*H205,2)</f>
        <v>0</v>
      </c>
      <c r="BL205" s="14" t="s">
        <v>213</v>
      </c>
      <c r="BM205" s="165" t="s">
        <v>432</v>
      </c>
    </row>
    <row r="206" spans="1:65" s="2" customFormat="1" ht="24.2" customHeight="1">
      <c r="A206" s="29"/>
      <c r="B206" s="152"/>
      <c r="C206" s="153" t="s">
        <v>308</v>
      </c>
      <c r="D206" s="153" t="s">
        <v>181</v>
      </c>
      <c r="E206" s="154" t="s">
        <v>1122</v>
      </c>
      <c r="F206" s="155" t="s">
        <v>1123</v>
      </c>
      <c r="G206" s="156" t="s">
        <v>293</v>
      </c>
      <c r="H206" s="157">
        <v>15</v>
      </c>
      <c r="I206" s="158"/>
      <c r="J206" s="151">
        <v>0</v>
      </c>
      <c r="K206" s="160"/>
      <c r="L206" s="30"/>
      <c r="M206" s="161" t="s">
        <v>1</v>
      </c>
      <c r="N206" s="162" t="s">
        <v>35</v>
      </c>
      <c r="O206" s="58"/>
      <c r="P206" s="163">
        <f t="shared" si="36"/>
        <v>0</v>
      </c>
      <c r="Q206" s="163">
        <v>0</v>
      </c>
      <c r="R206" s="163">
        <f t="shared" si="37"/>
        <v>0</v>
      </c>
      <c r="S206" s="163">
        <v>0</v>
      </c>
      <c r="T206" s="164">
        <f t="shared" si="3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65" t="s">
        <v>213</v>
      </c>
      <c r="AT206" s="165" t="s">
        <v>181</v>
      </c>
      <c r="AU206" s="165" t="s">
        <v>82</v>
      </c>
      <c r="AY206" s="14" t="s">
        <v>179</v>
      </c>
      <c r="BE206" s="166">
        <f t="shared" si="39"/>
        <v>0</v>
      </c>
      <c r="BF206" s="166">
        <f t="shared" si="40"/>
        <v>0</v>
      </c>
      <c r="BG206" s="166">
        <f t="shared" si="41"/>
        <v>0</v>
      </c>
      <c r="BH206" s="166">
        <f t="shared" si="42"/>
        <v>0</v>
      </c>
      <c r="BI206" s="166">
        <f t="shared" si="43"/>
        <v>0</v>
      </c>
      <c r="BJ206" s="14" t="s">
        <v>82</v>
      </c>
      <c r="BK206" s="166">
        <f t="shared" si="44"/>
        <v>0</v>
      </c>
      <c r="BL206" s="14" t="s">
        <v>213</v>
      </c>
      <c r="BM206" s="165" t="s">
        <v>435</v>
      </c>
    </row>
    <row r="207" spans="1:65" s="2" customFormat="1" ht="24.2" customHeight="1">
      <c r="A207" s="29"/>
      <c r="B207" s="152"/>
      <c r="C207" s="153" t="s">
        <v>429</v>
      </c>
      <c r="D207" s="153" t="s">
        <v>181</v>
      </c>
      <c r="E207" s="154" t="s">
        <v>1124</v>
      </c>
      <c r="F207" s="155" t="s">
        <v>1125</v>
      </c>
      <c r="G207" s="156" t="s">
        <v>293</v>
      </c>
      <c r="H207" s="157">
        <v>10</v>
      </c>
      <c r="I207" s="158"/>
      <c r="J207" s="151">
        <v>0</v>
      </c>
      <c r="K207" s="160"/>
      <c r="L207" s="30"/>
      <c r="M207" s="161" t="s">
        <v>1</v>
      </c>
      <c r="N207" s="162" t="s">
        <v>35</v>
      </c>
      <c r="O207" s="58"/>
      <c r="P207" s="163">
        <f t="shared" si="36"/>
        <v>0</v>
      </c>
      <c r="Q207" s="163">
        <v>0</v>
      </c>
      <c r="R207" s="163">
        <f t="shared" si="37"/>
        <v>0</v>
      </c>
      <c r="S207" s="163">
        <v>0</v>
      </c>
      <c r="T207" s="164">
        <f t="shared" si="3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65" t="s">
        <v>213</v>
      </c>
      <c r="AT207" s="165" t="s">
        <v>181</v>
      </c>
      <c r="AU207" s="165" t="s">
        <v>82</v>
      </c>
      <c r="AY207" s="14" t="s">
        <v>179</v>
      </c>
      <c r="BE207" s="166">
        <f t="shared" si="39"/>
        <v>0</v>
      </c>
      <c r="BF207" s="166">
        <f t="shared" si="40"/>
        <v>0</v>
      </c>
      <c r="BG207" s="166">
        <f t="shared" si="41"/>
        <v>0</v>
      </c>
      <c r="BH207" s="166">
        <f t="shared" si="42"/>
        <v>0</v>
      </c>
      <c r="BI207" s="166">
        <f t="shared" si="43"/>
        <v>0</v>
      </c>
      <c r="BJ207" s="14" t="s">
        <v>82</v>
      </c>
      <c r="BK207" s="166">
        <f t="shared" si="44"/>
        <v>0</v>
      </c>
      <c r="BL207" s="14" t="s">
        <v>213</v>
      </c>
      <c r="BM207" s="165" t="s">
        <v>439</v>
      </c>
    </row>
    <row r="208" spans="1:65" s="2" customFormat="1" ht="24.2" customHeight="1">
      <c r="A208" s="29"/>
      <c r="B208" s="152"/>
      <c r="C208" s="153" t="s">
        <v>312</v>
      </c>
      <c r="D208" s="153" t="s">
        <v>181</v>
      </c>
      <c r="E208" s="154" t="s">
        <v>1126</v>
      </c>
      <c r="F208" s="155" t="s">
        <v>1127</v>
      </c>
      <c r="G208" s="156" t="s">
        <v>293</v>
      </c>
      <c r="H208" s="157">
        <v>65</v>
      </c>
      <c r="I208" s="158"/>
      <c r="J208" s="151">
        <v>0</v>
      </c>
      <c r="K208" s="160"/>
      <c r="L208" s="30"/>
      <c r="M208" s="161" t="s">
        <v>1</v>
      </c>
      <c r="N208" s="162" t="s">
        <v>35</v>
      </c>
      <c r="O208" s="58"/>
      <c r="P208" s="163">
        <f t="shared" si="36"/>
        <v>0</v>
      </c>
      <c r="Q208" s="163">
        <v>0</v>
      </c>
      <c r="R208" s="163">
        <f t="shared" si="37"/>
        <v>0</v>
      </c>
      <c r="S208" s="163">
        <v>0</v>
      </c>
      <c r="T208" s="164">
        <f t="shared" si="38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65" t="s">
        <v>213</v>
      </c>
      <c r="AT208" s="165" t="s">
        <v>181</v>
      </c>
      <c r="AU208" s="165" t="s">
        <v>82</v>
      </c>
      <c r="AY208" s="14" t="s">
        <v>179</v>
      </c>
      <c r="BE208" s="166">
        <f t="shared" si="39"/>
        <v>0</v>
      </c>
      <c r="BF208" s="166">
        <f t="shared" si="40"/>
        <v>0</v>
      </c>
      <c r="BG208" s="166">
        <f t="shared" si="41"/>
        <v>0</v>
      </c>
      <c r="BH208" s="166">
        <f t="shared" si="42"/>
        <v>0</v>
      </c>
      <c r="BI208" s="166">
        <f t="shared" si="43"/>
        <v>0</v>
      </c>
      <c r="BJ208" s="14" t="s">
        <v>82</v>
      </c>
      <c r="BK208" s="166">
        <f t="shared" si="44"/>
        <v>0</v>
      </c>
      <c r="BL208" s="14" t="s">
        <v>213</v>
      </c>
      <c r="BM208" s="165" t="s">
        <v>442</v>
      </c>
    </row>
    <row r="209" spans="1:65" s="2" customFormat="1" ht="24.2" customHeight="1">
      <c r="A209" s="29"/>
      <c r="B209" s="152"/>
      <c r="C209" s="153" t="s">
        <v>436</v>
      </c>
      <c r="D209" s="153" t="s">
        <v>181</v>
      </c>
      <c r="E209" s="154" t="s">
        <v>1128</v>
      </c>
      <c r="F209" s="155" t="s">
        <v>1129</v>
      </c>
      <c r="G209" s="156" t="s">
        <v>293</v>
      </c>
      <c r="H209" s="157">
        <v>10</v>
      </c>
      <c r="I209" s="158"/>
      <c r="J209" s="151">
        <v>0</v>
      </c>
      <c r="K209" s="160"/>
      <c r="L209" s="30"/>
      <c r="M209" s="161" t="s">
        <v>1</v>
      </c>
      <c r="N209" s="162" t="s">
        <v>35</v>
      </c>
      <c r="O209" s="58"/>
      <c r="P209" s="163">
        <f t="shared" si="36"/>
        <v>0</v>
      </c>
      <c r="Q209" s="163">
        <v>0</v>
      </c>
      <c r="R209" s="163">
        <f t="shared" si="37"/>
        <v>0</v>
      </c>
      <c r="S209" s="163">
        <v>0</v>
      </c>
      <c r="T209" s="164">
        <f t="shared" si="38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65" t="s">
        <v>213</v>
      </c>
      <c r="AT209" s="165" t="s">
        <v>181</v>
      </c>
      <c r="AU209" s="165" t="s">
        <v>82</v>
      </c>
      <c r="AY209" s="14" t="s">
        <v>179</v>
      </c>
      <c r="BE209" s="166">
        <f t="shared" si="39"/>
        <v>0</v>
      </c>
      <c r="BF209" s="166">
        <f t="shared" si="40"/>
        <v>0</v>
      </c>
      <c r="BG209" s="166">
        <f t="shared" si="41"/>
        <v>0</v>
      </c>
      <c r="BH209" s="166">
        <f t="shared" si="42"/>
        <v>0</v>
      </c>
      <c r="BI209" s="166">
        <f t="shared" si="43"/>
        <v>0</v>
      </c>
      <c r="BJ209" s="14" t="s">
        <v>82</v>
      </c>
      <c r="BK209" s="166">
        <f t="shared" si="44"/>
        <v>0</v>
      </c>
      <c r="BL209" s="14" t="s">
        <v>213</v>
      </c>
      <c r="BM209" s="165" t="s">
        <v>446</v>
      </c>
    </row>
    <row r="210" spans="1:65" s="2" customFormat="1" ht="24.2" customHeight="1">
      <c r="A210" s="29"/>
      <c r="B210" s="152"/>
      <c r="C210" s="153" t="s">
        <v>315</v>
      </c>
      <c r="D210" s="153" t="s">
        <v>181</v>
      </c>
      <c r="E210" s="154" t="s">
        <v>1130</v>
      </c>
      <c r="F210" s="155" t="s">
        <v>1131</v>
      </c>
      <c r="G210" s="156" t="s">
        <v>217</v>
      </c>
      <c r="H210" s="157">
        <v>1</v>
      </c>
      <c r="I210" s="158"/>
      <c r="J210" s="151">
        <v>0</v>
      </c>
      <c r="K210" s="160"/>
      <c r="L210" s="30"/>
      <c r="M210" s="161" t="s">
        <v>1</v>
      </c>
      <c r="N210" s="162" t="s">
        <v>35</v>
      </c>
      <c r="O210" s="58"/>
      <c r="P210" s="163">
        <f t="shared" si="36"/>
        <v>0</v>
      </c>
      <c r="Q210" s="163">
        <v>0</v>
      </c>
      <c r="R210" s="163">
        <f t="shared" si="37"/>
        <v>0</v>
      </c>
      <c r="S210" s="163">
        <v>0</v>
      </c>
      <c r="T210" s="164">
        <f t="shared" si="38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65" t="s">
        <v>213</v>
      </c>
      <c r="AT210" s="165" t="s">
        <v>181</v>
      </c>
      <c r="AU210" s="165" t="s">
        <v>82</v>
      </c>
      <c r="AY210" s="14" t="s">
        <v>179</v>
      </c>
      <c r="BE210" s="166">
        <f t="shared" si="39"/>
        <v>0</v>
      </c>
      <c r="BF210" s="166">
        <f t="shared" si="40"/>
        <v>0</v>
      </c>
      <c r="BG210" s="166">
        <f t="shared" si="41"/>
        <v>0</v>
      </c>
      <c r="BH210" s="166">
        <f t="shared" si="42"/>
        <v>0</v>
      </c>
      <c r="BI210" s="166">
        <f t="shared" si="43"/>
        <v>0</v>
      </c>
      <c r="BJ210" s="14" t="s">
        <v>82</v>
      </c>
      <c r="BK210" s="166">
        <f t="shared" si="44"/>
        <v>0</v>
      </c>
      <c r="BL210" s="14" t="s">
        <v>213</v>
      </c>
      <c r="BM210" s="165" t="s">
        <v>449</v>
      </c>
    </row>
    <row r="211" spans="1:65" s="2" customFormat="1" ht="24.2" customHeight="1">
      <c r="A211" s="29"/>
      <c r="B211" s="152"/>
      <c r="C211" s="153" t="s">
        <v>443</v>
      </c>
      <c r="D211" s="153" t="s">
        <v>181</v>
      </c>
      <c r="E211" s="154" t="s">
        <v>1132</v>
      </c>
      <c r="F211" s="155" t="s">
        <v>1133</v>
      </c>
      <c r="G211" s="156" t="s">
        <v>217</v>
      </c>
      <c r="H211" s="157">
        <v>2</v>
      </c>
      <c r="I211" s="158"/>
      <c r="J211" s="151">
        <v>0</v>
      </c>
      <c r="K211" s="160"/>
      <c r="L211" s="30"/>
      <c r="M211" s="161" t="s">
        <v>1</v>
      </c>
      <c r="N211" s="162" t="s">
        <v>35</v>
      </c>
      <c r="O211" s="58"/>
      <c r="P211" s="163">
        <f t="shared" si="36"/>
        <v>0</v>
      </c>
      <c r="Q211" s="163">
        <v>0</v>
      </c>
      <c r="R211" s="163">
        <f t="shared" si="37"/>
        <v>0</v>
      </c>
      <c r="S211" s="163">
        <v>0</v>
      </c>
      <c r="T211" s="164">
        <f t="shared" si="38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65" t="s">
        <v>213</v>
      </c>
      <c r="AT211" s="165" t="s">
        <v>181</v>
      </c>
      <c r="AU211" s="165" t="s">
        <v>82</v>
      </c>
      <c r="AY211" s="14" t="s">
        <v>179</v>
      </c>
      <c r="BE211" s="166">
        <f t="shared" si="39"/>
        <v>0</v>
      </c>
      <c r="BF211" s="166">
        <f t="shared" si="40"/>
        <v>0</v>
      </c>
      <c r="BG211" s="166">
        <f t="shared" si="41"/>
        <v>0</v>
      </c>
      <c r="BH211" s="166">
        <f t="shared" si="42"/>
        <v>0</v>
      </c>
      <c r="BI211" s="166">
        <f t="shared" si="43"/>
        <v>0</v>
      </c>
      <c r="BJ211" s="14" t="s">
        <v>82</v>
      </c>
      <c r="BK211" s="166">
        <f t="shared" si="44"/>
        <v>0</v>
      </c>
      <c r="BL211" s="14" t="s">
        <v>213</v>
      </c>
      <c r="BM211" s="165" t="s">
        <v>453</v>
      </c>
    </row>
    <row r="212" spans="1:65" s="2" customFormat="1" ht="24.2" customHeight="1">
      <c r="A212" s="29"/>
      <c r="B212" s="152"/>
      <c r="C212" s="153" t="s">
        <v>319</v>
      </c>
      <c r="D212" s="153" t="s">
        <v>181</v>
      </c>
      <c r="E212" s="154" t="s">
        <v>1134</v>
      </c>
      <c r="F212" s="155" t="s">
        <v>1135</v>
      </c>
      <c r="G212" s="156" t="s">
        <v>217</v>
      </c>
      <c r="H212" s="157">
        <v>1</v>
      </c>
      <c r="I212" s="158"/>
      <c r="J212" s="151">
        <v>0</v>
      </c>
      <c r="K212" s="160"/>
      <c r="L212" s="30"/>
      <c r="M212" s="161" t="s">
        <v>1</v>
      </c>
      <c r="N212" s="162" t="s">
        <v>35</v>
      </c>
      <c r="O212" s="58"/>
      <c r="P212" s="163">
        <f t="shared" si="36"/>
        <v>0</v>
      </c>
      <c r="Q212" s="163">
        <v>0</v>
      </c>
      <c r="R212" s="163">
        <f t="shared" si="37"/>
        <v>0</v>
      </c>
      <c r="S212" s="163">
        <v>0</v>
      </c>
      <c r="T212" s="164">
        <f t="shared" si="38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65" t="s">
        <v>213</v>
      </c>
      <c r="AT212" s="165" t="s">
        <v>181</v>
      </c>
      <c r="AU212" s="165" t="s">
        <v>82</v>
      </c>
      <c r="AY212" s="14" t="s">
        <v>179</v>
      </c>
      <c r="BE212" s="166">
        <f t="shared" si="39"/>
        <v>0</v>
      </c>
      <c r="BF212" s="166">
        <f t="shared" si="40"/>
        <v>0</v>
      </c>
      <c r="BG212" s="166">
        <f t="shared" si="41"/>
        <v>0</v>
      </c>
      <c r="BH212" s="166">
        <f t="shared" si="42"/>
        <v>0</v>
      </c>
      <c r="BI212" s="166">
        <f t="shared" si="43"/>
        <v>0</v>
      </c>
      <c r="BJ212" s="14" t="s">
        <v>82</v>
      </c>
      <c r="BK212" s="166">
        <f t="shared" si="44"/>
        <v>0</v>
      </c>
      <c r="BL212" s="14" t="s">
        <v>213</v>
      </c>
      <c r="BM212" s="165" t="s">
        <v>456</v>
      </c>
    </row>
    <row r="213" spans="1:65" s="2" customFormat="1" ht="33" customHeight="1">
      <c r="A213" s="29"/>
      <c r="B213" s="152"/>
      <c r="C213" s="153" t="s">
        <v>450</v>
      </c>
      <c r="D213" s="153" t="s">
        <v>181</v>
      </c>
      <c r="E213" s="154" t="s">
        <v>1136</v>
      </c>
      <c r="F213" s="155" t="s">
        <v>1137</v>
      </c>
      <c r="G213" s="156" t="s">
        <v>191</v>
      </c>
      <c r="H213" s="157">
        <v>0.3</v>
      </c>
      <c r="I213" s="158"/>
      <c r="J213" s="151">
        <v>0</v>
      </c>
      <c r="K213" s="160"/>
      <c r="L213" s="30"/>
      <c r="M213" s="161" t="s">
        <v>1</v>
      </c>
      <c r="N213" s="162" t="s">
        <v>35</v>
      </c>
      <c r="O213" s="58"/>
      <c r="P213" s="163">
        <f t="shared" si="36"/>
        <v>0</v>
      </c>
      <c r="Q213" s="163">
        <v>0</v>
      </c>
      <c r="R213" s="163">
        <f t="shared" si="37"/>
        <v>0</v>
      </c>
      <c r="S213" s="163">
        <v>0</v>
      </c>
      <c r="T213" s="164">
        <f t="shared" si="38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65" t="s">
        <v>213</v>
      </c>
      <c r="AT213" s="165" t="s">
        <v>181</v>
      </c>
      <c r="AU213" s="165" t="s">
        <v>82</v>
      </c>
      <c r="AY213" s="14" t="s">
        <v>179</v>
      </c>
      <c r="BE213" s="166">
        <f t="shared" si="39"/>
        <v>0</v>
      </c>
      <c r="BF213" s="166">
        <f t="shared" si="40"/>
        <v>0</v>
      </c>
      <c r="BG213" s="166">
        <f t="shared" si="41"/>
        <v>0</v>
      </c>
      <c r="BH213" s="166">
        <f t="shared" si="42"/>
        <v>0</v>
      </c>
      <c r="BI213" s="166">
        <f t="shared" si="43"/>
        <v>0</v>
      </c>
      <c r="BJ213" s="14" t="s">
        <v>82</v>
      </c>
      <c r="BK213" s="166">
        <f t="shared" si="44"/>
        <v>0</v>
      </c>
      <c r="BL213" s="14" t="s">
        <v>213</v>
      </c>
      <c r="BM213" s="165" t="s">
        <v>460</v>
      </c>
    </row>
    <row r="214" spans="1:65" s="2" customFormat="1" ht="24.2" customHeight="1">
      <c r="A214" s="29"/>
      <c r="B214" s="152"/>
      <c r="C214" s="153" t="s">
        <v>322</v>
      </c>
      <c r="D214" s="153" t="s">
        <v>181</v>
      </c>
      <c r="E214" s="154" t="s">
        <v>1138</v>
      </c>
      <c r="F214" s="155" t="s">
        <v>1139</v>
      </c>
      <c r="G214" s="156" t="s">
        <v>217</v>
      </c>
      <c r="H214" s="157">
        <v>1</v>
      </c>
      <c r="I214" s="158"/>
      <c r="J214" s="151">
        <v>0</v>
      </c>
      <c r="K214" s="160"/>
      <c r="L214" s="30"/>
      <c r="M214" s="161" t="s">
        <v>1</v>
      </c>
      <c r="N214" s="162" t="s">
        <v>35</v>
      </c>
      <c r="O214" s="58"/>
      <c r="P214" s="163">
        <f t="shared" si="36"/>
        <v>0</v>
      </c>
      <c r="Q214" s="163">
        <v>3.5999999999999999E-3</v>
      </c>
      <c r="R214" s="163">
        <f t="shared" si="37"/>
        <v>3.5999999999999999E-3</v>
      </c>
      <c r="S214" s="163">
        <v>0</v>
      </c>
      <c r="T214" s="164">
        <f t="shared" si="38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65" t="s">
        <v>213</v>
      </c>
      <c r="AT214" s="165" t="s">
        <v>181</v>
      </c>
      <c r="AU214" s="165" t="s">
        <v>82</v>
      </c>
      <c r="AY214" s="14" t="s">
        <v>179</v>
      </c>
      <c r="BE214" s="166">
        <f t="shared" si="39"/>
        <v>0</v>
      </c>
      <c r="BF214" s="166">
        <f t="shared" si="40"/>
        <v>0</v>
      </c>
      <c r="BG214" s="166">
        <f t="shared" si="41"/>
        <v>0</v>
      </c>
      <c r="BH214" s="166">
        <f t="shared" si="42"/>
        <v>0</v>
      </c>
      <c r="BI214" s="166">
        <f t="shared" si="43"/>
        <v>0</v>
      </c>
      <c r="BJ214" s="14" t="s">
        <v>82</v>
      </c>
      <c r="BK214" s="166">
        <f t="shared" si="44"/>
        <v>0</v>
      </c>
      <c r="BL214" s="14" t="s">
        <v>213</v>
      </c>
      <c r="BM214" s="165" t="s">
        <v>463</v>
      </c>
    </row>
    <row r="215" spans="1:65" s="2" customFormat="1" ht="24.2" customHeight="1">
      <c r="A215" s="29"/>
      <c r="B215" s="152"/>
      <c r="C215" s="153" t="s">
        <v>457</v>
      </c>
      <c r="D215" s="153" t="s">
        <v>181</v>
      </c>
      <c r="E215" s="154" t="s">
        <v>1140</v>
      </c>
      <c r="F215" s="155" t="s">
        <v>1141</v>
      </c>
      <c r="G215" s="156" t="s">
        <v>293</v>
      </c>
      <c r="H215" s="157">
        <v>3</v>
      </c>
      <c r="I215" s="158"/>
      <c r="J215" s="151">
        <v>0</v>
      </c>
      <c r="K215" s="160"/>
      <c r="L215" s="30"/>
      <c r="M215" s="161" t="s">
        <v>1</v>
      </c>
      <c r="N215" s="162" t="s">
        <v>35</v>
      </c>
      <c r="O215" s="58"/>
      <c r="P215" s="163">
        <f t="shared" si="36"/>
        <v>0</v>
      </c>
      <c r="Q215" s="163">
        <v>1.1199999999999999E-3</v>
      </c>
      <c r="R215" s="163">
        <f t="shared" si="37"/>
        <v>3.3599999999999997E-3</v>
      </c>
      <c r="S215" s="163">
        <v>0</v>
      </c>
      <c r="T215" s="164">
        <f t="shared" si="38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65" t="s">
        <v>213</v>
      </c>
      <c r="AT215" s="165" t="s">
        <v>181</v>
      </c>
      <c r="AU215" s="165" t="s">
        <v>82</v>
      </c>
      <c r="AY215" s="14" t="s">
        <v>179</v>
      </c>
      <c r="BE215" s="166">
        <f t="shared" si="39"/>
        <v>0</v>
      </c>
      <c r="BF215" s="166">
        <f t="shared" si="40"/>
        <v>0</v>
      </c>
      <c r="BG215" s="166">
        <f t="shared" si="41"/>
        <v>0</v>
      </c>
      <c r="BH215" s="166">
        <f t="shared" si="42"/>
        <v>0</v>
      </c>
      <c r="BI215" s="166">
        <f t="shared" si="43"/>
        <v>0</v>
      </c>
      <c r="BJ215" s="14" t="s">
        <v>82</v>
      </c>
      <c r="BK215" s="166">
        <f t="shared" si="44"/>
        <v>0</v>
      </c>
      <c r="BL215" s="14" t="s">
        <v>213</v>
      </c>
      <c r="BM215" s="165" t="s">
        <v>467</v>
      </c>
    </row>
    <row r="216" spans="1:65" s="2" customFormat="1" ht="24.2" customHeight="1">
      <c r="A216" s="29"/>
      <c r="B216" s="152"/>
      <c r="C216" s="153" t="s">
        <v>326</v>
      </c>
      <c r="D216" s="153" t="s">
        <v>181</v>
      </c>
      <c r="E216" s="154" t="s">
        <v>1142</v>
      </c>
      <c r="F216" s="155" t="s">
        <v>1143</v>
      </c>
      <c r="G216" s="156" t="s">
        <v>293</v>
      </c>
      <c r="H216" s="157">
        <v>2</v>
      </c>
      <c r="I216" s="158"/>
      <c r="J216" s="151">
        <v>0</v>
      </c>
      <c r="K216" s="160"/>
      <c r="L216" s="30"/>
      <c r="M216" s="161" t="s">
        <v>1</v>
      </c>
      <c r="N216" s="162" t="s">
        <v>35</v>
      </c>
      <c r="O216" s="58"/>
      <c r="P216" s="163">
        <f t="shared" si="36"/>
        <v>0</v>
      </c>
      <c r="Q216" s="163">
        <v>1.0399999999999999E-3</v>
      </c>
      <c r="R216" s="163">
        <f t="shared" si="37"/>
        <v>2.0799999999999998E-3</v>
      </c>
      <c r="S216" s="163">
        <v>0</v>
      </c>
      <c r="T216" s="164">
        <f t="shared" si="38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65" t="s">
        <v>213</v>
      </c>
      <c r="AT216" s="165" t="s">
        <v>181</v>
      </c>
      <c r="AU216" s="165" t="s">
        <v>82</v>
      </c>
      <c r="AY216" s="14" t="s">
        <v>179</v>
      </c>
      <c r="BE216" s="166">
        <f t="shared" si="39"/>
        <v>0</v>
      </c>
      <c r="BF216" s="166">
        <f t="shared" si="40"/>
        <v>0</v>
      </c>
      <c r="BG216" s="166">
        <f t="shared" si="41"/>
        <v>0</v>
      </c>
      <c r="BH216" s="166">
        <f t="shared" si="42"/>
        <v>0</v>
      </c>
      <c r="BI216" s="166">
        <f t="shared" si="43"/>
        <v>0</v>
      </c>
      <c r="BJ216" s="14" t="s">
        <v>82</v>
      </c>
      <c r="BK216" s="166">
        <f t="shared" si="44"/>
        <v>0</v>
      </c>
      <c r="BL216" s="14" t="s">
        <v>213</v>
      </c>
      <c r="BM216" s="165" t="s">
        <v>470</v>
      </c>
    </row>
    <row r="217" spans="1:65" s="2" customFormat="1" ht="33" customHeight="1">
      <c r="A217" s="29"/>
      <c r="B217" s="152"/>
      <c r="C217" s="153" t="s">
        <v>464</v>
      </c>
      <c r="D217" s="153" t="s">
        <v>181</v>
      </c>
      <c r="E217" s="154" t="s">
        <v>1144</v>
      </c>
      <c r="F217" s="155" t="s">
        <v>1145</v>
      </c>
      <c r="G217" s="156" t="s">
        <v>293</v>
      </c>
      <c r="H217" s="157">
        <v>15</v>
      </c>
      <c r="I217" s="158"/>
      <c r="J217" s="151">
        <v>0</v>
      </c>
      <c r="K217" s="160"/>
      <c r="L217" s="30"/>
      <c r="M217" s="161" t="s">
        <v>1</v>
      </c>
      <c r="N217" s="162" t="s">
        <v>35</v>
      </c>
      <c r="O217" s="58"/>
      <c r="P217" s="163">
        <f t="shared" si="36"/>
        <v>0</v>
      </c>
      <c r="Q217" s="163">
        <v>1.99E-3</v>
      </c>
      <c r="R217" s="163">
        <f t="shared" si="37"/>
        <v>2.9850000000000002E-2</v>
      </c>
      <c r="S217" s="163">
        <v>0</v>
      </c>
      <c r="T217" s="164">
        <f t="shared" si="38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65" t="s">
        <v>213</v>
      </c>
      <c r="AT217" s="165" t="s">
        <v>181</v>
      </c>
      <c r="AU217" s="165" t="s">
        <v>82</v>
      </c>
      <c r="AY217" s="14" t="s">
        <v>179</v>
      </c>
      <c r="BE217" s="166">
        <f t="shared" si="39"/>
        <v>0</v>
      </c>
      <c r="BF217" s="166">
        <f t="shared" si="40"/>
        <v>0</v>
      </c>
      <c r="BG217" s="166">
        <f t="shared" si="41"/>
        <v>0</v>
      </c>
      <c r="BH217" s="166">
        <f t="shared" si="42"/>
        <v>0</v>
      </c>
      <c r="BI217" s="166">
        <f t="shared" si="43"/>
        <v>0</v>
      </c>
      <c r="BJ217" s="14" t="s">
        <v>82</v>
      </c>
      <c r="BK217" s="166">
        <f t="shared" si="44"/>
        <v>0</v>
      </c>
      <c r="BL217" s="14" t="s">
        <v>213</v>
      </c>
      <c r="BM217" s="165" t="s">
        <v>474</v>
      </c>
    </row>
    <row r="218" spans="1:65" s="2" customFormat="1" ht="33" customHeight="1">
      <c r="A218" s="29"/>
      <c r="B218" s="152"/>
      <c r="C218" s="153" t="s">
        <v>329</v>
      </c>
      <c r="D218" s="153" t="s">
        <v>181</v>
      </c>
      <c r="E218" s="154" t="s">
        <v>1146</v>
      </c>
      <c r="F218" s="155" t="s">
        <v>1147</v>
      </c>
      <c r="G218" s="156" t="s">
        <v>293</v>
      </c>
      <c r="H218" s="157">
        <v>1</v>
      </c>
      <c r="I218" s="158"/>
      <c r="J218" s="151">
        <v>0</v>
      </c>
      <c r="K218" s="160"/>
      <c r="L218" s="30"/>
      <c r="M218" s="161" t="s">
        <v>1</v>
      </c>
      <c r="N218" s="162" t="s">
        <v>35</v>
      </c>
      <c r="O218" s="58"/>
      <c r="P218" s="163">
        <f t="shared" si="36"/>
        <v>0</v>
      </c>
      <c r="Q218" s="163">
        <v>3.16E-3</v>
      </c>
      <c r="R218" s="163">
        <f t="shared" si="37"/>
        <v>3.16E-3</v>
      </c>
      <c r="S218" s="163">
        <v>0</v>
      </c>
      <c r="T218" s="164">
        <f t="shared" si="38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65" t="s">
        <v>213</v>
      </c>
      <c r="AT218" s="165" t="s">
        <v>181</v>
      </c>
      <c r="AU218" s="165" t="s">
        <v>82</v>
      </c>
      <c r="AY218" s="14" t="s">
        <v>179</v>
      </c>
      <c r="BE218" s="166">
        <f t="shared" si="39"/>
        <v>0</v>
      </c>
      <c r="BF218" s="166">
        <f t="shared" si="40"/>
        <v>0</v>
      </c>
      <c r="BG218" s="166">
        <f t="shared" si="41"/>
        <v>0</v>
      </c>
      <c r="BH218" s="166">
        <f t="shared" si="42"/>
        <v>0</v>
      </c>
      <c r="BI218" s="166">
        <f t="shared" si="43"/>
        <v>0</v>
      </c>
      <c r="BJ218" s="14" t="s">
        <v>82</v>
      </c>
      <c r="BK218" s="166">
        <f t="shared" si="44"/>
        <v>0</v>
      </c>
      <c r="BL218" s="14" t="s">
        <v>213</v>
      </c>
      <c r="BM218" s="165" t="s">
        <v>478</v>
      </c>
    </row>
    <row r="219" spans="1:65" s="2" customFormat="1" ht="33" customHeight="1">
      <c r="A219" s="29"/>
      <c r="B219" s="152"/>
      <c r="C219" s="153" t="s">
        <v>471</v>
      </c>
      <c r="D219" s="153" t="s">
        <v>181</v>
      </c>
      <c r="E219" s="154" t="s">
        <v>1148</v>
      </c>
      <c r="F219" s="155" t="s">
        <v>1149</v>
      </c>
      <c r="G219" s="156" t="s">
        <v>293</v>
      </c>
      <c r="H219" s="157">
        <v>17</v>
      </c>
      <c r="I219" s="158"/>
      <c r="J219" s="151">
        <v>0</v>
      </c>
      <c r="K219" s="160"/>
      <c r="L219" s="30"/>
      <c r="M219" s="161" t="s">
        <v>1</v>
      </c>
      <c r="N219" s="162" t="s">
        <v>35</v>
      </c>
      <c r="O219" s="58"/>
      <c r="P219" s="163">
        <f t="shared" si="36"/>
        <v>0</v>
      </c>
      <c r="Q219" s="163">
        <v>3.8899999999999998E-3</v>
      </c>
      <c r="R219" s="163">
        <f t="shared" si="37"/>
        <v>6.6129999999999994E-2</v>
      </c>
      <c r="S219" s="163">
        <v>0</v>
      </c>
      <c r="T219" s="164">
        <f t="shared" si="38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65" t="s">
        <v>213</v>
      </c>
      <c r="AT219" s="165" t="s">
        <v>181</v>
      </c>
      <c r="AU219" s="165" t="s">
        <v>82</v>
      </c>
      <c r="AY219" s="14" t="s">
        <v>179</v>
      </c>
      <c r="BE219" s="166">
        <f t="shared" si="39"/>
        <v>0</v>
      </c>
      <c r="BF219" s="166">
        <f t="shared" si="40"/>
        <v>0</v>
      </c>
      <c r="BG219" s="166">
        <f t="shared" si="41"/>
        <v>0</v>
      </c>
      <c r="BH219" s="166">
        <f t="shared" si="42"/>
        <v>0</v>
      </c>
      <c r="BI219" s="166">
        <f t="shared" si="43"/>
        <v>0</v>
      </c>
      <c r="BJ219" s="14" t="s">
        <v>82</v>
      </c>
      <c r="BK219" s="166">
        <f t="shared" si="44"/>
        <v>0</v>
      </c>
      <c r="BL219" s="14" t="s">
        <v>213</v>
      </c>
      <c r="BM219" s="165" t="s">
        <v>482</v>
      </c>
    </row>
    <row r="220" spans="1:65" s="2" customFormat="1" ht="33" customHeight="1">
      <c r="A220" s="29"/>
      <c r="B220" s="152"/>
      <c r="C220" s="153" t="s">
        <v>333</v>
      </c>
      <c r="D220" s="153" t="s">
        <v>181</v>
      </c>
      <c r="E220" s="154" t="s">
        <v>1150</v>
      </c>
      <c r="F220" s="155" t="s">
        <v>1151</v>
      </c>
      <c r="G220" s="156" t="s">
        <v>293</v>
      </c>
      <c r="H220" s="157">
        <v>15</v>
      </c>
      <c r="I220" s="158"/>
      <c r="J220" s="151">
        <v>0</v>
      </c>
      <c r="K220" s="160"/>
      <c r="L220" s="30"/>
      <c r="M220" s="161" t="s">
        <v>1</v>
      </c>
      <c r="N220" s="162" t="s">
        <v>35</v>
      </c>
      <c r="O220" s="58"/>
      <c r="P220" s="163">
        <f t="shared" si="36"/>
        <v>0</v>
      </c>
      <c r="Q220" s="163">
        <v>4.6499999999999996E-3</v>
      </c>
      <c r="R220" s="163">
        <f t="shared" si="37"/>
        <v>6.9749999999999993E-2</v>
      </c>
      <c r="S220" s="163">
        <v>0</v>
      </c>
      <c r="T220" s="164">
        <f t="shared" si="38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65" t="s">
        <v>213</v>
      </c>
      <c r="AT220" s="165" t="s">
        <v>181</v>
      </c>
      <c r="AU220" s="165" t="s">
        <v>82</v>
      </c>
      <c r="AY220" s="14" t="s">
        <v>179</v>
      </c>
      <c r="BE220" s="166">
        <f t="shared" si="39"/>
        <v>0</v>
      </c>
      <c r="BF220" s="166">
        <f t="shared" si="40"/>
        <v>0</v>
      </c>
      <c r="BG220" s="166">
        <f t="shared" si="41"/>
        <v>0</v>
      </c>
      <c r="BH220" s="166">
        <f t="shared" si="42"/>
        <v>0</v>
      </c>
      <c r="BI220" s="166">
        <f t="shared" si="43"/>
        <v>0</v>
      </c>
      <c r="BJ220" s="14" t="s">
        <v>82</v>
      </c>
      <c r="BK220" s="166">
        <f t="shared" si="44"/>
        <v>0</v>
      </c>
      <c r="BL220" s="14" t="s">
        <v>213</v>
      </c>
      <c r="BM220" s="165" t="s">
        <v>485</v>
      </c>
    </row>
    <row r="221" spans="1:65" s="2" customFormat="1" ht="33" customHeight="1">
      <c r="A221" s="29"/>
      <c r="B221" s="152"/>
      <c r="C221" s="153" t="s">
        <v>479</v>
      </c>
      <c r="D221" s="153" t="s">
        <v>181</v>
      </c>
      <c r="E221" s="154" t="s">
        <v>1152</v>
      </c>
      <c r="F221" s="155" t="s">
        <v>1153</v>
      </c>
      <c r="G221" s="156" t="s">
        <v>293</v>
      </c>
      <c r="H221" s="157">
        <v>30</v>
      </c>
      <c r="I221" s="158"/>
      <c r="J221" s="151">
        <v>0</v>
      </c>
      <c r="K221" s="160"/>
      <c r="L221" s="30"/>
      <c r="M221" s="161" t="s">
        <v>1</v>
      </c>
      <c r="N221" s="162" t="s">
        <v>35</v>
      </c>
      <c r="O221" s="58"/>
      <c r="P221" s="163">
        <f t="shared" si="36"/>
        <v>0</v>
      </c>
      <c r="Q221" s="163">
        <v>6.5900000000000004E-3</v>
      </c>
      <c r="R221" s="163">
        <f t="shared" si="37"/>
        <v>0.19770000000000001</v>
      </c>
      <c r="S221" s="163">
        <v>0</v>
      </c>
      <c r="T221" s="164">
        <f t="shared" si="38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65" t="s">
        <v>213</v>
      </c>
      <c r="AT221" s="165" t="s">
        <v>181</v>
      </c>
      <c r="AU221" s="165" t="s">
        <v>82</v>
      </c>
      <c r="AY221" s="14" t="s">
        <v>179</v>
      </c>
      <c r="BE221" s="166">
        <f t="shared" si="39"/>
        <v>0</v>
      </c>
      <c r="BF221" s="166">
        <f t="shared" si="40"/>
        <v>0</v>
      </c>
      <c r="BG221" s="166">
        <f t="shared" si="41"/>
        <v>0</v>
      </c>
      <c r="BH221" s="166">
        <f t="shared" si="42"/>
        <v>0</v>
      </c>
      <c r="BI221" s="166">
        <f t="shared" si="43"/>
        <v>0</v>
      </c>
      <c r="BJ221" s="14" t="s">
        <v>82</v>
      </c>
      <c r="BK221" s="166">
        <f t="shared" si="44"/>
        <v>0</v>
      </c>
      <c r="BL221" s="14" t="s">
        <v>213</v>
      </c>
      <c r="BM221" s="165" t="s">
        <v>489</v>
      </c>
    </row>
    <row r="222" spans="1:65" s="2" customFormat="1" ht="37.9" customHeight="1">
      <c r="A222" s="29"/>
      <c r="B222" s="152"/>
      <c r="C222" s="153" t="s">
        <v>336</v>
      </c>
      <c r="D222" s="153" t="s">
        <v>181</v>
      </c>
      <c r="E222" s="154" t="s">
        <v>1154</v>
      </c>
      <c r="F222" s="155" t="s">
        <v>1155</v>
      </c>
      <c r="G222" s="156" t="s">
        <v>293</v>
      </c>
      <c r="H222" s="157">
        <v>10</v>
      </c>
      <c r="I222" s="158"/>
      <c r="J222" s="151">
        <v>0</v>
      </c>
      <c r="K222" s="160"/>
      <c r="L222" s="30"/>
      <c r="M222" s="161" t="s">
        <v>1</v>
      </c>
      <c r="N222" s="162" t="s">
        <v>35</v>
      </c>
      <c r="O222" s="58"/>
      <c r="P222" s="163">
        <f t="shared" si="36"/>
        <v>0</v>
      </c>
      <c r="Q222" s="163">
        <v>4.8999999999999998E-4</v>
      </c>
      <c r="R222" s="163">
        <f t="shared" si="37"/>
        <v>4.8999999999999998E-3</v>
      </c>
      <c r="S222" s="163">
        <v>0</v>
      </c>
      <c r="T222" s="164">
        <f t="shared" si="38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65" t="s">
        <v>213</v>
      </c>
      <c r="AT222" s="165" t="s">
        <v>181</v>
      </c>
      <c r="AU222" s="165" t="s">
        <v>82</v>
      </c>
      <c r="AY222" s="14" t="s">
        <v>179</v>
      </c>
      <c r="BE222" s="166">
        <f t="shared" si="39"/>
        <v>0</v>
      </c>
      <c r="BF222" s="166">
        <f t="shared" si="40"/>
        <v>0</v>
      </c>
      <c r="BG222" s="166">
        <f t="shared" si="41"/>
        <v>0</v>
      </c>
      <c r="BH222" s="166">
        <f t="shared" si="42"/>
        <v>0</v>
      </c>
      <c r="BI222" s="166">
        <f t="shared" si="43"/>
        <v>0</v>
      </c>
      <c r="BJ222" s="14" t="s">
        <v>82</v>
      </c>
      <c r="BK222" s="166">
        <f t="shared" si="44"/>
        <v>0</v>
      </c>
      <c r="BL222" s="14" t="s">
        <v>213</v>
      </c>
      <c r="BM222" s="165" t="s">
        <v>492</v>
      </c>
    </row>
    <row r="223" spans="1:65" s="2" customFormat="1" ht="37.9" customHeight="1">
      <c r="A223" s="29"/>
      <c r="B223" s="152"/>
      <c r="C223" s="153" t="s">
        <v>486</v>
      </c>
      <c r="D223" s="153" t="s">
        <v>181</v>
      </c>
      <c r="E223" s="154" t="s">
        <v>1156</v>
      </c>
      <c r="F223" s="155" t="s">
        <v>1157</v>
      </c>
      <c r="G223" s="156" t="s">
        <v>293</v>
      </c>
      <c r="H223" s="157">
        <v>7</v>
      </c>
      <c r="I223" s="158"/>
      <c r="J223" s="151">
        <v>0</v>
      </c>
      <c r="K223" s="160"/>
      <c r="L223" s="30"/>
      <c r="M223" s="161" t="s">
        <v>1</v>
      </c>
      <c r="N223" s="162" t="s">
        <v>35</v>
      </c>
      <c r="O223" s="58"/>
      <c r="P223" s="163">
        <f t="shared" si="36"/>
        <v>0</v>
      </c>
      <c r="Q223" s="163">
        <v>6.0999999999999997E-4</v>
      </c>
      <c r="R223" s="163">
        <f t="shared" si="37"/>
        <v>4.2699999999999995E-3</v>
      </c>
      <c r="S223" s="163">
        <v>0</v>
      </c>
      <c r="T223" s="164">
        <f t="shared" si="38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65" t="s">
        <v>213</v>
      </c>
      <c r="AT223" s="165" t="s">
        <v>181</v>
      </c>
      <c r="AU223" s="165" t="s">
        <v>82</v>
      </c>
      <c r="AY223" s="14" t="s">
        <v>179</v>
      </c>
      <c r="BE223" s="166">
        <f t="shared" si="39"/>
        <v>0</v>
      </c>
      <c r="BF223" s="166">
        <f t="shared" si="40"/>
        <v>0</v>
      </c>
      <c r="BG223" s="166">
        <f t="shared" si="41"/>
        <v>0</v>
      </c>
      <c r="BH223" s="166">
        <f t="shared" si="42"/>
        <v>0</v>
      </c>
      <c r="BI223" s="166">
        <f t="shared" si="43"/>
        <v>0</v>
      </c>
      <c r="BJ223" s="14" t="s">
        <v>82</v>
      </c>
      <c r="BK223" s="166">
        <f t="shared" si="44"/>
        <v>0</v>
      </c>
      <c r="BL223" s="14" t="s">
        <v>213</v>
      </c>
      <c r="BM223" s="165" t="s">
        <v>496</v>
      </c>
    </row>
    <row r="224" spans="1:65" s="2" customFormat="1" ht="37.9" customHeight="1">
      <c r="A224" s="29"/>
      <c r="B224" s="152"/>
      <c r="C224" s="153" t="s">
        <v>340</v>
      </c>
      <c r="D224" s="153" t="s">
        <v>181</v>
      </c>
      <c r="E224" s="154" t="s">
        <v>1158</v>
      </c>
      <c r="F224" s="155" t="s">
        <v>1159</v>
      </c>
      <c r="G224" s="156" t="s">
        <v>293</v>
      </c>
      <c r="H224" s="157">
        <v>45</v>
      </c>
      <c r="I224" s="158"/>
      <c r="J224" s="151">
        <v>0</v>
      </c>
      <c r="K224" s="160"/>
      <c r="L224" s="30"/>
      <c r="M224" s="161" t="s">
        <v>1</v>
      </c>
      <c r="N224" s="162" t="s">
        <v>35</v>
      </c>
      <c r="O224" s="58"/>
      <c r="P224" s="163">
        <f t="shared" si="36"/>
        <v>0</v>
      </c>
      <c r="Q224" s="163">
        <v>7.1000000000000002E-4</v>
      </c>
      <c r="R224" s="163">
        <f t="shared" si="37"/>
        <v>3.1949999999999999E-2</v>
      </c>
      <c r="S224" s="163">
        <v>0</v>
      </c>
      <c r="T224" s="164">
        <f t="shared" si="38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65" t="s">
        <v>213</v>
      </c>
      <c r="AT224" s="165" t="s">
        <v>181</v>
      </c>
      <c r="AU224" s="165" t="s">
        <v>82</v>
      </c>
      <c r="AY224" s="14" t="s">
        <v>179</v>
      </c>
      <c r="BE224" s="166">
        <f t="shared" si="39"/>
        <v>0</v>
      </c>
      <c r="BF224" s="166">
        <f t="shared" si="40"/>
        <v>0</v>
      </c>
      <c r="BG224" s="166">
        <f t="shared" si="41"/>
        <v>0</v>
      </c>
      <c r="BH224" s="166">
        <f t="shared" si="42"/>
        <v>0</v>
      </c>
      <c r="BI224" s="166">
        <f t="shared" si="43"/>
        <v>0</v>
      </c>
      <c r="BJ224" s="14" t="s">
        <v>82</v>
      </c>
      <c r="BK224" s="166">
        <f t="shared" si="44"/>
        <v>0</v>
      </c>
      <c r="BL224" s="14" t="s">
        <v>213</v>
      </c>
      <c r="BM224" s="165" t="s">
        <v>499</v>
      </c>
    </row>
    <row r="225" spans="1:65" s="2" customFormat="1" ht="37.9" customHeight="1">
      <c r="A225" s="29"/>
      <c r="B225" s="152"/>
      <c r="C225" s="153" t="s">
        <v>493</v>
      </c>
      <c r="D225" s="153" t="s">
        <v>181</v>
      </c>
      <c r="E225" s="154" t="s">
        <v>1160</v>
      </c>
      <c r="F225" s="155" t="s">
        <v>1161</v>
      </c>
      <c r="G225" s="156" t="s">
        <v>293</v>
      </c>
      <c r="H225" s="157">
        <v>2</v>
      </c>
      <c r="I225" s="158"/>
      <c r="J225" s="151">
        <v>0</v>
      </c>
      <c r="K225" s="160"/>
      <c r="L225" s="30"/>
      <c r="M225" s="161" t="s">
        <v>1</v>
      </c>
      <c r="N225" s="162" t="s">
        <v>35</v>
      </c>
      <c r="O225" s="58"/>
      <c r="P225" s="163">
        <f t="shared" si="36"/>
        <v>0</v>
      </c>
      <c r="Q225" s="163">
        <v>1.09E-3</v>
      </c>
      <c r="R225" s="163">
        <f t="shared" si="37"/>
        <v>2.1800000000000001E-3</v>
      </c>
      <c r="S225" s="163">
        <v>0</v>
      </c>
      <c r="T225" s="164">
        <f t="shared" si="38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65" t="s">
        <v>213</v>
      </c>
      <c r="AT225" s="165" t="s">
        <v>181</v>
      </c>
      <c r="AU225" s="165" t="s">
        <v>82</v>
      </c>
      <c r="AY225" s="14" t="s">
        <v>179</v>
      </c>
      <c r="BE225" s="166">
        <f t="shared" si="39"/>
        <v>0</v>
      </c>
      <c r="BF225" s="166">
        <f t="shared" si="40"/>
        <v>0</v>
      </c>
      <c r="BG225" s="166">
        <f t="shared" si="41"/>
        <v>0</v>
      </c>
      <c r="BH225" s="166">
        <f t="shared" si="42"/>
        <v>0</v>
      </c>
      <c r="BI225" s="166">
        <f t="shared" si="43"/>
        <v>0</v>
      </c>
      <c r="BJ225" s="14" t="s">
        <v>82</v>
      </c>
      <c r="BK225" s="166">
        <f t="shared" si="44"/>
        <v>0</v>
      </c>
      <c r="BL225" s="14" t="s">
        <v>213</v>
      </c>
      <c r="BM225" s="165" t="s">
        <v>503</v>
      </c>
    </row>
    <row r="226" spans="1:65" s="2" customFormat="1" ht="16.5" customHeight="1">
      <c r="A226" s="29"/>
      <c r="B226" s="152"/>
      <c r="C226" s="153" t="s">
        <v>343</v>
      </c>
      <c r="D226" s="153" t="s">
        <v>181</v>
      </c>
      <c r="E226" s="154" t="s">
        <v>1162</v>
      </c>
      <c r="F226" s="155" t="s">
        <v>1163</v>
      </c>
      <c r="G226" s="156" t="s">
        <v>217</v>
      </c>
      <c r="H226" s="157">
        <v>8</v>
      </c>
      <c r="I226" s="158"/>
      <c r="J226" s="151">
        <v>0</v>
      </c>
      <c r="K226" s="160"/>
      <c r="L226" s="30"/>
      <c r="M226" s="161" t="s">
        <v>1</v>
      </c>
      <c r="N226" s="162" t="s">
        <v>35</v>
      </c>
      <c r="O226" s="58"/>
      <c r="P226" s="163">
        <f t="shared" si="36"/>
        <v>0</v>
      </c>
      <c r="Q226" s="163">
        <v>0</v>
      </c>
      <c r="R226" s="163">
        <f t="shared" si="37"/>
        <v>0</v>
      </c>
      <c r="S226" s="163">
        <v>0</v>
      </c>
      <c r="T226" s="164">
        <f t="shared" si="38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65" t="s">
        <v>213</v>
      </c>
      <c r="AT226" s="165" t="s">
        <v>181</v>
      </c>
      <c r="AU226" s="165" t="s">
        <v>82</v>
      </c>
      <c r="AY226" s="14" t="s">
        <v>179</v>
      </c>
      <c r="BE226" s="166">
        <f t="shared" si="39"/>
        <v>0</v>
      </c>
      <c r="BF226" s="166">
        <f t="shared" si="40"/>
        <v>0</v>
      </c>
      <c r="BG226" s="166">
        <f t="shared" si="41"/>
        <v>0</v>
      </c>
      <c r="BH226" s="166">
        <f t="shared" si="42"/>
        <v>0</v>
      </c>
      <c r="BI226" s="166">
        <f t="shared" si="43"/>
        <v>0</v>
      </c>
      <c r="BJ226" s="14" t="s">
        <v>82</v>
      </c>
      <c r="BK226" s="166">
        <f t="shared" si="44"/>
        <v>0</v>
      </c>
      <c r="BL226" s="14" t="s">
        <v>213</v>
      </c>
      <c r="BM226" s="165" t="s">
        <v>506</v>
      </c>
    </row>
    <row r="227" spans="1:65" s="2" customFormat="1" ht="16.5" customHeight="1">
      <c r="A227" s="29"/>
      <c r="B227" s="152"/>
      <c r="C227" s="153" t="s">
        <v>500</v>
      </c>
      <c r="D227" s="153" t="s">
        <v>181</v>
      </c>
      <c r="E227" s="154" t="s">
        <v>1164</v>
      </c>
      <c r="F227" s="155" t="s">
        <v>1165</v>
      </c>
      <c r="G227" s="156" t="s">
        <v>217</v>
      </c>
      <c r="H227" s="157">
        <v>2</v>
      </c>
      <c r="I227" s="158"/>
      <c r="J227" s="151">
        <v>0</v>
      </c>
      <c r="K227" s="160"/>
      <c r="L227" s="30"/>
      <c r="M227" s="161" t="s">
        <v>1</v>
      </c>
      <c r="N227" s="162" t="s">
        <v>35</v>
      </c>
      <c r="O227" s="58"/>
      <c r="P227" s="163">
        <f t="shared" si="36"/>
        <v>0</v>
      </c>
      <c r="Q227" s="163">
        <v>0</v>
      </c>
      <c r="R227" s="163">
        <f t="shared" si="37"/>
        <v>0</v>
      </c>
      <c r="S227" s="163">
        <v>0</v>
      </c>
      <c r="T227" s="164">
        <f t="shared" si="38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65" t="s">
        <v>213</v>
      </c>
      <c r="AT227" s="165" t="s">
        <v>181</v>
      </c>
      <c r="AU227" s="165" t="s">
        <v>82</v>
      </c>
      <c r="AY227" s="14" t="s">
        <v>179</v>
      </c>
      <c r="BE227" s="166">
        <f t="shared" si="39"/>
        <v>0</v>
      </c>
      <c r="BF227" s="166">
        <f t="shared" si="40"/>
        <v>0</v>
      </c>
      <c r="BG227" s="166">
        <f t="shared" si="41"/>
        <v>0</v>
      </c>
      <c r="BH227" s="166">
        <f t="shared" si="42"/>
        <v>0</v>
      </c>
      <c r="BI227" s="166">
        <f t="shared" si="43"/>
        <v>0</v>
      </c>
      <c r="BJ227" s="14" t="s">
        <v>82</v>
      </c>
      <c r="BK227" s="166">
        <f t="shared" si="44"/>
        <v>0</v>
      </c>
      <c r="BL227" s="14" t="s">
        <v>213</v>
      </c>
      <c r="BM227" s="165" t="s">
        <v>510</v>
      </c>
    </row>
    <row r="228" spans="1:65" s="2" customFormat="1" ht="24.2" customHeight="1">
      <c r="A228" s="29"/>
      <c r="B228" s="152"/>
      <c r="C228" s="153" t="s">
        <v>354</v>
      </c>
      <c r="D228" s="153" t="s">
        <v>181</v>
      </c>
      <c r="E228" s="154" t="s">
        <v>1166</v>
      </c>
      <c r="F228" s="155" t="s">
        <v>1167</v>
      </c>
      <c r="G228" s="156" t="s">
        <v>217</v>
      </c>
      <c r="H228" s="157">
        <v>1</v>
      </c>
      <c r="I228" s="158"/>
      <c r="J228" s="151">
        <v>0</v>
      </c>
      <c r="K228" s="160"/>
      <c r="L228" s="30"/>
      <c r="M228" s="161" t="s">
        <v>1</v>
      </c>
      <c r="N228" s="162" t="s">
        <v>35</v>
      </c>
      <c r="O228" s="58"/>
      <c r="P228" s="163">
        <f t="shared" si="36"/>
        <v>0</v>
      </c>
      <c r="Q228" s="163">
        <v>2.0000000000000002E-5</v>
      </c>
      <c r="R228" s="163">
        <f t="shared" si="37"/>
        <v>2.0000000000000002E-5</v>
      </c>
      <c r="S228" s="163">
        <v>0</v>
      </c>
      <c r="T228" s="164">
        <f t="shared" si="38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65" t="s">
        <v>213</v>
      </c>
      <c r="AT228" s="165" t="s">
        <v>181</v>
      </c>
      <c r="AU228" s="165" t="s">
        <v>82</v>
      </c>
      <c r="AY228" s="14" t="s">
        <v>179</v>
      </c>
      <c r="BE228" s="166">
        <f t="shared" si="39"/>
        <v>0</v>
      </c>
      <c r="BF228" s="166">
        <f t="shared" si="40"/>
        <v>0</v>
      </c>
      <c r="BG228" s="166">
        <f t="shared" si="41"/>
        <v>0</v>
      </c>
      <c r="BH228" s="166">
        <f t="shared" si="42"/>
        <v>0</v>
      </c>
      <c r="BI228" s="166">
        <f t="shared" si="43"/>
        <v>0</v>
      </c>
      <c r="BJ228" s="14" t="s">
        <v>82</v>
      </c>
      <c r="BK228" s="166">
        <f t="shared" si="44"/>
        <v>0</v>
      </c>
      <c r="BL228" s="14" t="s">
        <v>213</v>
      </c>
      <c r="BM228" s="165" t="s">
        <v>517</v>
      </c>
    </row>
    <row r="229" spans="1:65" s="2" customFormat="1" ht="24.2" customHeight="1">
      <c r="A229" s="29"/>
      <c r="B229" s="152"/>
      <c r="C229" s="167" t="s">
        <v>507</v>
      </c>
      <c r="D229" s="167" t="s">
        <v>202</v>
      </c>
      <c r="E229" s="168" t="s">
        <v>1168</v>
      </c>
      <c r="F229" s="169" t="s">
        <v>1169</v>
      </c>
      <c r="G229" s="170" t="s">
        <v>217</v>
      </c>
      <c r="H229" s="171">
        <v>1</v>
      </c>
      <c r="I229" s="172"/>
      <c r="J229" s="151">
        <v>0</v>
      </c>
      <c r="K229" s="174"/>
      <c r="L229" s="175"/>
      <c r="M229" s="176" t="s">
        <v>1</v>
      </c>
      <c r="N229" s="177" t="s">
        <v>35</v>
      </c>
      <c r="O229" s="58"/>
      <c r="P229" s="163">
        <f t="shared" si="36"/>
        <v>0</v>
      </c>
      <c r="Q229" s="163">
        <v>1.3999999999999999E-4</v>
      </c>
      <c r="R229" s="163">
        <f t="shared" si="37"/>
        <v>1.3999999999999999E-4</v>
      </c>
      <c r="S229" s="163">
        <v>0</v>
      </c>
      <c r="T229" s="164">
        <f t="shared" si="38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65" t="s">
        <v>242</v>
      </c>
      <c r="AT229" s="165" t="s">
        <v>202</v>
      </c>
      <c r="AU229" s="165" t="s">
        <v>82</v>
      </c>
      <c r="AY229" s="14" t="s">
        <v>179</v>
      </c>
      <c r="BE229" s="166">
        <f t="shared" si="39"/>
        <v>0</v>
      </c>
      <c r="BF229" s="166">
        <f t="shared" si="40"/>
        <v>0</v>
      </c>
      <c r="BG229" s="166">
        <f t="shared" si="41"/>
        <v>0</v>
      </c>
      <c r="BH229" s="166">
        <f t="shared" si="42"/>
        <v>0</v>
      </c>
      <c r="BI229" s="166">
        <f t="shared" si="43"/>
        <v>0</v>
      </c>
      <c r="BJ229" s="14" t="s">
        <v>82</v>
      </c>
      <c r="BK229" s="166">
        <f t="shared" si="44"/>
        <v>0</v>
      </c>
      <c r="BL229" s="14" t="s">
        <v>213</v>
      </c>
      <c r="BM229" s="165" t="s">
        <v>520</v>
      </c>
    </row>
    <row r="230" spans="1:65" s="2" customFormat="1" ht="24.2" customHeight="1">
      <c r="A230" s="29"/>
      <c r="B230" s="152"/>
      <c r="C230" s="153" t="s">
        <v>357</v>
      </c>
      <c r="D230" s="153" t="s">
        <v>181</v>
      </c>
      <c r="E230" s="154" t="s">
        <v>1170</v>
      </c>
      <c r="F230" s="155" t="s">
        <v>1171</v>
      </c>
      <c r="G230" s="156" t="s">
        <v>217</v>
      </c>
      <c r="H230" s="157">
        <v>4</v>
      </c>
      <c r="I230" s="158"/>
      <c r="J230" s="151">
        <v>0</v>
      </c>
      <c r="K230" s="160"/>
      <c r="L230" s="30"/>
      <c r="M230" s="161" t="s">
        <v>1</v>
      </c>
      <c r="N230" s="162" t="s">
        <v>35</v>
      </c>
      <c r="O230" s="58"/>
      <c r="P230" s="163">
        <f t="shared" si="36"/>
        <v>0</v>
      </c>
      <c r="Q230" s="163">
        <v>5.0000000000000002E-5</v>
      </c>
      <c r="R230" s="163">
        <f t="shared" si="37"/>
        <v>2.0000000000000001E-4</v>
      </c>
      <c r="S230" s="163">
        <v>0</v>
      </c>
      <c r="T230" s="164">
        <f t="shared" si="38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65" t="s">
        <v>213</v>
      </c>
      <c r="AT230" s="165" t="s">
        <v>181</v>
      </c>
      <c r="AU230" s="165" t="s">
        <v>82</v>
      </c>
      <c r="AY230" s="14" t="s">
        <v>179</v>
      </c>
      <c r="BE230" s="166">
        <f t="shared" si="39"/>
        <v>0</v>
      </c>
      <c r="BF230" s="166">
        <f t="shared" si="40"/>
        <v>0</v>
      </c>
      <c r="BG230" s="166">
        <f t="shared" si="41"/>
        <v>0</v>
      </c>
      <c r="BH230" s="166">
        <f t="shared" si="42"/>
        <v>0</v>
      </c>
      <c r="BI230" s="166">
        <f t="shared" si="43"/>
        <v>0</v>
      </c>
      <c r="BJ230" s="14" t="s">
        <v>82</v>
      </c>
      <c r="BK230" s="166">
        <f t="shared" si="44"/>
        <v>0</v>
      </c>
      <c r="BL230" s="14" t="s">
        <v>213</v>
      </c>
      <c r="BM230" s="165" t="s">
        <v>524</v>
      </c>
    </row>
    <row r="231" spans="1:65" s="2" customFormat="1" ht="24.2" customHeight="1">
      <c r="A231" s="29"/>
      <c r="B231" s="152"/>
      <c r="C231" s="167" t="s">
        <v>514</v>
      </c>
      <c r="D231" s="167" t="s">
        <v>202</v>
      </c>
      <c r="E231" s="168" t="s">
        <v>1172</v>
      </c>
      <c r="F231" s="169" t="s">
        <v>1173</v>
      </c>
      <c r="G231" s="170" t="s">
        <v>217</v>
      </c>
      <c r="H231" s="171">
        <v>3</v>
      </c>
      <c r="I231" s="172"/>
      <c r="J231" s="151">
        <v>0</v>
      </c>
      <c r="K231" s="174"/>
      <c r="L231" s="175"/>
      <c r="M231" s="176" t="s">
        <v>1</v>
      </c>
      <c r="N231" s="177" t="s">
        <v>35</v>
      </c>
      <c r="O231" s="58"/>
      <c r="P231" s="163">
        <f t="shared" si="36"/>
        <v>0</v>
      </c>
      <c r="Q231" s="163">
        <v>2.0000000000000001E-4</v>
      </c>
      <c r="R231" s="163">
        <f t="shared" si="37"/>
        <v>6.0000000000000006E-4</v>
      </c>
      <c r="S231" s="163">
        <v>0</v>
      </c>
      <c r="T231" s="164">
        <f t="shared" si="38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65" t="s">
        <v>242</v>
      </c>
      <c r="AT231" s="165" t="s">
        <v>202</v>
      </c>
      <c r="AU231" s="165" t="s">
        <v>82</v>
      </c>
      <c r="AY231" s="14" t="s">
        <v>179</v>
      </c>
      <c r="BE231" s="166">
        <f t="shared" si="39"/>
        <v>0</v>
      </c>
      <c r="BF231" s="166">
        <f t="shared" si="40"/>
        <v>0</v>
      </c>
      <c r="BG231" s="166">
        <f t="shared" si="41"/>
        <v>0</v>
      </c>
      <c r="BH231" s="166">
        <f t="shared" si="42"/>
        <v>0</v>
      </c>
      <c r="BI231" s="166">
        <f t="shared" si="43"/>
        <v>0</v>
      </c>
      <c r="BJ231" s="14" t="s">
        <v>82</v>
      </c>
      <c r="BK231" s="166">
        <f t="shared" si="44"/>
        <v>0</v>
      </c>
      <c r="BL231" s="14" t="s">
        <v>213</v>
      </c>
      <c r="BM231" s="165" t="s">
        <v>527</v>
      </c>
    </row>
    <row r="232" spans="1:65" s="2" customFormat="1" ht="33" customHeight="1">
      <c r="A232" s="29"/>
      <c r="B232" s="152"/>
      <c r="C232" s="167" t="s">
        <v>361</v>
      </c>
      <c r="D232" s="167" t="s">
        <v>202</v>
      </c>
      <c r="E232" s="168" t="s">
        <v>1174</v>
      </c>
      <c r="F232" s="169" t="s">
        <v>1175</v>
      </c>
      <c r="G232" s="170" t="s">
        <v>217</v>
      </c>
      <c r="H232" s="171">
        <v>1</v>
      </c>
      <c r="I232" s="172"/>
      <c r="J232" s="151">
        <v>0</v>
      </c>
      <c r="K232" s="174"/>
      <c r="L232" s="175"/>
      <c r="M232" s="176" t="s">
        <v>1</v>
      </c>
      <c r="N232" s="177" t="s">
        <v>35</v>
      </c>
      <c r="O232" s="58"/>
      <c r="P232" s="163">
        <f t="shared" si="36"/>
        <v>0</v>
      </c>
      <c r="Q232" s="163">
        <v>2.0000000000000001E-4</v>
      </c>
      <c r="R232" s="163">
        <f t="shared" si="37"/>
        <v>2.0000000000000001E-4</v>
      </c>
      <c r="S232" s="163">
        <v>0</v>
      </c>
      <c r="T232" s="164">
        <f t="shared" si="38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65" t="s">
        <v>242</v>
      </c>
      <c r="AT232" s="165" t="s">
        <v>202</v>
      </c>
      <c r="AU232" s="165" t="s">
        <v>82</v>
      </c>
      <c r="AY232" s="14" t="s">
        <v>179</v>
      </c>
      <c r="BE232" s="166">
        <f t="shared" si="39"/>
        <v>0</v>
      </c>
      <c r="BF232" s="166">
        <f t="shared" si="40"/>
        <v>0</v>
      </c>
      <c r="BG232" s="166">
        <f t="shared" si="41"/>
        <v>0</v>
      </c>
      <c r="BH232" s="166">
        <f t="shared" si="42"/>
        <v>0</v>
      </c>
      <c r="BI232" s="166">
        <f t="shared" si="43"/>
        <v>0</v>
      </c>
      <c r="BJ232" s="14" t="s">
        <v>82</v>
      </c>
      <c r="BK232" s="166">
        <f t="shared" si="44"/>
        <v>0</v>
      </c>
      <c r="BL232" s="14" t="s">
        <v>213</v>
      </c>
      <c r="BM232" s="165" t="s">
        <v>531</v>
      </c>
    </row>
    <row r="233" spans="1:65" s="2" customFormat="1" ht="24.2" customHeight="1">
      <c r="A233" s="29"/>
      <c r="B233" s="152"/>
      <c r="C233" s="153" t="s">
        <v>521</v>
      </c>
      <c r="D233" s="153" t="s">
        <v>181</v>
      </c>
      <c r="E233" s="154" t="s">
        <v>1176</v>
      </c>
      <c r="F233" s="155" t="s">
        <v>1177</v>
      </c>
      <c r="G233" s="156" t="s">
        <v>217</v>
      </c>
      <c r="H233" s="157">
        <v>4</v>
      </c>
      <c r="I233" s="158"/>
      <c r="J233" s="151">
        <v>0</v>
      </c>
      <c r="K233" s="160"/>
      <c r="L233" s="30"/>
      <c r="M233" s="161" t="s">
        <v>1</v>
      </c>
      <c r="N233" s="162" t="s">
        <v>35</v>
      </c>
      <c r="O233" s="58"/>
      <c r="P233" s="163">
        <f t="shared" si="36"/>
        <v>0</v>
      </c>
      <c r="Q233" s="163">
        <v>6.0000000000000002E-5</v>
      </c>
      <c r="R233" s="163">
        <f t="shared" si="37"/>
        <v>2.4000000000000001E-4</v>
      </c>
      <c r="S233" s="163">
        <v>0</v>
      </c>
      <c r="T233" s="164">
        <f t="shared" si="38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65" t="s">
        <v>213</v>
      </c>
      <c r="AT233" s="165" t="s">
        <v>181</v>
      </c>
      <c r="AU233" s="165" t="s">
        <v>82</v>
      </c>
      <c r="AY233" s="14" t="s">
        <v>179</v>
      </c>
      <c r="BE233" s="166">
        <f t="shared" si="39"/>
        <v>0</v>
      </c>
      <c r="BF233" s="166">
        <f t="shared" si="40"/>
        <v>0</v>
      </c>
      <c r="BG233" s="166">
        <f t="shared" si="41"/>
        <v>0</v>
      </c>
      <c r="BH233" s="166">
        <f t="shared" si="42"/>
        <v>0</v>
      </c>
      <c r="BI233" s="166">
        <f t="shared" si="43"/>
        <v>0</v>
      </c>
      <c r="BJ233" s="14" t="s">
        <v>82</v>
      </c>
      <c r="BK233" s="166">
        <f t="shared" si="44"/>
        <v>0</v>
      </c>
      <c r="BL233" s="14" t="s">
        <v>213</v>
      </c>
      <c r="BM233" s="165" t="s">
        <v>534</v>
      </c>
    </row>
    <row r="234" spans="1:65" s="2" customFormat="1" ht="24.2" customHeight="1">
      <c r="A234" s="29"/>
      <c r="B234" s="152"/>
      <c r="C234" s="167" t="s">
        <v>364</v>
      </c>
      <c r="D234" s="167" t="s">
        <v>202</v>
      </c>
      <c r="E234" s="168" t="s">
        <v>1178</v>
      </c>
      <c r="F234" s="169" t="s">
        <v>1179</v>
      </c>
      <c r="G234" s="170" t="s">
        <v>217</v>
      </c>
      <c r="H234" s="171">
        <v>4</v>
      </c>
      <c r="I234" s="172"/>
      <c r="J234" s="151">
        <v>0</v>
      </c>
      <c r="K234" s="174"/>
      <c r="L234" s="175"/>
      <c r="M234" s="176" t="s">
        <v>1</v>
      </c>
      <c r="N234" s="177" t="s">
        <v>35</v>
      </c>
      <c r="O234" s="58"/>
      <c r="P234" s="163">
        <f t="shared" si="36"/>
        <v>0</v>
      </c>
      <c r="Q234" s="163">
        <v>2.3500000000000001E-3</v>
      </c>
      <c r="R234" s="163">
        <f t="shared" si="37"/>
        <v>9.4000000000000004E-3</v>
      </c>
      <c r="S234" s="163">
        <v>0</v>
      </c>
      <c r="T234" s="164">
        <f t="shared" si="38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65" t="s">
        <v>242</v>
      </c>
      <c r="AT234" s="165" t="s">
        <v>202</v>
      </c>
      <c r="AU234" s="165" t="s">
        <v>82</v>
      </c>
      <c r="AY234" s="14" t="s">
        <v>179</v>
      </c>
      <c r="BE234" s="166">
        <f t="shared" si="39"/>
        <v>0</v>
      </c>
      <c r="BF234" s="166">
        <f t="shared" si="40"/>
        <v>0</v>
      </c>
      <c r="BG234" s="166">
        <f t="shared" si="41"/>
        <v>0</v>
      </c>
      <c r="BH234" s="166">
        <f t="shared" si="42"/>
        <v>0</v>
      </c>
      <c r="BI234" s="166">
        <f t="shared" si="43"/>
        <v>0</v>
      </c>
      <c r="BJ234" s="14" t="s">
        <v>82</v>
      </c>
      <c r="BK234" s="166">
        <f t="shared" si="44"/>
        <v>0</v>
      </c>
      <c r="BL234" s="14" t="s">
        <v>213</v>
      </c>
      <c r="BM234" s="165" t="s">
        <v>538</v>
      </c>
    </row>
    <row r="235" spans="1:65" s="2" customFormat="1" ht="24.2" customHeight="1">
      <c r="A235" s="29"/>
      <c r="B235" s="152"/>
      <c r="C235" s="153" t="s">
        <v>528</v>
      </c>
      <c r="D235" s="153" t="s">
        <v>181</v>
      </c>
      <c r="E235" s="154" t="s">
        <v>1180</v>
      </c>
      <c r="F235" s="155" t="s">
        <v>1181</v>
      </c>
      <c r="G235" s="156" t="s">
        <v>217</v>
      </c>
      <c r="H235" s="157">
        <v>2</v>
      </c>
      <c r="I235" s="158"/>
      <c r="J235" s="151">
        <v>0</v>
      </c>
      <c r="K235" s="160"/>
      <c r="L235" s="30"/>
      <c r="M235" s="161" t="s">
        <v>1</v>
      </c>
      <c r="N235" s="162" t="s">
        <v>35</v>
      </c>
      <c r="O235" s="58"/>
      <c r="P235" s="163">
        <f t="shared" si="36"/>
        <v>0</v>
      </c>
      <c r="Q235" s="163">
        <v>6.9999999999999994E-5</v>
      </c>
      <c r="R235" s="163">
        <f t="shared" si="37"/>
        <v>1.3999999999999999E-4</v>
      </c>
      <c r="S235" s="163">
        <v>0</v>
      </c>
      <c r="T235" s="164">
        <f t="shared" si="38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65" t="s">
        <v>213</v>
      </c>
      <c r="AT235" s="165" t="s">
        <v>181</v>
      </c>
      <c r="AU235" s="165" t="s">
        <v>82</v>
      </c>
      <c r="AY235" s="14" t="s">
        <v>179</v>
      </c>
      <c r="BE235" s="166">
        <f t="shared" si="39"/>
        <v>0</v>
      </c>
      <c r="BF235" s="166">
        <f t="shared" si="40"/>
        <v>0</v>
      </c>
      <c r="BG235" s="166">
        <f t="shared" si="41"/>
        <v>0</v>
      </c>
      <c r="BH235" s="166">
        <f t="shared" si="42"/>
        <v>0</v>
      </c>
      <c r="BI235" s="166">
        <f t="shared" si="43"/>
        <v>0</v>
      </c>
      <c r="BJ235" s="14" t="s">
        <v>82</v>
      </c>
      <c r="BK235" s="166">
        <f t="shared" si="44"/>
        <v>0</v>
      </c>
      <c r="BL235" s="14" t="s">
        <v>213</v>
      </c>
      <c r="BM235" s="165" t="s">
        <v>541</v>
      </c>
    </row>
    <row r="236" spans="1:65" s="2" customFormat="1" ht="24.2" customHeight="1">
      <c r="A236" s="29"/>
      <c r="B236" s="152"/>
      <c r="C236" s="167" t="s">
        <v>368</v>
      </c>
      <c r="D236" s="167" t="s">
        <v>202</v>
      </c>
      <c r="E236" s="168" t="s">
        <v>1182</v>
      </c>
      <c r="F236" s="169" t="s">
        <v>1183</v>
      </c>
      <c r="G236" s="170" t="s">
        <v>217</v>
      </c>
      <c r="H236" s="171">
        <v>1</v>
      </c>
      <c r="I236" s="172"/>
      <c r="J236" s="151">
        <v>0</v>
      </c>
      <c r="K236" s="174"/>
      <c r="L236" s="175"/>
      <c r="M236" s="176" t="s">
        <v>1</v>
      </c>
      <c r="N236" s="177" t="s">
        <v>35</v>
      </c>
      <c r="O236" s="58"/>
      <c r="P236" s="163">
        <f t="shared" si="36"/>
        <v>0</v>
      </c>
      <c r="Q236" s="163">
        <v>1.2800000000000001E-3</v>
      </c>
      <c r="R236" s="163">
        <f t="shared" si="37"/>
        <v>1.2800000000000001E-3</v>
      </c>
      <c r="S236" s="163">
        <v>0</v>
      </c>
      <c r="T236" s="164">
        <f t="shared" si="38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65" t="s">
        <v>242</v>
      </c>
      <c r="AT236" s="165" t="s">
        <v>202</v>
      </c>
      <c r="AU236" s="165" t="s">
        <v>82</v>
      </c>
      <c r="AY236" s="14" t="s">
        <v>179</v>
      </c>
      <c r="BE236" s="166">
        <f t="shared" si="39"/>
        <v>0</v>
      </c>
      <c r="BF236" s="166">
        <f t="shared" si="40"/>
        <v>0</v>
      </c>
      <c r="BG236" s="166">
        <f t="shared" si="41"/>
        <v>0</v>
      </c>
      <c r="BH236" s="166">
        <f t="shared" si="42"/>
        <v>0</v>
      </c>
      <c r="BI236" s="166">
        <f t="shared" si="43"/>
        <v>0</v>
      </c>
      <c r="BJ236" s="14" t="s">
        <v>82</v>
      </c>
      <c r="BK236" s="166">
        <f t="shared" si="44"/>
        <v>0</v>
      </c>
      <c r="BL236" s="14" t="s">
        <v>213</v>
      </c>
      <c r="BM236" s="165" t="s">
        <v>545</v>
      </c>
    </row>
    <row r="237" spans="1:65" s="2" customFormat="1" ht="33" customHeight="1">
      <c r="A237" s="29"/>
      <c r="B237" s="152"/>
      <c r="C237" s="167" t="s">
        <v>535</v>
      </c>
      <c r="D237" s="167" t="s">
        <v>202</v>
      </c>
      <c r="E237" s="168" t="s">
        <v>1184</v>
      </c>
      <c r="F237" s="169" t="s">
        <v>1185</v>
      </c>
      <c r="G237" s="170" t="s">
        <v>217</v>
      </c>
      <c r="H237" s="171">
        <v>1</v>
      </c>
      <c r="I237" s="172"/>
      <c r="J237" s="151">
        <v>0</v>
      </c>
      <c r="K237" s="174"/>
      <c r="L237" s="175"/>
      <c r="M237" s="176" t="s">
        <v>1</v>
      </c>
      <c r="N237" s="177" t="s">
        <v>35</v>
      </c>
      <c r="O237" s="58"/>
      <c r="P237" s="163">
        <f t="shared" ref="P237:P254" si="45">O237*H237</f>
        <v>0</v>
      </c>
      <c r="Q237" s="163">
        <v>1.5399999999999999E-3</v>
      </c>
      <c r="R237" s="163">
        <f t="shared" ref="R237:R254" si="46">Q237*H237</f>
        <v>1.5399999999999999E-3</v>
      </c>
      <c r="S237" s="163">
        <v>0</v>
      </c>
      <c r="T237" s="164">
        <f t="shared" ref="T237:T254" si="47">S237*H237</f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65" t="s">
        <v>242</v>
      </c>
      <c r="AT237" s="165" t="s">
        <v>202</v>
      </c>
      <c r="AU237" s="165" t="s">
        <v>82</v>
      </c>
      <c r="AY237" s="14" t="s">
        <v>179</v>
      </c>
      <c r="BE237" s="166">
        <f t="shared" ref="BE237:BE254" si="48">IF(N237="základná",J237,0)</f>
        <v>0</v>
      </c>
      <c r="BF237" s="166">
        <f t="shared" ref="BF237:BF254" si="49">IF(N237="znížená",J237,0)</f>
        <v>0</v>
      </c>
      <c r="BG237" s="166">
        <f t="shared" ref="BG237:BG254" si="50">IF(N237="zákl. prenesená",J237,0)</f>
        <v>0</v>
      </c>
      <c r="BH237" s="166">
        <f t="shared" ref="BH237:BH254" si="51">IF(N237="zníž. prenesená",J237,0)</f>
        <v>0</v>
      </c>
      <c r="BI237" s="166">
        <f t="shared" ref="BI237:BI254" si="52">IF(N237="nulová",J237,0)</f>
        <v>0</v>
      </c>
      <c r="BJ237" s="14" t="s">
        <v>82</v>
      </c>
      <c r="BK237" s="166">
        <f t="shared" ref="BK237:BK254" si="53">ROUND(I237*H237,2)</f>
        <v>0</v>
      </c>
      <c r="BL237" s="14" t="s">
        <v>213</v>
      </c>
      <c r="BM237" s="165" t="s">
        <v>548</v>
      </c>
    </row>
    <row r="238" spans="1:65" s="2" customFormat="1" ht="24.2" customHeight="1">
      <c r="A238" s="29"/>
      <c r="B238" s="152"/>
      <c r="C238" s="153" t="s">
        <v>371</v>
      </c>
      <c r="D238" s="153" t="s">
        <v>181</v>
      </c>
      <c r="E238" s="154" t="s">
        <v>1186</v>
      </c>
      <c r="F238" s="155" t="s">
        <v>1187</v>
      </c>
      <c r="G238" s="156" t="s">
        <v>217</v>
      </c>
      <c r="H238" s="157">
        <v>1</v>
      </c>
      <c r="I238" s="158"/>
      <c r="J238" s="151">
        <v>0</v>
      </c>
      <c r="K238" s="160"/>
      <c r="L238" s="30"/>
      <c r="M238" s="161" t="s">
        <v>1</v>
      </c>
      <c r="N238" s="162" t="s">
        <v>35</v>
      </c>
      <c r="O238" s="58"/>
      <c r="P238" s="163">
        <f t="shared" si="45"/>
        <v>0</v>
      </c>
      <c r="Q238" s="163">
        <v>6.0000000000000002E-5</v>
      </c>
      <c r="R238" s="163">
        <f t="shared" si="46"/>
        <v>6.0000000000000002E-5</v>
      </c>
      <c r="S238" s="163">
        <v>0</v>
      </c>
      <c r="T238" s="164">
        <f t="shared" si="47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65" t="s">
        <v>213</v>
      </c>
      <c r="AT238" s="165" t="s">
        <v>181</v>
      </c>
      <c r="AU238" s="165" t="s">
        <v>82</v>
      </c>
      <c r="AY238" s="14" t="s">
        <v>179</v>
      </c>
      <c r="BE238" s="166">
        <f t="shared" si="48"/>
        <v>0</v>
      </c>
      <c r="BF238" s="166">
        <f t="shared" si="49"/>
        <v>0</v>
      </c>
      <c r="BG238" s="166">
        <f t="shared" si="50"/>
        <v>0</v>
      </c>
      <c r="BH238" s="166">
        <f t="shared" si="51"/>
        <v>0</v>
      </c>
      <c r="BI238" s="166">
        <f t="shared" si="52"/>
        <v>0</v>
      </c>
      <c r="BJ238" s="14" t="s">
        <v>82</v>
      </c>
      <c r="BK238" s="166">
        <f t="shared" si="53"/>
        <v>0</v>
      </c>
      <c r="BL238" s="14" t="s">
        <v>213</v>
      </c>
      <c r="BM238" s="165" t="s">
        <v>553</v>
      </c>
    </row>
    <row r="239" spans="1:65" s="2" customFormat="1" ht="24.2" customHeight="1">
      <c r="A239" s="29"/>
      <c r="B239" s="152"/>
      <c r="C239" s="167" t="s">
        <v>542</v>
      </c>
      <c r="D239" s="167" t="s">
        <v>202</v>
      </c>
      <c r="E239" s="168" t="s">
        <v>1188</v>
      </c>
      <c r="F239" s="169" t="s">
        <v>1189</v>
      </c>
      <c r="G239" s="170" t="s">
        <v>217</v>
      </c>
      <c r="H239" s="171">
        <v>1</v>
      </c>
      <c r="I239" s="172"/>
      <c r="J239" s="151">
        <v>0</v>
      </c>
      <c r="K239" s="174"/>
      <c r="L239" s="175"/>
      <c r="M239" s="176" t="s">
        <v>1</v>
      </c>
      <c r="N239" s="177" t="s">
        <v>35</v>
      </c>
      <c r="O239" s="58"/>
      <c r="P239" s="163">
        <f t="shared" si="45"/>
        <v>0</v>
      </c>
      <c r="Q239" s="163">
        <v>2.1000000000000001E-2</v>
      </c>
      <c r="R239" s="163">
        <f t="shared" si="46"/>
        <v>2.1000000000000001E-2</v>
      </c>
      <c r="S239" s="163">
        <v>0</v>
      </c>
      <c r="T239" s="164">
        <f t="shared" si="47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65" t="s">
        <v>242</v>
      </c>
      <c r="AT239" s="165" t="s">
        <v>202</v>
      </c>
      <c r="AU239" s="165" t="s">
        <v>82</v>
      </c>
      <c r="AY239" s="14" t="s">
        <v>179</v>
      </c>
      <c r="BE239" s="166">
        <f t="shared" si="48"/>
        <v>0</v>
      </c>
      <c r="BF239" s="166">
        <f t="shared" si="49"/>
        <v>0</v>
      </c>
      <c r="BG239" s="166">
        <f t="shared" si="50"/>
        <v>0</v>
      </c>
      <c r="BH239" s="166">
        <f t="shared" si="51"/>
        <v>0</v>
      </c>
      <c r="BI239" s="166">
        <f t="shared" si="52"/>
        <v>0</v>
      </c>
      <c r="BJ239" s="14" t="s">
        <v>82</v>
      </c>
      <c r="BK239" s="166">
        <f t="shared" si="53"/>
        <v>0</v>
      </c>
      <c r="BL239" s="14" t="s">
        <v>213</v>
      </c>
      <c r="BM239" s="165" t="s">
        <v>560</v>
      </c>
    </row>
    <row r="240" spans="1:65" s="2" customFormat="1" ht="16.5" customHeight="1">
      <c r="A240" s="29"/>
      <c r="B240" s="152"/>
      <c r="C240" s="153" t="s">
        <v>375</v>
      </c>
      <c r="D240" s="153" t="s">
        <v>181</v>
      </c>
      <c r="E240" s="154" t="s">
        <v>1190</v>
      </c>
      <c r="F240" s="155" t="s">
        <v>1191</v>
      </c>
      <c r="G240" s="156" t="s">
        <v>217</v>
      </c>
      <c r="H240" s="157">
        <v>1</v>
      </c>
      <c r="I240" s="158"/>
      <c r="J240" s="151">
        <v>0</v>
      </c>
      <c r="K240" s="160"/>
      <c r="L240" s="30"/>
      <c r="M240" s="161" t="s">
        <v>1</v>
      </c>
      <c r="N240" s="162" t="s">
        <v>35</v>
      </c>
      <c r="O240" s="58"/>
      <c r="P240" s="163">
        <f t="shared" si="45"/>
        <v>0</v>
      </c>
      <c r="Q240" s="163">
        <v>6.9999999999999994E-5</v>
      </c>
      <c r="R240" s="163">
        <f t="shared" si="46"/>
        <v>6.9999999999999994E-5</v>
      </c>
      <c r="S240" s="163">
        <v>0</v>
      </c>
      <c r="T240" s="164">
        <f t="shared" si="47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65" t="s">
        <v>213</v>
      </c>
      <c r="AT240" s="165" t="s">
        <v>181</v>
      </c>
      <c r="AU240" s="165" t="s">
        <v>82</v>
      </c>
      <c r="AY240" s="14" t="s">
        <v>179</v>
      </c>
      <c r="BE240" s="166">
        <f t="shared" si="48"/>
        <v>0</v>
      </c>
      <c r="BF240" s="166">
        <f t="shared" si="49"/>
        <v>0</v>
      </c>
      <c r="BG240" s="166">
        <f t="shared" si="50"/>
        <v>0</v>
      </c>
      <c r="BH240" s="166">
        <f t="shared" si="51"/>
        <v>0</v>
      </c>
      <c r="BI240" s="166">
        <f t="shared" si="52"/>
        <v>0</v>
      </c>
      <c r="BJ240" s="14" t="s">
        <v>82</v>
      </c>
      <c r="BK240" s="166">
        <f t="shared" si="53"/>
        <v>0</v>
      </c>
      <c r="BL240" s="14" t="s">
        <v>213</v>
      </c>
      <c r="BM240" s="165" t="s">
        <v>567</v>
      </c>
    </row>
    <row r="241" spans="1:65" s="2" customFormat="1" ht="55.5" customHeight="1">
      <c r="A241" s="29"/>
      <c r="B241" s="152"/>
      <c r="C241" s="167" t="s">
        <v>550</v>
      </c>
      <c r="D241" s="167" t="s">
        <v>202</v>
      </c>
      <c r="E241" s="168" t="s">
        <v>1192</v>
      </c>
      <c r="F241" s="338" t="s">
        <v>3407</v>
      </c>
      <c r="G241" s="170" t="s">
        <v>217</v>
      </c>
      <c r="H241" s="171">
        <v>1</v>
      </c>
      <c r="I241" s="172"/>
      <c r="J241" s="151">
        <v>0</v>
      </c>
      <c r="K241" s="174"/>
      <c r="L241" s="175"/>
      <c r="M241" s="176" t="s">
        <v>1</v>
      </c>
      <c r="N241" s="177" t="s">
        <v>35</v>
      </c>
      <c r="O241" s="58"/>
      <c r="P241" s="163">
        <f t="shared" si="45"/>
        <v>0</v>
      </c>
      <c r="Q241" s="163">
        <v>3.6099999999999999E-3</v>
      </c>
      <c r="R241" s="163">
        <f t="shared" si="46"/>
        <v>3.6099999999999999E-3</v>
      </c>
      <c r="S241" s="163">
        <v>0</v>
      </c>
      <c r="T241" s="164">
        <f t="shared" si="47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65" t="s">
        <v>242</v>
      </c>
      <c r="AT241" s="165" t="s">
        <v>202</v>
      </c>
      <c r="AU241" s="165" t="s">
        <v>82</v>
      </c>
      <c r="AY241" s="14" t="s">
        <v>179</v>
      </c>
      <c r="BE241" s="166">
        <f t="shared" si="48"/>
        <v>0</v>
      </c>
      <c r="BF241" s="166">
        <f t="shared" si="49"/>
        <v>0</v>
      </c>
      <c r="BG241" s="166">
        <f t="shared" si="50"/>
        <v>0</v>
      </c>
      <c r="BH241" s="166">
        <f t="shared" si="51"/>
        <v>0</v>
      </c>
      <c r="BI241" s="166">
        <f t="shared" si="52"/>
        <v>0</v>
      </c>
      <c r="BJ241" s="14" t="s">
        <v>82</v>
      </c>
      <c r="BK241" s="166">
        <f t="shared" si="53"/>
        <v>0</v>
      </c>
      <c r="BL241" s="14" t="s">
        <v>213</v>
      </c>
      <c r="BM241" s="165" t="s">
        <v>571</v>
      </c>
    </row>
    <row r="242" spans="1:65" s="2" customFormat="1" ht="16.5" customHeight="1">
      <c r="A242" s="29"/>
      <c r="B242" s="152"/>
      <c r="C242" s="153" t="s">
        <v>378</v>
      </c>
      <c r="D242" s="153" t="s">
        <v>181</v>
      </c>
      <c r="E242" s="154" t="s">
        <v>1193</v>
      </c>
      <c r="F242" s="155" t="s">
        <v>1194</v>
      </c>
      <c r="G242" s="156" t="s">
        <v>217</v>
      </c>
      <c r="H242" s="157">
        <v>1</v>
      </c>
      <c r="I242" s="158"/>
      <c r="J242" s="151">
        <v>0</v>
      </c>
      <c r="K242" s="160"/>
      <c r="L242" s="30"/>
      <c r="M242" s="161" t="s">
        <v>1</v>
      </c>
      <c r="N242" s="162" t="s">
        <v>35</v>
      </c>
      <c r="O242" s="58"/>
      <c r="P242" s="163">
        <f t="shared" si="45"/>
        <v>0</v>
      </c>
      <c r="Q242" s="163">
        <v>6.0000000000000002E-5</v>
      </c>
      <c r="R242" s="163">
        <f t="shared" si="46"/>
        <v>6.0000000000000002E-5</v>
      </c>
      <c r="S242" s="163">
        <v>0</v>
      </c>
      <c r="T242" s="164">
        <f t="shared" si="47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65" t="s">
        <v>213</v>
      </c>
      <c r="AT242" s="165" t="s">
        <v>181</v>
      </c>
      <c r="AU242" s="165" t="s">
        <v>82</v>
      </c>
      <c r="AY242" s="14" t="s">
        <v>179</v>
      </c>
      <c r="BE242" s="166">
        <f t="shared" si="48"/>
        <v>0</v>
      </c>
      <c r="BF242" s="166">
        <f t="shared" si="49"/>
        <v>0</v>
      </c>
      <c r="BG242" s="166">
        <f t="shared" si="50"/>
        <v>0</v>
      </c>
      <c r="BH242" s="166">
        <f t="shared" si="51"/>
        <v>0</v>
      </c>
      <c r="BI242" s="166">
        <f t="shared" si="52"/>
        <v>0</v>
      </c>
      <c r="BJ242" s="14" t="s">
        <v>82</v>
      </c>
      <c r="BK242" s="166">
        <f t="shared" si="53"/>
        <v>0</v>
      </c>
      <c r="BL242" s="14" t="s">
        <v>213</v>
      </c>
      <c r="BM242" s="165" t="s">
        <v>575</v>
      </c>
    </row>
    <row r="243" spans="1:65" s="2" customFormat="1" ht="44.25" customHeight="1">
      <c r="A243" s="29"/>
      <c r="B243" s="152"/>
      <c r="C243" s="167" t="s">
        <v>561</v>
      </c>
      <c r="D243" s="167" t="s">
        <v>202</v>
      </c>
      <c r="E243" s="168" t="s">
        <v>1195</v>
      </c>
      <c r="F243" s="338" t="s">
        <v>3408</v>
      </c>
      <c r="G243" s="170" t="s">
        <v>217</v>
      </c>
      <c r="H243" s="171">
        <v>1</v>
      </c>
      <c r="I243" s="172"/>
      <c r="J243" s="151">
        <v>0</v>
      </c>
      <c r="K243" s="174"/>
      <c r="L243" s="175"/>
      <c r="M243" s="176" t="s">
        <v>1</v>
      </c>
      <c r="N243" s="177" t="s">
        <v>35</v>
      </c>
      <c r="O243" s="58"/>
      <c r="P243" s="163">
        <f t="shared" si="45"/>
        <v>0</v>
      </c>
      <c r="Q243" s="163">
        <v>4.0000000000000001E-3</v>
      </c>
      <c r="R243" s="163">
        <f t="shared" si="46"/>
        <v>4.0000000000000001E-3</v>
      </c>
      <c r="S243" s="163">
        <v>0</v>
      </c>
      <c r="T243" s="164">
        <f t="shared" si="47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65" t="s">
        <v>242</v>
      </c>
      <c r="AT243" s="165" t="s">
        <v>202</v>
      </c>
      <c r="AU243" s="165" t="s">
        <v>82</v>
      </c>
      <c r="AY243" s="14" t="s">
        <v>179</v>
      </c>
      <c r="BE243" s="166">
        <f t="shared" si="48"/>
        <v>0</v>
      </c>
      <c r="BF243" s="166">
        <f t="shared" si="49"/>
        <v>0</v>
      </c>
      <c r="BG243" s="166">
        <f t="shared" si="50"/>
        <v>0</v>
      </c>
      <c r="BH243" s="166">
        <f t="shared" si="51"/>
        <v>0</v>
      </c>
      <c r="BI243" s="166">
        <f t="shared" si="52"/>
        <v>0</v>
      </c>
      <c r="BJ243" s="14" t="s">
        <v>82</v>
      </c>
      <c r="BK243" s="166">
        <f t="shared" si="53"/>
        <v>0</v>
      </c>
      <c r="BL243" s="14" t="s">
        <v>213</v>
      </c>
      <c r="BM243" s="165" t="s">
        <v>577</v>
      </c>
    </row>
    <row r="244" spans="1:65" s="2" customFormat="1" ht="21.75" customHeight="1">
      <c r="A244" s="29"/>
      <c r="B244" s="152"/>
      <c r="C244" s="153" t="s">
        <v>382</v>
      </c>
      <c r="D244" s="153" t="s">
        <v>181</v>
      </c>
      <c r="E244" s="154" t="s">
        <v>1196</v>
      </c>
      <c r="F244" s="155" t="s">
        <v>1197</v>
      </c>
      <c r="G244" s="156" t="s">
        <v>217</v>
      </c>
      <c r="H244" s="157">
        <v>1</v>
      </c>
      <c r="I244" s="158"/>
      <c r="J244" s="151">
        <v>0</v>
      </c>
      <c r="K244" s="160"/>
      <c r="L244" s="30"/>
      <c r="M244" s="161" t="s">
        <v>1</v>
      </c>
      <c r="N244" s="162" t="s">
        <v>35</v>
      </c>
      <c r="O244" s="58"/>
      <c r="P244" s="163">
        <f t="shared" si="45"/>
        <v>0</v>
      </c>
      <c r="Q244" s="163">
        <v>2.0000000000000002E-5</v>
      </c>
      <c r="R244" s="163">
        <f t="shared" si="46"/>
        <v>2.0000000000000002E-5</v>
      </c>
      <c r="S244" s="163">
        <v>0</v>
      </c>
      <c r="T244" s="164">
        <f t="shared" si="47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65" t="s">
        <v>213</v>
      </c>
      <c r="AT244" s="165" t="s">
        <v>181</v>
      </c>
      <c r="AU244" s="165" t="s">
        <v>82</v>
      </c>
      <c r="AY244" s="14" t="s">
        <v>179</v>
      </c>
      <c r="BE244" s="166">
        <f t="shared" si="48"/>
        <v>0</v>
      </c>
      <c r="BF244" s="166">
        <f t="shared" si="49"/>
        <v>0</v>
      </c>
      <c r="BG244" s="166">
        <f t="shared" si="50"/>
        <v>0</v>
      </c>
      <c r="BH244" s="166">
        <f t="shared" si="51"/>
        <v>0</v>
      </c>
      <c r="BI244" s="166">
        <f t="shared" si="52"/>
        <v>0</v>
      </c>
      <c r="BJ244" s="14" t="s">
        <v>82</v>
      </c>
      <c r="BK244" s="166">
        <f t="shared" si="53"/>
        <v>0</v>
      </c>
      <c r="BL244" s="14" t="s">
        <v>213</v>
      </c>
      <c r="BM244" s="165" t="s">
        <v>578</v>
      </c>
    </row>
    <row r="245" spans="1:65" s="2" customFormat="1" ht="24.2" customHeight="1">
      <c r="A245" s="29"/>
      <c r="B245" s="152"/>
      <c r="C245" s="167" t="s">
        <v>568</v>
      </c>
      <c r="D245" s="167" t="s">
        <v>202</v>
      </c>
      <c r="E245" s="168" t="s">
        <v>1198</v>
      </c>
      <c r="F245" s="169" t="s">
        <v>1199</v>
      </c>
      <c r="G245" s="170" t="s">
        <v>217</v>
      </c>
      <c r="H245" s="171">
        <v>1</v>
      </c>
      <c r="I245" s="172"/>
      <c r="J245" s="151">
        <v>0</v>
      </c>
      <c r="K245" s="174"/>
      <c r="L245" s="175"/>
      <c r="M245" s="176" t="s">
        <v>1</v>
      </c>
      <c r="N245" s="177" t="s">
        <v>35</v>
      </c>
      <c r="O245" s="58"/>
      <c r="P245" s="163">
        <f t="shared" si="45"/>
        <v>0</v>
      </c>
      <c r="Q245" s="163">
        <v>4.0999999999999999E-4</v>
      </c>
      <c r="R245" s="163">
        <f t="shared" si="46"/>
        <v>4.0999999999999999E-4</v>
      </c>
      <c r="S245" s="163">
        <v>0</v>
      </c>
      <c r="T245" s="164">
        <f t="shared" si="47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65" t="s">
        <v>242</v>
      </c>
      <c r="AT245" s="165" t="s">
        <v>202</v>
      </c>
      <c r="AU245" s="165" t="s">
        <v>82</v>
      </c>
      <c r="AY245" s="14" t="s">
        <v>179</v>
      </c>
      <c r="BE245" s="166">
        <f t="shared" si="48"/>
        <v>0</v>
      </c>
      <c r="BF245" s="166">
        <f t="shared" si="49"/>
        <v>0</v>
      </c>
      <c r="BG245" s="166">
        <f t="shared" si="50"/>
        <v>0</v>
      </c>
      <c r="BH245" s="166">
        <f t="shared" si="51"/>
        <v>0</v>
      </c>
      <c r="BI245" s="166">
        <f t="shared" si="52"/>
        <v>0</v>
      </c>
      <c r="BJ245" s="14" t="s">
        <v>82</v>
      </c>
      <c r="BK245" s="166">
        <f t="shared" si="53"/>
        <v>0</v>
      </c>
      <c r="BL245" s="14" t="s">
        <v>213</v>
      </c>
      <c r="BM245" s="165" t="s">
        <v>586</v>
      </c>
    </row>
    <row r="246" spans="1:65" s="2" customFormat="1" ht="24.2" customHeight="1">
      <c r="A246" s="29"/>
      <c r="B246" s="152"/>
      <c r="C246" s="153" t="s">
        <v>385</v>
      </c>
      <c r="D246" s="153" t="s">
        <v>181</v>
      </c>
      <c r="E246" s="154" t="s">
        <v>1200</v>
      </c>
      <c r="F246" s="155" t="s">
        <v>1201</v>
      </c>
      <c r="G246" s="156" t="s">
        <v>1202</v>
      </c>
      <c r="H246" s="157">
        <v>1</v>
      </c>
      <c r="I246" s="158"/>
      <c r="J246" s="151">
        <v>0</v>
      </c>
      <c r="K246" s="160"/>
      <c r="L246" s="30"/>
      <c r="M246" s="161" t="s">
        <v>1</v>
      </c>
      <c r="N246" s="162" t="s">
        <v>35</v>
      </c>
      <c r="O246" s="58"/>
      <c r="P246" s="163">
        <f t="shared" si="45"/>
        <v>0</v>
      </c>
      <c r="Q246" s="163">
        <v>2.5999999999999998E-4</v>
      </c>
      <c r="R246" s="163">
        <f t="shared" si="46"/>
        <v>2.5999999999999998E-4</v>
      </c>
      <c r="S246" s="163">
        <v>0</v>
      </c>
      <c r="T246" s="164">
        <f t="shared" si="47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65" t="s">
        <v>213</v>
      </c>
      <c r="AT246" s="165" t="s">
        <v>181</v>
      </c>
      <c r="AU246" s="165" t="s">
        <v>82</v>
      </c>
      <c r="AY246" s="14" t="s">
        <v>179</v>
      </c>
      <c r="BE246" s="166">
        <f t="shared" si="48"/>
        <v>0</v>
      </c>
      <c r="BF246" s="166">
        <f t="shared" si="49"/>
        <v>0</v>
      </c>
      <c r="BG246" s="166">
        <f t="shared" si="50"/>
        <v>0</v>
      </c>
      <c r="BH246" s="166">
        <f t="shared" si="51"/>
        <v>0</v>
      </c>
      <c r="BI246" s="166">
        <f t="shared" si="52"/>
        <v>0</v>
      </c>
      <c r="BJ246" s="14" t="s">
        <v>82</v>
      </c>
      <c r="BK246" s="166">
        <f t="shared" si="53"/>
        <v>0</v>
      </c>
      <c r="BL246" s="14" t="s">
        <v>213</v>
      </c>
      <c r="BM246" s="165" t="s">
        <v>616</v>
      </c>
    </row>
    <row r="247" spans="1:65" s="2" customFormat="1" ht="37.9" customHeight="1">
      <c r="A247" s="29"/>
      <c r="B247" s="152"/>
      <c r="C247" s="167" t="s">
        <v>576</v>
      </c>
      <c r="D247" s="167" t="s">
        <v>202</v>
      </c>
      <c r="E247" s="168" t="s">
        <v>1203</v>
      </c>
      <c r="F247" s="169" t="s">
        <v>1204</v>
      </c>
      <c r="G247" s="170" t="s">
        <v>217</v>
      </c>
      <c r="H247" s="171">
        <v>1</v>
      </c>
      <c r="I247" s="172"/>
      <c r="J247" s="151">
        <v>0</v>
      </c>
      <c r="K247" s="174"/>
      <c r="L247" s="175"/>
      <c r="M247" s="176" t="s">
        <v>1</v>
      </c>
      <c r="N247" s="177" t="s">
        <v>35</v>
      </c>
      <c r="O247" s="58"/>
      <c r="P247" s="163">
        <f t="shared" si="45"/>
        <v>0</v>
      </c>
      <c r="Q247" s="163">
        <v>1.8499999999999999E-2</v>
      </c>
      <c r="R247" s="163">
        <f t="shared" si="46"/>
        <v>1.8499999999999999E-2</v>
      </c>
      <c r="S247" s="163">
        <v>0</v>
      </c>
      <c r="T247" s="164">
        <f t="shared" si="47"/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65" t="s">
        <v>242</v>
      </c>
      <c r="AT247" s="165" t="s">
        <v>202</v>
      </c>
      <c r="AU247" s="165" t="s">
        <v>82</v>
      </c>
      <c r="AY247" s="14" t="s">
        <v>179</v>
      </c>
      <c r="BE247" s="166">
        <f t="shared" si="48"/>
        <v>0</v>
      </c>
      <c r="BF247" s="166">
        <f t="shared" si="49"/>
        <v>0</v>
      </c>
      <c r="BG247" s="166">
        <f t="shared" si="50"/>
        <v>0</v>
      </c>
      <c r="BH247" s="166">
        <f t="shared" si="51"/>
        <v>0</v>
      </c>
      <c r="BI247" s="166">
        <f t="shared" si="52"/>
        <v>0</v>
      </c>
      <c r="BJ247" s="14" t="s">
        <v>82</v>
      </c>
      <c r="BK247" s="166">
        <f t="shared" si="53"/>
        <v>0</v>
      </c>
      <c r="BL247" s="14" t="s">
        <v>213</v>
      </c>
      <c r="BM247" s="165" t="s">
        <v>623</v>
      </c>
    </row>
    <row r="248" spans="1:65" s="2" customFormat="1" ht="24.2" customHeight="1">
      <c r="A248" s="29"/>
      <c r="B248" s="152"/>
      <c r="C248" s="153" t="s">
        <v>390</v>
      </c>
      <c r="D248" s="153" t="s">
        <v>181</v>
      </c>
      <c r="E248" s="154" t="s">
        <v>1205</v>
      </c>
      <c r="F248" s="155" t="s">
        <v>1206</v>
      </c>
      <c r="G248" s="156" t="s">
        <v>1202</v>
      </c>
      <c r="H248" s="157">
        <v>1</v>
      </c>
      <c r="I248" s="158"/>
      <c r="J248" s="151">
        <v>0</v>
      </c>
      <c r="K248" s="160"/>
      <c r="L248" s="30"/>
      <c r="M248" s="161" t="s">
        <v>1</v>
      </c>
      <c r="N248" s="162" t="s">
        <v>35</v>
      </c>
      <c r="O248" s="58"/>
      <c r="P248" s="163">
        <f t="shared" si="45"/>
        <v>0</v>
      </c>
      <c r="Q248" s="163">
        <v>2.5999999999999998E-4</v>
      </c>
      <c r="R248" s="163">
        <f t="shared" si="46"/>
        <v>2.5999999999999998E-4</v>
      </c>
      <c r="S248" s="163">
        <v>0</v>
      </c>
      <c r="T248" s="164">
        <f t="shared" si="47"/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65" t="s">
        <v>213</v>
      </c>
      <c r="AT248" s="165" t="s">
        <v>181</v>
      </c>
      <c r="AU248" s="165" t="s">
        <v>82</v>
      </c>
      <c r="AY248" s="14" t="s">
        <v>179</v>
      </c>
      <c r="BE248" s="166">
        <f t="shared" si="48"/>
        <v>0</v>
      </c>
      <c r="BF248" s="166">
        <f t="shared" si="49"/>
        <v>0</v>
      </c>
      <c r="BG248" s="166">
        <f t="shared" si="50"/>
        <v>0</v>
      </c>
      <c r="BH248" s="166">
        <f t="shared" si="51"/>
        <v>0</v>
      </c>
      <c r="BI248" s="166">
        <f t="shared" si="52"/>
        <v>0</v>
      </c>
      <c r="BJ248" s="14" t="s">
        <v>82</v>
      </c>
      <c r="BK248" s="166">
        <f t="shared" si="53"/>
        <v>0</v>
      </c>
      <c r="BL248" s="14" t="s">
        <v>213</v>
      </c>
      <c r="BM248" s="165" t="s">
        <v>633</v>
      </c>
    </row>
    <row r="249" spans="1:65" s="2" customFormat="1" ht="37.9" customHeight="1">
      <c r="A249" s="29"/>
      <c r="B249" s="152"/>
      <c r="C249" s="167" t="s">
        <v>579</v>
      </c>
      <c r="D249" s="167" t="s">
        <v>202</v>
      </c>
      <c r="E249" s="168" t="s">
        <v>1207</v>
      </c>
      <c r="F249" s="169" t="s">
        <v>1208</v>
      </c>
      <c r="G249" s="170" t="s">
        <v>217</v>
      </c>
      <c r="H249" s="171">
        <v>1</v>
      </c>
      <c r="I249" s="172"/>
      <c r="J249" s="151">
        <v>0</v>
      </c>
      <c r="K249" s="174"/>
      <c r="L249" s="175"/>
      <c r="M249" s="176" t="s">
        <v>1</v>
      </c>
      <c r="N249" s="177" t="s">
        <v>35</v>
      </c>
      <c r="O249" s="58"/>
      <c r="P249" s="163">
        <f t="shared" si="45"/>
        <v>0</v>
      </c>
      <c r="Q249" s="163">
        <v>2.5000000000000001E-2</v>
      </c>
      <c r="R249" s="163">
        <f t="shared" si="46"/>
        <v>2.5000000000000001E-2</v>
      </c>
      <c r="S249" s="163">
        <v>0</v>
      </c>
      <c r="T249" s="164">
        <f t="shared" si="47"/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65" t="s">
        <v>242</v>
      </c>
      <c r="AT249" s="165" t="s">
        <v>202</v>
      </c>
      <c r="AU249" s="165" t="s">
        <v>82</v>
      </c>
      <c r="AY249" s="14" t="s">
        <v>179</v>
      </c>
      <c r="BE249" s="166">
        <f t="shared" si="48"/>
        <v>0</v>
      </c>
      <c r="BF249" s="166">
        <f t="shared" si="49"/>
        <v>0</v>
      </c>
      <c r="BG249" s="166">
        <f t="shared" si="50"/>
        <v>0</v>
      </c>
      <c r="BH249" s="166">
        <f t="shared" si="51"/>
        <v>0</v>
      </c>
      <c r="BI249" s="166">
        <f t="shared" si="52"/>
        <v>0</v>
      </c>
      <c r="BJ249" s="14" t="s">
        <v>82</v>
      </c>
      <c r="BK249" s="166">
        <f t="shared" si="53"/>
        <v>0</v>
      </c>
      <c r="BL249" s="14" t="s">
        <v>213</v>
      </c>
      <c r="BM249" s="165" t="s">
        <v>639</v>
      </c>
    </row>
    <row r="250" spans="1:65" s="2" customFormat="1" ht="24.2" customHeight="1">
      <c r="A250" s="29"/>
      <c r="B250" s="152"/>
      <c r="C250" s="153" t="s">
        <v>393</v>
      </c>
      <c r="D250" s="153" t="s">
        <v>181</v>
      </c>
      <c r="E250" s="154" t="s">
        <v>1209</v>
      </c>
      <c r="F250" s="155" t="s">
        <v>1210</v>
      </c>
      <c r="G250" s="156" t="s">
        <v>293</v>
      </c>
      <c r="H250" s="157">
        <v>147</v>
      </c>
      <c r="I250" s="158"/>
      <c r="J250" s="151">
        <v>0</v>
      </c>
      <c r="K250" s="160"/>
      <c r="L250" s="30"/>
      <c r="M250" s="161" t="s">
        <v>1</v>
      </c>
      <c r="N250" s="162" t="s">
        <v>35</v>
      </c>
      <c r="O250" s="58"/>
      <c r="P250" s="163">
        <f t="shared" si="45"/>
        <v>0</v>
      </c>
      <c r="Q250" s="163">
        <v>1.9000000000000001E-4</v>
      </c>
      <c r="R250" s="163">
        <f t="shared" si="46"/>
        <v>2.793E-2</v>
      </c>
      <c r="S250" s="163">
        <v>0</v>
      </c>
      <c r="T250" s="164">
        <f t="shared" si="47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65" t="s">
        <v>213</v>
      </c>
      <c r="AT250" s="165" t="s">
        <v>181</v>
      </c>
      <c r="AU250" s="165" t="s">
        <v>82</v>
      </c>
      <c r="AY250" s="14" t="s">
        <v>179</v>
      </c>
      <c r="BE250" s="166">
        <f t="shared" si="48"/>
        <v>0</v>
      </c>
      <c r="BF250" s="166">
        <f t="shared" si="49"/>
        <v>0</v>
      </c>
      <c r="BG250" s="166">
        <f t="shared" si="50"/>
        <v>0</v>
      </c>
      <c r="BH250" s="166">
        <f t="shared" si="51"/>
        <v>0</v>
      </c>
      <c r="BI250" s="166">
        <f t="shared" si="52"/>
        <v>0</v>
      </c>
      <c r="BJ250" s="14" t="s">
        <v>82</v>
      </c>
      <c r="BK250" s="166">
        <f t="shared" si="53"/>
        <v>0</v>
      </c>
      <c r="BL250" s="14" t="s">
        <v>213</v>
      </c>
      <c r="BM250" s="165" t="s">
        <v>642</v>
      </c>
    </row>
    <row r="251" spans="1:65" s="2" customFormat="1" ht="24.2" customHeight="1">
      <c r="A251" s="29"/>
      <c r="B251" s="152"/>
      <c r="C251" s="153" t="s">
        <v>589</v>
      </c>
      <c r="D251" s="153" t="s">
        <v>181</v>
      </c>
      <c r="E251" s="154" t="s">
        <v>1211</v>
      </c>
      <c r="F251" s="155" t="s">
        <v>1212</v>
      </c>
      <c r="G251" s="156" t="s">
        <v>293</v>
      </c>
      <c r="H251" s="157">
        <v>147</v>
      </c>
      <c r="I251" s="158"/>
      <c r="J251" s="151">
        <v>0</v>
      </c>
      <c r="K251" s="160"/>
      <c r="L251" s="30"/>
      <c r="M251" s="161" t="s">
        <v>1</v>
      </c>
      <c r="N251" s="162" t="s">
        <v>35</v>
      </c>
      <c r="O251" s="58"/>
      <c r="P251" s="163">
        <f t="shared" si="45"/>
        <v>0</v>
      </c>
      <c r="Q251" s="163">
        <v>1.0000000000000001E-5</v>
      </c>
      <c r="R251" s="163">
        <f t="shared" si="46"/>
        <v>1.4700000000000002E-3</v>
      </c>
      <c r="S251" s="163">
        <v>0</v>
      </c>
      <c r="T251" s="164">
        <f t="shared" si="47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65" t="s">
        <v>213</v>
      </c>
      <c r="AT251" s="165" t="s">
        <v>181</v>
      </c>
      <c r="AU251" s="165" t="s">
        <v>82</v>
      </c>
      <c r="AY251" s="14" t="s">
        <v>179</v>
      </c>
      <c r="BE251" s="166">
        <f t="shared" si="48"/>
        <v>0</v>
      </c>
      <c r="BF251" s="166">
        <f t="shared" si="49"/>
        <v>0</v>
      </c>
      <c r="BG251" s="166">
        <f t="shared" si="50"/>
        <v>0</v>
      </c>
      <c r="BH251" s="166">
        <f t="shared" si="51"/>
        <v>0</v>
      </c>
      <c r="BI251" s="166">
        <f t="shared" si="52"/>
        <v>0</v>
      </c>
      <c r="BJ251" s="14" t="s">
        <v>82</v>
      </c>
      <c r="BK251" s="166">
        <f t="shared" si="53"/>
        <v>0</v>
      </c>
      <c r="BL251" s="14" t="s">
        <v>213</v>
      </c>
      <c r="BM251" s="165" t="s">
        <v>651</v>
      </c>
    </row>
    <row r="252" spans="1:65" s="2" customFormat="1" ht="24.2" customHeight="1">
      <c r="A252" s="29"/>
      <c r="B252" s="152"/>
      <c r="C252" s="153" t="s">
        <v>397</v>
      </c>
      <c r="D252" s="153" t="s">
        <v>181</v>
      </c>
      <c r="E252" s="154" t="s">
        <v>1213</v>
      </c>
      <c r="F252" s="155" t="s">
        <v>1214</v>
      </c>
      <c r="G252" s="156" t="s">
        <v>1113</v>
      </c>
      <c r="H252" s="157">
        <v>40</v>
      </c>
      <c r="I252" s="158"/>
      <c r="J252" s="151">
        <v>0</v>
      </c>
      <c r="K252" s="160"/>
      <c r="L252" s="30"/>
      <c r="M252" s="161" t="s">
        <v>1</v>
      </c>
      <c r="N252" s="162" t="s">
        <v>35</v>
      </c>
      <c r="O252" s="58"/>
      <c r="P252" s="163">
        <f t="shared" si="45"/>
        <v>0</v>
      </c>
      <c r="Q252" s="163">
        <v>0</v>
      </c>
      <c r="R252" s="163">
        <f t="shared" si="46"/>
        <v>0</v>
      </c>
      <c r="S252" s="163">
        <v>0</v>
      </c>
      <c r="T252" s="164">
        <f t="shared" si="47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65" t="s">
        <v>213</v>
      </c>
      <c r="AT252" s="165" t="s">
        <v>181</v>
      </c>
      <c r="AU252" s="165" t="s">
        <v>82</v>
      </c>
      <c r="AY252" s="14" t="s">
        <v>179</v>
      </c>
      <c r="BE252" s="166">
        <f t="shared" si="48"/>
        <v>0</v>
      </c>
      <c r="BF252" s="166">
        <f t="shared" si="49"/>
        <v>0</v>
      </c>
      <c r="BG252" s="166">
        <f t="shared" si="50"/>
        <v>0</v>
      </c>
      <c r="BH252" s="166">
        <f t="shared" si="51"/>
        <v>0</v>
      </c>
      <c r="BI252" s="166">
        <f t="shared" si="52"/>
        <v>0</v>
      </c>
      <c r="BJ252" s="14" t="s">
        <v>82</v>
      </c>
      <c r="BK252" s="166">
        <f t="shared" si="53"/>
        <v>0</v>
      </c>
      <c r="BL252" s="14" t="s">
        <v>213</v>
      </c>
      <c r="BM252" s="165" t="s">
        <v>656</v>
      </c>
    </row>
    <row r="253" spans="1:65" s="2" customFormat="1" ht="24.2" customHeight="1">
      <c r="A253" s="29"/>
      <c r="B253" s="152"/>
      <c r="C253" s="153" t="s">
        <v>596</v>
      </c>
      <c r="D253" s="153" t="s">
        <v>181</v>
      </c>
      <c r="E253" s="154" t="s">
        <v>1215</v>
      </c>
      <c r="F253" s="155" t="s">
        <v>1216</v>
      </c>
      <c r="G253" s="156" t="s">
        <v>585</v>
      </c>
      <c r="H253" s="178"/>
      <c r="I253" s="158"/>
      <c r="J253" s="151">
        <v>0</v>
      </c>
      <c r="K253" s="160"/>
      <c r="L253" s="30"/>
      <c r="M253" s="161" t="s">
        <v>1</v>
      </c>
      <c r="N253" s="162" t="s">
        <v>35</v>
      </c>
      <c r="O253" s="58"/>
      <c r="P253" s="163">
        <f t="shared" si="45"/>
        <v>0</v>
      </c>
      <c r="Q253" s="163">
        <v>0</v>
      </c>
      <c r="R253" s="163">
        <f t="shared" si="46"/>
        <v>0</v>
      </c>
      <c r="S253" s="163">
        <v>0</v>
      </c>
      <c r="T253" s="164">
        <f t="shared" si="47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65" t="s">
        <v>213</v>
      </c>
      <c r="AT253" s="165" t="s">
        <v>181</v>
      </c>
      <c r="AU253" s="165" t="s">
        <v>82</v>
      </c>
      <c r="AY253" s="14" t="s">
        <v>179</v>
      </c>
      <c r="BE253" s="166">
        <f t="shared" si="48"/>
        <v>0</v>
      </c>
      <c r="BF253" s="166">
        <f t="shared" si="49"/>
        <v>0</v>
      </c>
      <c r="BG253" s="166">
        <f t="shared" si="50"/>
        <v>0</v>
      </c>
      <c r="BH253" s="166">
        <f t="shared" si="51"/>
        <v>0</v>
      </c>
      <c r="BI253" s="166">
        <f t="shared" si="52"/>
        <v>0</v>
      </c>
      <c r="BJ253" s="14" t="s">
        <v>82</v>
      </c>
      <c r="BK253" s="166">
        <f t="shared" si="53"/>
        <v>0</v>
      </c>
      <c r="BL253" s="14" t="s">
        <v>213</v>
      </c>
      <c r="BM253" s="165" t="s">
        <v>660</v>
      </c>
    </row>
    <row r="254" spans="1:65" s="2" customFormat="1" ht="24.2" customHeight="1">
      <c r="A254" s="29"/>
      <c r="B254" s="152"/>
      <c r="C254" s="153" t="s">
        <v>400</v>
      </c>
      <c r="D254" s="153" t="s">
        <v>181</v>
      </c>
      <c r="E254" s="154" t="s">
        <v>1217</v>
      </c>
      <c r="F254" s="155" t="s">
        <v>1218</v>
      </c>
      <c r="G254" s="156" t="s">
        <v>585</v>
      </c>
      <c r="H254" s="178"/>
      <c r="I254" s="158"/>
      <c r="J254" s="151">
        <v>0</v>
      </c>
      <c r="K254" s="160"/>
      <c r="L254" s="30"/>
      <c r="M254" s="161" t="s">
        <v>1</v>
      </c>
      <c r="N254" s="162" t="s">
        <v>35</v>
      </c>
      <c r="O254" s="58"/>
      <c r="P254" s="163">
        <f t="shared" si="45"/>
        <v>0</v>
      </c>
      <c r="Q254" s="163">
        <v>0</v>
      </c>
      <c r="R254" s="163">
        <f t="shared" si="46"/>
        <v>0</v>
      </c>
      <c r="S254" s="163">
        <v>0</v>
      </c>
      <c r="T254" s="164">
        <f t="shared" si="47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65" t="s">
        <v>213</v>
      </c>
      <c r="AT254" s="165" t="s">
        <v>181</v>
      </c>
      <c r="AU254" s="165" t="s">
        <v>82</v>
      </c>
      <c r="AY254" s="14" t="s">
        <v>179</v>
      </c>
      <c r="BE254" s="166">
        <f t="shared" si="48"/>
        <v>0</v>
      </c>
      <c r="BF254" s="166">
        <f t="shared" si="49"/>
        <v>0</v>
      </c>
      <c r="BG254" s="166">
        <f t="shared" si="50"/>
        <v>0</v>
      </c>
      <c r="BH254" s="166">
        <f t="shared" si="51"/>
        <v>0</v>
      </c>
      <c r="BI254" s="166">
        <f t="shared" si="52"/>
        <v>0</v>
      </c>
      <c r="BJ254" s="14" t="s">
        <v>82</v>
      </c>
      <c r="BK254" s="166">
        <f t="shared" si="53"/>
        <v>0</v>
      </c>
      <c r="BL254" s="14" t="s">
        <v>213</v>
      </c>
      <c r="BM254" s="165" t="s">
        <v>670</v>
      </c>
    </row>
    <row r="255" spans="1:65" s="12" customFormat="1" ht="22.9" customHeight="1">
      <c r="B255" s="139"/>
      <c r="D255" s="140" t="s">
        <v>68</v>
      </c>
      <c r="E255" s="150" t="s">
        <v>1219</v>
      </c>
      <c r="F255" s="150" t="s">
        <v>1220</v>
      </c>
      <c r="I255" s="142"/>
      <c r="J255" s="151">
        <v>0</v>
      </c>
      <c r="L255" s="139"/>
      <c r="M255" s="144"/>
      <c r="N255" s="145"/>
      <c r="O255" s="145"/>
      <c r="P255" s="146">
        <f>SUM(P256:P288)</f>
        <v>0</v>
      </c>
      <c r="Q255" s="145"/>
      <c r="R255" s="146">
        <f>SUM(R256:R288)</f>
        <v>0.18265999999999999</v>
      </c>
      <c r="S255" s="145"/>
      <c r="T255" s="147">
        <f>SUM(T256:T288)</f>
        <v>0</v>
      </c>
      <c r="AR255" s="140" t="s">
        <v>82</v>
      </c>
      <c r="AT255" s="148" t="s">
        <v>68</v>
      </c>
      <c r="AU255" s="148" t="s">
        <v>76</v>
      </c>
      <c r="AY255" s="140" t="s">
        <v>179</v>
      </c>
      <c r="BK255" s="149">
        <f>SUM(BK256:BK288)</f>
        <v>0</v>
      </c>
    </row>
    <row r="256" spans="1:65" s="2" customFormat="1" ht="24.2" customHeight="1">
      <c r="A256" s="29"/>
      <c r="B256" s="152"/>
      <c r="C256" s="153" t="s">
        <v>605</v>
      </c>
      <c r="D256" s="153" t="s">
        <v>181</v>
      </c>
      <c r="E256" s="154" t="s">
        <v>1221</v>
      </c>
      <c r="F256" s="155" t="s">
        <v>1222</v>
      </c>
      <c r="G256" s="156" t="s">
        <v>1202</v>
      </c>
      <c r="H256" s="157">
        <v>1</v>
      </c>
      <c r="I256" s="158"/>
      <c r="J256" s="151">
        <v>0</v>
      </c>
      <c r="K256" s="160"/>
      <c r="L256" s="30"/>
      <c r="M256" s="161" t="s">
        <v>1</v>
      </c>
      <c r="N256" s="162" t="s">
        <v>35</v>
      </c>
      <c r="O256" s="58"/>
      <c r="P256" s="163">
        <f t="shared" ref="P256:P288" si="54">O256*H256</f>
        <v>0</v>
      </c>
      <c r="Q256" s="163">
        <v>0</v>
      </c>
      <c r="R256" s="163">
        <f t="shared" ref="R256:R288" si="55">Q256*H256</f>
        <v>0</v>
      </c>
      <c r="S256" s="163">
        <v>0</v>
      </c>
      <c r="T256" s="164">
        <f t="shared" ref="T256:T288" si="56">S256*H256</f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65" t="s">
        <v>213</v>
      </c>
      <c r="AT256" s="165" t="s">
        <v>181</v>
      </c>
      <c r="AU256" s="165" t="s">
        <v>82</v>
      </c>
      <c r="AY256" s="14" t="s">
        <v>179</v>
      </c>
      <c r="BE256" s="166">
        <f t="shared" ref="BE256:BE288" si="57">IF(N256="základná",J256,0)</f>
        <v>0</v>
      </c>
      <c r="BF256" s="166">
        <f t="shared" ref="BF256:BF288" si="58">IF(N256="znížená",J256,0)</f>
        <v>0</v>
      </c>
      <c r="BG256" s="166">
        <f t="shared" ref="BG256:BG288" si="59">IF(N256="zákl. prenesená",J256,0)</f>
        <v>0</v>
      </c>
      <c r="BH256" s="166">
        <f t="shared" ref="BH256:BH288" si="60">IF(N256="zníž. prenesená",J256,0)</f>
        <v>0</v>
      </c>
      <c r="BI256" s="166">
        <f t="shared" ref="BI256:BI288" si="61">IF(N256="nulová",J256,0)</f>
        <v>0</v>
      </c>
      <c r="BJ256" s="14" t="s">
        <v>82</v>
      </c>
      <c r="BK256" s="166">
        <f t="shared" ref="BK256:BK288" si="62">ROUND(I256*H256,2)</f>
        <v>0</v>
      </c>
      <c r="BL256" s="14" t="s">
        <v>213</v>
      </c>
      <c r="BM256" s="165" t="s">
        <v>674</v>
      </c>
    </row>
    <row r="257" spans="1:65" s="2" customFormat="1" ht="24.2" customHeight="1">
      <c r="A257" s="29"/>
      <c r="B257" s="152"/>
      <c r="C257" s="153" t="s">
        <v>404</v>
      </c>
      <c r="D257" s="153" t="s">
        <v>181</v>
      </c>
      <c r="E257" s="154" t="s">
        <v>1223</v>
      </c>
      <c r="F257" s="155" t="s">
        <v>1224</v>
      </c>
      <c r="G257" s="156" t="s">
        <v>1202</v>
      </c>
      <c r="H257" s="157">
        <v>3</v>
      </c>
      <c r="I257" s="158"/>
      <c r="J257" s="151">
        <v>0</v>
      </c>
      <c r="K257" s="160"/>
      <c r="L257" s="30"/>
      <c r="M257" s="161" t="s">
        <v>1</v>
      </c>
      <c r="N257" s="162" t="s">
        <v>35</v>
      </c>
      <c r="O257" s="58"/>
      <c r="P257" s="163">
        <f t="shared" si="54"/>
        <v>0</v>
      </c>
      <c r="Q257" s="163">
        <v>0</v>
      </c>
      <c r="R257" s="163">
        <f t="shared" si="55"/>
        <v>0</v>
      </c>
      <c r="S257" s="163">
        <v>0</v>
      </c>
      <c r="T257" s="164">
        <f t="shared" si="56"/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65" t="s">
        <v>213</v>
      </c>
      <c r="AT257" s="165" t="s">
        <v>181</v>
      </c>
      <c r="AU257" s="165" t="s">
        <v>82</v>
      </c>
      <c r="AY257" s="14" t="s">
        <v>179</v>
      </c>
      <c r="BE257" s="166">
        <f t="shared" si="57"/>
        <v>0</v>
      </c>
      <c r="BF257" s="166">
        <f t="shared" si="58"/>
        <v>0</v>
      </c>
      <c r="BG257" s="166">
        <f t="shared" si="59"/>
        <v>0</v>
      </c>
      <c r="BH257" s="166">
        <f t="shared" si="60"/>
        <v>0</v>
      </c>
      <c r="BI257" s="166">
        <f t="shared" si="61"/>
        <v>0</v>
      </c>
      <c r="BJ257" s="14" t="s">
        <v>82</v>
      </c>
      <c r="BK257" s="166">
        <f t="shared" si="62"/>
        <v>0</v>
      </c>
      <c r="BL257" s="14" t="s">
        <v>213</v>
      </c>
      <c r="BM257" s="165" t="s">
        <v>677</v>
      </c>
    </row>
    <row r="258" spans="1:65" s="2" customFormat="1" ht="33" customHeight="1">
      <c r="A258" s="29"/>
      <c r="B258" s="152"/>
      <c r="C258" s="153" t="s">
        <v>614</v>
      </c>
      <c r="D258" s="153" t="s">
        <v>181</v>
      </c>
      <c r="E258" s="154" t="s">
        <v>1225</v>
      </c>
      <c r="F258" s="155" t="s">
        <v>1226</v>
      </c>
      <c r="G258" s="156" t="s">
        <v>1202</v>
      </c>
      <c r="H258" s="157">
        <v>1</v>
      </c>
      <c r="I258" s="158"/>
      <c r="J258" s="151">
        <v>0</v>
      </c>
      <c r="K258" s="160"/>
      <c r="L258" s="30"/>
      <c r="M258" s="161" t="s">
        <v>1</v>
      </c>
      <c r="N258" s="162" t="s">
        <v>35</v>
      </c>
      <c r="O258" s="58"/>
      <c r="P258" s="163">
        <f t="shared" si="54"/>
        <v>0</v>
      </c>
      <c r="Q258" s="163">
        <v>0</v>
      </c>
      <c r="R258" s="163">
        <f t="shared" si="55"/>
        <v>0</v>
      </c>
      <c r="S258" s="163">
        <v>0</v>
      </c>
      <c r="T258" s="164">
        <f t="shared" si="56"/>
        <v>0</v>
      </c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R258" s="165" t="s">
        <v>213</v>
      </c>
      <c r="AT258" s="165" t="s">
        <v>181</v>
      </c>
      <c r="AU258" s="165" t="s">
        <v>82</v>
      </c>
      <c r="AY258" s="14" t="s">
        <v>179</v>
      </c>
      <c r="BE258" s="166">
        <f t="shared" si="57"/>
        <v>0</v>
      </c>
      <c r="BF258" s="166">
        <f t="shared" si="58"/>
        <v>0</v>
      </c>
      <c r="BG258" s="166">
        <f t="shared" si="59"/>
        <v>0</v>
      </c>
      <c r="BH258" s="166">
        <f t="shared" si="60"/>
        <v>0</v>
      </c>
      <c r="BI258" s="166">
        <f t="shared" si="61"/>
        <v>0</v>
      </c>
      <c r="BJ258" s="14" t="s">
        <v>82</v>
      </c>
      <c r="BK258" s="166">
        <f t="shared" si="62"/>
        <v>0</v>
      </c>
      <c r="BL258" s="14" t="s">
        <v>213</v>
      </c>
      <c r="BM258" s="165" t="s">
        <v>681</v>
      </c>
    </row>
    <row r="259" spans="1:65" s="2" customFormat="1" ht="24.2" customHeight="1">
      <c r="A259" s="29"/>
      <c r="B259" s="152"/>
      <c r="C259" s="153" t="s">
        <v>407</v>
      </c>
      <c r="D259" s="153" t="s">
        <v>181</v>
      </c>
      <c r="E259" s="154" t="s">
        <v>1227</v>
      </c>
      <c r="F259" s="155" t="s">
        <v>1228</v>
      </c>
      <c r="G259" s="156" t="s">
        <v>1202</v>
      </c>
      <c r="H259" s="157">
        <v>1</v>
      </c>
      <c r="I259" s="158"/>
      <c r="J259" s="151">
        <v>0</v>
      </c>
      <c r="K259" s="160"/>
      <c r="L259" s="30"/>
      <c r="M259" s="161" t="s">
        <v>1</v>
      </c>
      <c r="N259" s="162" t="s">
        <v>35</v>
      </c>
      <c r="O259" s="58"/>
      <c r="P259" s="163">
        <f t="shared" si="54"/>
        <v>0</v>
      </c>
      <c r="Q259" s="163">
        <v>0</v>
      </c>
      <c r="R259" s="163">
        <f t="shared" si="55"/>
        <v>0</v>
      </c>
      <c r="S259" s="163">
        <v>0</v>
      </c>
      <c r="T259" s="164">
        <f t="shared" si="56"/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65" t="s">
        <v>213</v>
      </c>
      <c r="AT259" s="165" t="s">
        <v>181</v>
      </c>
      <c r="AU259" s="165" t="s">
        <v>82</v>
      </c>
      <c r="AY259" s="14" t="s">
        <v>179</v>
      </c>
      <c r="BE259" s="166">
        <f t="shared" si="57"/>
        <v>0</v>
      </c>
      <c r="BF259" s="166">
        <f t="shared" si="58"/>
        <v>0</v>
      </c>
      <c r="BG259" s="166">
        <f t="shared" si="59"/>
        <v>0</v>
      </c>
      <c r="BH259" s="166">
        <f t="shared" si="60"/>
        <v>0</v>
      </c>
      <c r="BI259" s="166">
        <f t="shared" si="61"/>
        <v>0</v>
      </c>
      <c r="BJ259" s="14" t="s">
        <v>82</v>
      </c>
      <c r="BK259" s="166">
        <f t="shared" si="62"/>
        <v>0</v>
      </c>
      <c r="BL259" s="14" t="s">
        <v>213</v>
      </c>
      <c r="BM259" s="165" t="s">
        <v>684</v>
      </c>
    </row>
    <row r="260" spans="1:65" s="2" customFormat="1" ht="21.75" customHeight="1">
      <c r="A260" s="29"/>
      <c r="B260" s="152"/>
      <c r="C260" s="153" t="s">
        <v>620</v>
      </c>
      <c r="D260" s="153" t="s">
        <v>181</v>
      </c>
      <c r="E260" s="154" t="s">
        <v>1229</v>
      </c>
      <c r="F260" s="155" t="s">
        <v>1230</v>
      </c>
      <c r="G260" s="156" t="s">
        <v>217</v>
      </c>
      <c r="H260" s="157">
        <v>1</v>
      </c>
      <c r="I260" s="158"/>
      <c r="J260" s="151">
        <v>0</v>
      </c>
      <c r="K260" s="160"/>
      <c r="L260" s="30"/>
      <c r="M260" s="161" t="s">
        <v>1</v>
      </c>
      <c r="N260" s="162" t="s">
        <v>35</v>
      </c>
      <c r="O260" s="58"/>
      <c r="P260" s="163">
        <f t="shared" si="54"/>
        <v>0</v>
      </c>
      <c r="Q260" s="163">
        <v>0</v>
      </c>
      <c r="R260" s="163">
        <f t="shared" si="55"/>
        <v>0</v>
      </c>
      <c r="S260" s="163">
        <v>0</v>
      </c>
      <c r="T260" s="164">
        <f t="shared" si="56"/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65" t="s">
        <v>213</v>
      </c>
      <c r="AT260" s="165" t="s">
        <v>181</v>
      </c>
      <c r="AU260" s="165" t="s">
        <v>82</v>
      </c>
      <c r="AY260" s="14" t="s">
        <v>179</v>
      </c>
      <c r="BE260" s="166">
        <f t="shared" si="57"/>
        <v>0</v>
      </c>
      <c r="BF260" s="166">
        <f t="shared" si="58"/>
        <v>0</v>
      </c>
      <c r="BG260" s="166">
        <f t="shared" si="59"/>
        <v>0</v>
      </c>
      <c r="BH260" s="166">
        <f t="shared" si="60"/>
        <v>0</v>
      </c>
      <c r="BI260" s="166">
        <f t="shared" si="61"/>
        <v>0</v>
      </c>
      <c r="BJ260" s="14" t="s">
        <v>82</v>
      </c>
      <c r="BK260" s="166">
        <f t="shared" si="62"/>
        <v>0</v>
      </c>
      <c r="BL260" s="14" t="s">
        <v>213</v>
      </c>
      <c r="BM260" s="165" t="s">
        <v>688</v>
      </c>
    </row>
    <row r="261" spans="1:65" s="2" customFormat="1" ht="24.2" customHeight="1">
      <c r="A261" s="29"/>
      <c r="B261" s="152"/>
      <c r="C261" s="153" t="s">
        <v>411</v>
      </c>
      <c r="D261" s="153" t="s">
        <v>181</v>
      </c>
      <c r="E261" s="154" t="s">
        <v>1231</v>
      </c>
      <c r="F261" s="155" t="s">
        <v>1232</v>
      </c>
      <c r="G261" s="156" t="s">
        <v>1202</v>
      </c>
      <c r="H261" s="157">
        <v>4</v>
      </c>
      <c r="I261" s="158"/>
      <c r="J261" s="151">
        <v>0</v>
      </c>
      <c r="K261" s="160"/>
      <c r="L261" s="30"/>
      <c r="M261" s="161" t="s">
        <v>1</v>
      </c>
      <c r="N261" s="162" t="s">
        <v>35</v>
      </c>
      <c r="O261" s="58"/>
      <c r="P261" s="163">
        <f t="shared" si="54"/>
        <v>0</v>
      </c>
      <c r="Q261" s="163">
        <v>0</v>
      </c>
      <c r="R261" s="163">
        <f t="shared" si="55"/>
        <v>0</v>
      </c>
      <c r="S261" s="163">
        <v>0</v>
      </c>
      <c r="T261" s="164">
        <f t="shared" si="56"/>
        <v>0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65" t="s">
        <v>213</v>
      </c>
      <c r="AT261" s="165" t="s">
        <v>181</v>
      </c>
      <c r="AU261" s="165" t="s">
        <v>82</v>
      </c>
      <c r="AY261" s="14" t="s">
        <v>179</v>
      </c>
      <c r="BE261" s="166">
        <f t="shared" si="57"/>
        <v>0</v>
      </c>
      <c r="BF261" s="166">
        <f t="shared" si="58"/>
        <v>0</v>
      </c>
      <c r="BG261" s="166">
        <f t="shared" si="59"/>
        <v>0</v>
      </c>
      <c r="BH261" s="166">
        <f t="shared" si="60"/>
        <v>0</v>
      </c>
      <c r="BI261" s="166">
        <f t="shared" si="61"/>
        <v>0</v>
      </c>
      <c r="BJ261" s="14" t="s">
        <v>82</v>
      </c>
      <c r="BK261" s="166">
        <f t="shared" si="62"/>
        <v>0</v>
      </c>
      <c r="BL261" s="14" t="s">
        <v>213</v>
      </c>
      <c r="BM261" s="165" t="s">
        <v>691</v>
      </c>
    </row>
    <row r="262" spans="1:65" s="2" customFormat="1" ht="37.9" customHeight="1">
      <c r="A262" s="29"/>
      <c r="B262" s="152"/>
      <c r="C262" s="153" t="s">
        <v>627</v>
      </c>
      <c r="D262" s="153" t="s">
        <v>181</v>
      </c>
      <c r="E262" s="154" t="s">
        <v>1233</v>
      </c>
      <c r="F262" s="155" t="s">
        <v>1234</v>
      </c>
      <c r="G262" s="156" t="s">
        <v>191</v>
      </c>
      <c r="H262" s="157">
        <v>0.253</v>
      </c>
      <c r="I262" s="158"/>
      <c r="J262" s="151">
        <v>0</v>
      </c>
      <c r="K262" s="160"/>
      <c r="L262" s="30"/>
      <c r="M262" s="161" t="s">
        <v>1</v>
      </c>
      <c r="N262" s="162" t="s">
        <v>35</v>
      </c>
      <c r="O262" s="58"/>
      <c r="P262" s="163">
        <f t="shared" si="54"/>
        <v>0</v>
      </c>
      <c r="Q262" s="163">
        <v>0</v>
      </c>
      <c r="R262" s="163">
        <f t="shared" si="55"/>
        <v>0</v>
      </c>
      <c r="S262" s="163">
        <v>0</v>
      </c>
      <c r="T262" s="164">
        <f t="shared" si="56"/>
        <v>0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65" t="s">
        <v>213</v>
      </c>
      <c r="AT262" s="165" t="s">
        <v>181</v>
      </c>
      <c r="AU262" s="165" t="s">
        <v>82</v>
      </c>
      <c r="AY262" s="14" t="s">
        <v>179</v>
      </c>
      <c r="BE262" s="166">
        <f t="shared" si="57"/>
        <v>0</v>
      </c>
      <c r="BF262" s="166">
        <f t="shared" si="58"/>
        <v>0</v>
      </c>
      <c r="BG262" s="166">
        <f t="shared" si="59"/>
        <v>0</v>
      </c>
      <c r="BH262" s="166">
        <f t="shared" si="60"/>
        <v>0</v>
      </c>
      <c r="BI262" s="166">
        <f t="shared" si="61"/>
        <v>0</v>
      </c>
      <c r="BJ262" s="14" t="s">
        <v>82</v>
      </c>
      <c r="BK262" s="166">
        <f t="shared" si="62"/>
        <v>0</v>
      </c>
      <c r="BL262" s="14" t="s">
        <v>213</v>
      </c>
      <c r="BM262" s="165" t="s">
        <v>695</v>
      </c>
    </row>
    <row r="263" spans="1:65" s="2" customFormat="1" ht="24.2" customHeight="1">
      <c r="A263" s="29"/>
      <c r="B263" s="152"/>
      <c r="C263" s="153" t="s">
        <v>414</v>
      </c>
      <c r="D263" s="153" t="s">
        <v>181</v>
      </c>
      <c r="E263" s="154" t="s">
        <v>1235</v>
      </c>
      <c r="F263" s="155" t="s">
        <v>1236</v>
      </c>
      <c r="G263" s="156" t="s">
        <v>217</v>
      </c>
      <c r="H263" s="157">
        <v>1</v>
      </c>
      <c r="I263" s="158"/>
      <c r="J263" s="151">
        <v>0</v>
      </c>
      <c r="K263" s="160"/>
      <c r="L263" s="30"/>
      <c r="M263" s="161" t="s">
        <v>1</v>
      </c>
      <c r="N263" s="162" t="s">
        <v>35</v>
      </c>
      <c r="O263" s="58"/>
      <c r="P263" s="163">
        <f t="shared" si="54"/>
        <v>0</v>
      </c>
      <c r="Q263" s="163">
        <v>2.7999999999999998E-4</v>
      </c>
      <c r="R263" s="163">
        <f t="shared" si="55"/>
        <v>2.7999999999999998E-4</v>
      </c>
      <c r="S263" s="163">
        <v>0</v>
      </c>
      <c r="T263" s="164">
        <f t="shared" si="56"/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65" t="s">
        <v>213</v>
      </c>
      <c r="AT263" s="165" t="s">
        <v>181</v>
      </c>
      <c r="AU263" s="165" t="s">
        <v>82</v>
      </c>
      <c r="AY263" s="14" t="s">
        <v>179</v>
      </c>
      <c r="BE263" s="166">
        <f t="shared" si="57"/>
        <v>0</v>
      </c>
      <c r="BF263" s="166">
        <f t="shared" si="58"/>
        <v>0</v>
      </c>
      <c r="BG263" s="166">
        <f t="shared" si="59"/>
        <v>0</v>
      </c>
      <c r="BH263" s="166">
        <f t="shared" si="60"/>
        <v>0</v>
      </c>
      <c r="BI263" s="166">
        <f t="shared" si="61"/>
        <v>0</v>
      </c>
      <c r="BJ263" s="14" t="s">
        <v>82</v>
      </c>
      <c r="BK263" s="166">
        <f t="shared" si="62"/>
        <v>0</v>
      </c>
      <c r="BL263" s="14" t="s">
        <v>213</v>
      </c>
      <c r="BM263" s="165" t="s">
        <v>700</v>
      </c>
    </row>
    <row r="264" spans="1:65" s="2" customFormat="1" ht="37.9" customHeight="1">
      <c r="A264" s="29"/>
      <c r="B264" s="152"/>
      <c r="C264" s="167" t="s">
        <v>636</v>
      </c>
      <c r="D264" s="167" t="s">
        <v>202</v>
      </c>
      <c r="E264" s="168" t="s">
        <v>1237</v>
      </c>
      <c r="F264" s="169" t="s">
        <v>1238</v>
      </c>
      <c r="G264" s="170" t="s">
        <v>217</v>
      </c>
      <c r="H264" s="171">
        <v>1</v>
      </c>
      <c r="I264" s="172"/>
      <c r="J264" s="151">
        <v>0</v>
      </c>
      <c r="K264" s="174"/>
      <c r="L264" s="175"/>
      <c r="M264" s="176" t="s">
        <v>1</v>
      </c>
      <c r="N264" s="177" t="s">
        <v>35</v>
      </c>
      <c r="O264" s="58"/>
      <c r="P264" s="163">
        <f t="shared" si="54"/>
        <v>0</v>
      </c>
      <c r="Q264" s="163">
        <v>2.5499999999999998E-2</v>
      </c>
      <c r="R264" s="163">
        <f t="shared" si="55"/>
        <v>2.5499999999999998E-2</v>
      </c>
      <c r="S264" s="163">
        <v>0</v>
      </c>
      <c r="T264" s="164">
        <f t="shared" si="56"/>
        <v>0</v>
      </c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R264" s="165" t="s">
        <v>242</v>
      </c>
      <c r="AT264" s="165" t="s">
        <v>202</v>
      </c>
      <c r="AU264" s="165" t="s">
        <v>82</v>
      </c>
      <c r="AY264" s="14" t="s">
        <v>179</v>
      </c>
      <c r="BE264" s="166">
        <f t="shared" si="57"/>
        <v>0</v>
      </c>
      <c r="BF264" s="166">
        <f t="shared" si="58"/>
        <v>0</v>
      </c>
      <c r="BG264" s="166">
        <f t="shared" si="59"/>
        <v>0</v>
      </c>
      <c r="BH264" s="166">
        <f t="shared" si="60"/>
        <v>0</v>
      </c>
      <c r="BI264" s="166">
        <f t="shared" si="61"/>
        <v>0</v>
      </c>
      <c r="BJ264" s="14" t="s">
        <v>82</v>
      </c>
      <c r="BK264" s="166">
        <f t="shared" si="62"/>
        <v>0</v>
      </c>
      <c r="BL264" s="14" t="s">
        <v>213</v>
      </c>
      <c r="BM264" s="165" t="s">
        <v>704</v>
      </c>
    </row>
    <row r="265" spans="1:65" s="2" customFormat="1" ht="24.2" customHeight="1">
      <c r="A265" s="29"/>
      <c r="B265" s="152"/>
      <c r="C265" s="153" t="s">
        <v>418</v>
      </c>
      <c r="D265" s="153" t="s">
        <v>181</v>
      </c>
      <c r="E265" s="154" t="s">
        <v>1239</v>
      </c>
      <c r="F265" s="155" t="s">
        <v>1240</v>
      </c>
      <c r="G265" s="156" t="s">
        <v>217</v>
      </c>
      <c r="H265" s="157">
        <v>2</v>
      </c>
      <c r="I265" s="158"/>
      <c r="J265" s="151">
        <v>0</v>
      </c>
      <c r="K265" s="160"/>
      <c r="L265" s="30"/>
      <c r="M265" s="161" t="s">
        <v>1</v>
      </c>
      <c r="N265" s="162" t="s">
        <v>35</v>
      </c>
      <c r="O265" s="58"/>
      <c r="P265" s="163">
        <f t="shared" si="54"/>
        <v>0</v>
      </c>
      <c r="Q265" s="163">
        <v>2.7999999999999998E-4</v>
      </c>
      <c r="R265" s="163">
        <f t="shared" si="55"/>
        <v>5.5999999999999995E-4</v>
      </c>
      <c r="S265" s="163">
        <v>0</v>
      </c>
      <c r="T265" s="164">
        <f t="shared" si="56"/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65" t="s">
        <v>213</v>
      </c>
      <c r="AT265" s="165" t="s">
        <v>181</v>
      </c>
      <c r="AU265" s="165" t="s">
        <v>82</v>
      </c>
      <c r="AY265" s="14" t="s">
        <v>179</v>
      </c>
      <c r="BE265" s="166">
        <f t="shared" si="57"/>
        <v>0</v>
      </c>
      <c r="BF265" s="166">
        <f t="shared" si="58"/>
        <v>0</v>
      </c>
      <c r="BG265" s="166">
        <f t="shared" si="59"/>
        <v>0</v>
      </c>
      <c r="BH265" s="166">
        <f t="shared" si="60"/>
        <v>0</v>
      </c>
      <c r="BI265" s="166">
        <f t="shared" si="61"/>
        <v>0</v>
      </c>
      <c r="BJ265" s="14" t="s">
        <v>82</v>
      </c>
      <c r="BK265" s="166">
        <f t="shared" si="62"/>
        <v>0</v>
      </c>
      <c r="BL265" s="14" t="s">
        <v>213</v>
      </c>
      <c r="BM265" s="165" t="s">
        <v>707</v>
      </c>
    </row>
    <row r="266" spans="1:65" s="2" customFormat="1" ht="24.2" customHeight="1">
      <c r="A266" s="29"/>
      <c r="B266" s="152"/>
      <c r="C266" s="167" t="s">
        <v>643</v>
      </c>
      <c r="D266" s="167" t="s">
        <v>202</v>
      </c>
      <c r="E266" s="168" t="s">
        <v>1241</v>
      </c>
      <c r="F266" s="169" t="s">
        <v>1242</v>
      </c>
      <c r="G266" s="170" t="s">
        <v>217</v>
      </c>
      <c r="H266" s="171">
        <v>2</v>
      </c>
      <c r="I266" s="172"/>
      <c r="J266" s="151">
        <v>0</v>
      </c>
      <c r="K266" s="174"/>
      <c r="L266" s="175"/>
      <c r="M266" s="176" t="s">
        <v>1</v>
      </c>
      <c r="N266" s="177" t="s">
        <v>35</v>
      </c>
      <c r="O266" s="58"/>
      <c r="P266" s="163">
        <f t="shared" si="54"/>
        <v>0</v>
      </c>
      <c r="Q266" s="163">
        <v>1.8100000000000002E-2</v>
      </c>
      <c r="R266" s="163">
        <f t="shared" si="55"/>
        <v>3.6200000000000003E-2</v>
      </c>
      <c r="S266" s="163">
        <v>0</v>
      </c>
      <c r="T266" s="164">
        <f t="shared" si="56"/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65" t="s">
        <v>242</v>
      </c>
      <c r="AT266" s="165" t="s">
        <v>202</v>
      </c>
      <c r="AU266" s="165" t="s">
        <v>82</v>
      </c>
      <c r="AY266" s="14" t="s">
        <v>179</v>
      </c>
      <c r="BE266" s="166">
        <f t="shared" si="57"/>
        <v>0</v>
      </c>
      <c r="BF266" s="166">
        <f t="shared" si="58"/>
        <v>0</v>
      </c>
      <c r="BG266" s="166">
        <f t="shared" si="59"/>
        <v>0</v>
      </c>
      <c r="BH266" s="166">
        <f t="shared" si="60"/>
        <v>0</v>
      </c>
      <c r="BI266" s="166">
        <f t="shared" si="61"/>
        <v>0</v>
      </c>
      <c r="BJ266" s="14" t="s">
        <v>82</v>
      </c>
      <c r="BK266" s="166">
        <f t="shared" si="62"/>
        <v>0</v>
      </c>
      <c r="BL266" s="14" t="s">
        <v>213</v>
      </c>
      <c r="BM266" s="165" t="s">
        <v>711</v>
      </c>
    </row>
    <row r="267" spans="1:65" s="2" customFormat="1" ht="16.5" customHeight="1">
      <c r="A267" s="29"/>
      <c r="B267" s="152"/>
      <c r="C267" s="153" t="s">
        <v>421</v>
      </c>
      <c r="D267" s="153" t="s">
        <v>181</v>
      </c>
      <c r="E267" s="154" t="s">
        <v>1243</v>
      </c>
      <c r="F267" s="155" t="s">
        <v>1244</v>
      </c>
      <c r="G267" s="156" t="s">
        <v>217</v>
      </c>
      <c r="H267" s="157">
        <v>4</v>
      </c>
      <c r="I267" s="158"/>
      <c r="J267" s="151">
        <v>0</v>
      </c>
      <c r="K267" s="160"/>
      <c r="L267" s="30"/>
      <c r="M267" s="161" t="s">
        <v>1</v>
      </c>
      <c r="N267" s="162" t="s">
        <v>35</v>
      </c>
      <c r="O267" s="58"/>
      <c r="P267" s="163">
        <f t="shared" si="54"/>
        <v>0</v>
      </c>
      <c r="Q267" s="163">
        <v>8.0000000000000007E-5</v>
      </c>
      <c r="R267" s="163">
        <f t="shared" si="55"/>
        <v>3.2000000000000003E-4</v>
      </c>
      <c r="S267" s="163">
        <v>0</v>
      </c>
      <c r="T267" s="164">
        <f t="shared" si="56"/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65" t="s">
        <v>213</v>
      </c>
      <c r="AT267" s="165" t="s">
        <v>181</v>
      </c>
      <c r="AU267" s="165" t="s">
        <v>82</v>
      </c>
      <c r="AY267" s="14" t="s">
        <v>179</v>
      </c>
      <c r="BE267" s="166">
        <f t="shared" si="57"/>
        <v>0</v>
      </c>
      <c r="BF267" s="166">
        <f t="shared" si="58"/>
        <v>0</v>
      </c>
      <c r="BG267" s="166">
        <f t="shared" si="59"/>
        <v>0</v>
      </c>
      <c r="BH267" s="166">
        <f t="shared" si="60"/>
        <v>0</v>
      </c>
      <c r="BI267" s="166">
        <f t="shared" si="61"/>
        <v>0</v>
      </c>
      <c r="BJ267" s="14" t="s">
        <v>82</v>
      </c>
      <c r="BK267" s="166">
        <f t="shared" si="62"/>
        <v>0</v>
      </c>
      <c r="BL267" s="14" t="s">
        <v>213</v>
      </c>
      <c r="BM267" s="165" t="s">
        <v>714</v>
      </c>
    </row>
    <row r="268" spans="1:65" s="2" customFormat="1" ht="24.2" customHeight="1">
      <c r="A268" s="29"/>
      <c r="B268" s="152"/>
      <c r="C268" s="167" t="s">
        <v>650</v>
      </c>
      <c r="D268" s="167" t="s">
        <v>202</v>
      </c>
      <c r="E268" s="168" t="s">
        <v>1245</v>
      </c>
      <c r="F268" s="169" t="s">
        <v>1246</v>
      </c>
      <c r="G268" s="170" t="s">
        <v>217</v>
      </c>
      <c r="H268" s="171">
        <v>4</v>
      </c>
      <c r="I268" s="172"/>
      <c r="J268" s="151">
        <v>0</v>
      </c>
      <c r="K268" s="174"/>
      <c r="L268" s="175"/>
      <c r="M268" s="176" t="s">
        <v>1</v>
      </c>
      <c r="N268" s="177" t="s">
        <v>35</v>
      </c>
      <c r="O268" s="58"/>
      <c r="P268" s="163">
        <f t="shared" si="54"/>
        <v>0</v>
      </c>
      <c r="Q268" s="163">
        <v>1.6000000000000001E-4</v>
      </c>
      <c r="R268" s="163">
        <f t="shared" si="55"/>
        <v>6.4000000000000005E-4</v>
      </c>
      <c r="S268" s="163">
        <v>0</v>
      </c>
      <c r="T268" s="164">
        <f t="shared" si="56"/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65" t="s">
        <v>242</v>
      </c>
      <c r="AT268" s="165" t="s">
        <v>202</v>
      </c>
      <c r="AU268" s="165" t="s">
        <v>82</v>
      </c>
      <c r="AY268" s="14" t="s">
        <v>179</v>
      </c>
      <c r="BE268" s="166">
        <f t="shared" si="57"/>
        <v>0</v>
      </c>
      <c r="BF268" s="166">
        <f t="shared" si="58"/>
        <v>0</v>
      </c>
      <c r="BG268" s="166">
        <f t="shared" si="59"/>
        <v>0</v>
      </c>
      <c r="BH268" s="166">
        <f t="shared" si="60"/>
        <v>0</v>
      </c>
      <c r="BI268" s="166">
        <f t="shared" si="61"/>
        <v>0</v>
      </c>
      <c r="BJ268" s="14" t="s">
        <v>82</v>
      </c>
      <c r="BK268" s="166">
        <f t="shared" si="62"/>
        <v>0</v>
      </c>
      <c r="BL268" s="14" t="s">
        <v>213</v>
      </c>
      <c r="BM268" s="165" t="s">
        <v>718</v>
      </c>
    </row>
    <row r="269" spans="1:65" s="2" customFormat="1" ht="33" customHeight="1">
      <c r="A269" s="29"/>
      <c r="B269" s="152"/>
      <c r="C269" s="153" t="s">
        <v>425</v>
      </c>
      <c r="D269" s="153" t="s">
        <v>181</v>
      </c>
      <c r="E269" s="154" t="s">
        <v>1247</v>
      </c>
      <c r="F269" s="155" t="s">
        <v>1248</v>
      </c>
      <c r="G269" s="156" t="s">
        <v>217</v>
      </c>
      <c r="H269" s="157">
        <v>2</v>
      </c>
      <c r="I269" s="158"/>
      <c r="J269" s="151">
        <v>0</v>
      </c>
      <c r="K269" s="160"/>
      <c r="L269" s="30"/>
      <c r="M269" s="161" t="s">
        <v>1</v>
      </c>
      <c r="N269" s="162" t="s">
        <v>35</v>
      </c>
      <c r="O269" s="58"/>
      <c r="P269" s="163">
        <f t="shared" si="54"/>
        <v>0</v>
      </c>
      <c r="Q269" s="163">
        <v>1E-4</v>
      </c>
      <c r="R269" s="163">
        <f t="shared" si="55"/>
        <v>2.0000000000000001E-4</v>
      </c>
      <c r="S269" s="163">
        <v>0</v>
      </c>
      <c r="T269" s="164">
        <f t="shared" si="56"/>
        <v>0</v>
      </c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165" t="s">
        <v>213</v>
      </c>
      <c r="AT269" s="165" t="s">
        <v>181</v>
      </c>
      <c r="AU269" s="165" t="s">
        <v>82</v>
      </c>
      <c r="AY269" s="14" t="s">
        <v>179</v>
      </c>
      <c r="BE269" s="166">
        <f t="shared" si="57"/>
        <v>0</v>
      </c>
      <c r="BF269" s="166">
        <f t="shared" si="58"/>
        <v>0</v>
      </c>
      <c r="BG269" s="166">
        <f t="shared" si="59"/>
        <v>0</v>
      </c>
      <c r="BH269" s="166">
        <f t="shared" si="60"/>
        <v>0</v>
      </c>
      <c r="BI269" s="166">
        <f t="shared" si="61"/>
        <v>0</v>
      </c>
      <c r="BJ269" s="14" t="s">
        <v>82</v>
      </c>
      <c r="BK269" s="166">
        <f t="shared" si="62"/>
        <v>0</v>
      </c>
      <c r="BL269" s="14" t="s">
        <v>213</v>
      </c>
      <c r="BM269" s="165" t="s">
        <v>721</v>
      </c>
    </row>
    <row r="270" spans="1:65" s="2" customFormat="1" ht="37.9" customHeight="1">
      <c r="A270" s="29"/>
      <c r="B270" s="152"/>
      <c r="C270" s="167" t="s">
        <v>657</v>
      </c>
      <c r="D270" s="167" t="s">
        <v>202</v>
      </c>
      <c r="E270" s="168" t="s">
        <v>1249</v>
      </c>
      <c r="F270" s="338" t="s">
        <v>3409</v>
      </c>
      <c r="G270" s="170" t="s">
        <v>217</v>
      </c>
      <c r="H270" s="171">
        <v>2</v>
      </c>
      <c r="I270" s="172"/>
      <c r="J270" s="151">
        <v>0</v>
      </c>
      <c r="K270" s="174"/>
      <c r="L270" s="175"/>
      <c r="M270" s="176" t="s">
        <v>1</v>
      </c>
      <c r="N270" s="177" t="s">
        <v>35</v>
      </c>
      <c r="O270" s="58"/>
      <c r="P270" s="163">
        <f t="shared" si="54"/>
        <v>0</v>
      </c>
      <c r="Q270" s="163">
        <v>2E-3</v>
      </c>
      <c r="R270" s="163">
        <f t="shared" si="55"/>
        <v>4.0000000000000001E-3</v>
      </c>
      <c r="S270" s="163">
        <v>0</v>
      </c>
      <c r="T270" s="164">
        <f t="shared" si="56"/>
        <v>0</v>
      </c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R270" s="165" t="s">
        <v>242</v>
      </c>
      <c r="AT270" s="165" t="s">
        <v>202</v>
      </c>
      <c r="AU270" s="165" t="s">
        <v>82</v>
      </c>
      <c r="AY270" s="14" t="s">
        <v>179</v>
      </c>
      <c r="BE270" s="166">
        <f t="shared" si="57"/>
        <v>0</v>
      </c>
      <c r="BF270" s="166">
        <f t="shared" si="58"/>
        <v>0</v>
      </c>
      <c r="BG270" s="166">
        <f t="shared" si="59"/>
        <v>0</v>
      </c>
      <c r="BH270" s="166">
        <f t="shared" si="60"/>
        <v>0</v>
      </c>
      <c r="BI270" s="166">
        <f t="shared" si="61"/>
        <v>0</v>
      </c>
      <c r="BJ270" s="14" t="s">
        <v>82</v>
      </c>
      <c r="BK270" s="166">
        <f t="shared" si="62"/>
        <v>0</v>
      </c>
      <c r="BL270" s="14" t="s">
        <v>213</v>
      </c>
      <c r="BM270" s="165" t="s">
        <v>725</v>
      </c>
    </row>
    <row r="271" spans="1:65" s="2" customFormat="1" ht="24.2" customHeight="1">
      <c r="A271" s="29"/>
      <c r="B271" s="152"/>
      <c r="C271" s="153" t="s">
        <v>428</v>
      </c>
      <c r="D271" s="153" t="s">
        <v>181</v>
      </c>
      <c r="E271" s="154" t="s">
        <v>1250</v>
      </c>
      <c r="F271" s="155" t="s">
        <v>1251</v>
      </c>
      <c r="G271" s="156" t="s">
        <v>217</v>
      </c>
      <c r="H271" s="157">
        <v>1</v>
      </c>
      <c r="I271" s="158"/>
      <c r="J271" s="151">
        <v>0</v>
      </c>
      <c r="K271" s="160"/>
      <c r="L271" s="30"/>
      <c r="M271" s="161" t="s">
        <v>1</v>
      </c>
      <c r="N271" s="162" t="s">
        <v>35</v>
      </c>
      <c r="O271" s="58"/>
      <c r="P271" s="163">
        <f t="shared" si="54"/>
        <v>0</v>
      </c>
      <c r="Q271" s="163">
        <v>6.8000000000000005E-4</v>
      </c>
      <c r="R271" s="163">
        <f t="shared" si="55"/>
        <v>6.8000000000000005E-4</v>
      </c>
      <c r="S271" s="163">
        <v>0</v>
      </c>
      <c r="T271" s="164">
        <f t="shared" si="56"/>
        <v>0</v>
      </c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R271" s="165" t="s">
        <v>213</v>
      </c>
      <c r="AT271" s="165" t="s">
        <v>181</v>
      </c>
      <c r="AU271" s="165" t="s">
        <v>82</v>
      </c>
      <c r="AY271" s="14" t="s">
        <v>179</v>
      </c>
      <c r="BE271" s="166">
        <f t="shared" si="57"/>
        <v>0</v>
      </c>
      <c r="BF271" s="166">
        <f t="shared" si="58"/>
        <v>0</v>
      </c>
      <c r="BG271" s="166">
        <f t="shared" si="59"/>
        <v>0</v>
      </c>
      <c r="BH271" s="166">
        <f t="shared" si="60"/>
        <v>0</v>
      </c>
      <c r="BI271" s="166">
        <f t="shared" si="61"/>
        <v>0</v>
      </c>
      <c r="BJ271" s="14" t="s">
        <v>82</v>
      </c>
      <c r="BK271" s="166">
        <f t="shared" si="62"/>
        <v>0</v>
      </c>
      <c r="BL271" s="14" t="s">
        <v>213</v>
      </c>
      <c r="BM271" s="165" t="s">
        <v>728</v>
      </c>
    </row>
    <row r="272" spans="1:65" s="2" customFormat="1" ht="24.2" customHeight="1">
      <c r="A272" s="29"/>
      <c r="B272" s="152"/>
      <c r="C272" s="167" t="s">
        <v>664</v>
      </c>
      <c r="D272" s="167" t="s">
        <v>202</v>
      </c>
      <c r="E272" s="168" t="s">
        <v>1252</v>
      </c>
      <c r="F272" s="169" t="s">
        <v>1253</v>
      </c>
      <c r="G272" s="170" t="s">
        <v>217</v>
      </c>
      <c r="H272" s="171">
        <v>1</v>
      </c>
      <c r="I272" s="172"/>
      <c r="J272" s="151">
        <v>0</v>
      </c>
      <c r="K272" s="174"/>
      <c r="L272" s="175"/>
      <c r="M272" s="176" t="s">
        <v>1</v>
      </c>
      <c r="N272" s="177" t="s">
        <v>35</v>
      </c>
      <c r="O272" s="58"/>
      <c r="P272" s="163">
        <f t="shared" si="54"/>
        <v>0</v>
      </c>
      <c r="Q272" s="163">
        <v>4.2999999999999997E-2</v>
      </c>
      <c r="R272" s="163">
        <f t="shared" si="55"/>
        <v>4.2999999999999997E-2</v>
      </c>
      <c r="S272" s="163">
        <v>0</v>
      </c>
      <c r="T272" s="164">
        <f t="shared" si="56"/>
        <v>0</v>
      </c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R272" s="165" t="s">
        <v>242</v>
      </c>
      <c r="AT272" s="165" t="s">
        <v>202</v>
      </c>
      <c r="AU272" s="165" t="s">
        <v>82</v>
      </c>
      <c r="AY272" s="14" t="s">
        <v>179</v>
      </c>
      <c r="BE272" s="166">
        <f t="shared" si="57"/>
        <v>0</v>
      </c>
      <c r="BF272" s="166">
        <f t="shared" si="58"/>
        <v>0</v>
      </c>
      <c r="BG272" s="166">
        <f t="shared" si="59"/>
        <v>0</v>
      </c>
      <c r="BH272" s="166">
        <f t="shared" si="60"/>
        <v>0</v>
      </c>
      <c r="BI272" s="166">
        <f t="shared" si="61"/>
        <v>0</v>
      </c>
      <c r="BJ272" s="14" t="s">
        <v>82</v>
      </c>
      <c r="BK272" s="166">
        <f t="shared" si="62"/>
        <v>0</v>
      </c>
      <c r="BL272" s="14" t="s">
        <v>213</v>
      </c>
      <c r="BM272" s="165" t="s">
        <v>743</v>
      </c>
    </row>
    <row r="273" spans="1:65" s="2" customFormat="1" ht="24.2" customHeight="1">
      <c r="A273" s="29"/>
      <c r="B273" s="152"/>
      <c r="C273" s="167" t="s">
        <v>432</v>
      </c>
      <c r="D273" s="167" t="s">
        <v>202</v>
      </c>
      <c r="E273" s="168" t="s">
        <v>1254</v>
      </c>
      <c r="F273" s="169" t="s">
        <v>1255</v>
      </c>
      <c r="G273" s="170" t="s">
        <v>217</v>
      </c>
      <c r="H273" s="171">
        <v>1</v>
      </c>
      <c r="I273" s="172"/>
      <c r="J273" s="151">
        <v>0</v>
      </c>
      <c r="K273" s="174"/>
      <c r="L273" s="175"/>
      <c r="M273" s="176" t="s">
        <v>1</v>
      </c>
      <c r="N273" s="177" t="s">
        <v>35</v>
      </c>
      <c r="O273" s="58"/>
      <c r="P273" s="163">
        <f t="shared" si="54"/>
        <v>0</v>
      </c>
      <c r="Q273" s="163">
        <v>3.7089999999999998E-2</v>
      </c>
      <c r="R273" s="163">
        <f t="shared" si="55"/>
        <v>3.7089999999999998E-2</v>
      </c>
      <c r="S273" s="163">
        <v>0</v>
      </c>
      <c r="T273" s="164">
        <f t="shared" si="56"/>
        <v>0</v>
      </c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R273" s="165" t="s">
        <v>242</v>
      </c>
      <c r="AT273" s="165" t="s">
        <v>202</v>
      </c>
      <c r="AU273" s="165" t="s">
        <v>82</v>
      </c>
      <c r="AY273" s="14" t="s">
        <v>179</v>
      </c>
      <c r="BE273" s="166">
        <f t="shared" si="57"/>
        <v>0</v>
      </c>
      <c r="BF273" s="166">
        <f t="shared" si="58"/>
        <v>0</v>
      </c>
      <c r="BG273" s="166">
        <f t="shared" si="59"/>
        <v>0</v>
      </c>
      <c r="BH273" s="166">
        <f t="shared" si="60"/>
        <v>0</v>
      </c>
      <c r="BI273" s="166">
        <f t="shared" si="61"/>
        <v>0</v>
      </c>
      <c r="BJ273" s="14" t="s">
        <v>82</v>
      </c>
      <c r="BK273" s="166">
        <f t="shared" si="62"/>
        <v>0</v>
      </c>
      <c r="BL273" s="14" t="s">
        <v>213</v>
      </c>
      <c r="BM273" s="165" t="s">
        <v>747</v>
      </c>
    </row>
    <row r="274" spans="1:65" s="2" customFormat="1" ht="21.75" customHeight="1">
      <c r="A274" s="29"/>
      <c r="B274" s="152"/>
      <c r="C274" s="153" t="s">
        <v>671</v>
      </c>
      <c r="D274" s="153" t="s">
        <v>181</v>
      </c>
      <c r="E274" s="154" t="s">
        <v>1256</v>
      </c>
      <c r="F274" s="155" t="s">
        <v>1257</v>
      </c>
      <c r="G274" s="156" t="s">
        <v>217</v>
      </c>
      <c r="H274" s="157">
        <v>1</v>
      </c>
      <c r="I274" s="158"/>
      <c r="J274" s="151">
        <v>0</v>
      </c>
      <c r="K274" s="160"/>
      <c r="L274" s="30"/>
      <c r="M274" s="161" t="s">
        <v>1</v>
      </c>
      <c r="N274" s="162" t="s">
        <v>35</v>
      </c>
      <c r="O274" s="58"/>
      <c r="P274" s="163">
        <f t="shared" si="54"/>
        <v>0</v>
      </c>
      <c r="Q274" s="163">
        <v>0</v>
      </c>
      <c r="R274" s="163">
        <f t="shared" si="55"/>
        <v>0</v>
      </c>
      <c r="S274" s="163">
        <v>0</v>
      </c>
      <c r="T274" s="164">
        <f t="shared" si="56"/>
        <v>0</v>
      </c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R274" s="165" t="s">
        <v>213</v>
      </c>
      <c r="AT274" s="165" t="s">
        <v>181</v>
      </c>
      <c r="AU274" s="165" t="s">
        <v>82</v>
      </c>
      <c r="AY274" s="14" t="s">
        <v>179</v>
      </c>
      <c r="BE274" s="166">
        <f t="shared" si="57"/>
        <v>0</v>
      </c>
      <c r="BF274" s="166">
        <f t="shared" si="58"/>
        <v>0</v>
      </c>
      <c r="BG274" s="166">
        <f t="shared" si="59"/>
        <v>0</v>
      </c>
      <c r="BH274" s="166">
        <f t="shared" si="60"/>
        <v>0</v>
      </c>
      <c r="BI274" s="166">
        <f t="shared" si="61"/>
        <v>0</v>
      </c>
      <c r="BJ274" s="14" t="s">
        <v>82</v>
      </c>
      <c r="BK274" s="166">
        <f t="shared" si="62"/>
        <v>0</v>
      </c>
      <c r="BL274" s="14" t="s">
        <v>213</v>
      </c>
      <c r="BM274" s="165" t="s">
        <v>750</v>
      </c>
    </row>
    <row r="275" spans="1:65" s="2" customFormat="1" ht="37.9" customHeight="1">
      <c r="A275" s="29"/>
      <c r="B275" s="152"/>
      <c r="C275" s="167" t="s">
        <v>435</v>
      </c>
      <c r="D275" s="167" t="s">
        <v>202</v>
      </c>
      <c r="E275" s="168" t="s">
        <v>1258</v>
      </c>
      <c r="F275" s="169" t="s">
        <v>1259</v>
      </c>
      <c r="G275" s="170" t="s">
        <v>217</v>
      </c>
      <c r="H275" s="171">
        <v>1</v>
      </c>
      <c r="I275" s="172"/>
      <c r="J275" s="151">
        <v>0</v>
      </c>
      <c r="K275" s="174"/>
      <c r="L275" s="175"/>
      <c r="M275" s="176" t="s">
        <v>1</v>
      </c>
      <c r="N275" s="177" t="s">
        <v>35</v>
      </c>
      <c r="O275" s="58"/>
      <c r="P275" s="163">
        <f t="shared" si="54"/>
        <v>0</v>
      </c>
      <c r="Q275" s="163">
        <v>1.4E-3</v>
      </c>
      <c r="R275" s="163">
        <f t="shared" si="55"/>
        <v>1.4E-3</v>
      </c>
      <c r="S275" s="163">
        <v>0</v>
      </c>
      <c r="T275" s="164">
        <f t="shared" si="56"/>
        <v>0</v>
      </c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R275" s="165" t="s">
        <v>242</v>
      </c>
      <c r="AT275" s="165" t="s">
        <v>202</v>
      </c>
      <c r="AU275" s="165" t="s">
        <v>82</v>
      </c>
      <c r="AY275" s="14" t="s">
        <v>179</v>
      </c>
      <c r="BE275" s="166">
        <f t="shared" si="57"/>
        <v>0</v>
      </c>
      <c r="BF275" s="166">
        <f t="shared" si="58"/>
        <v>0</v>
      </c>
      <c r="BG275" s="166">
        <f t="shared" si="59"/>
        <v>0</v>
      </c>
      <c r="BH275" s="166">
        <f t="shared" si="60"/>
        <v>0</v>
      </c>
      <c r="BI275" s="166">
        <f t="shared" si="61"/>
        <v>0</v>
      </c>
      <c r="BJ275" s="14" t="s">
        <v>82</v>
      </c>
      <c r="BK275" s="166">
        <f t="shared" si="62"/>
        <v>0</v>
      </c>
      <c r="BL275" s="14" t="s">
        <v>213</v>
      </c>
      <c r="BM275" s="165" t="s">
        <v>754</v>
      </c>
    </row>
    <row r="276" spans="1:65" s="2" customFormat="1" ht="24.2" customHeight="1">
      <c r="A276" s="29"/>
      <c r="B276" s="152"/>
      <c r="C276" s="153" t="s">
        <v>678</v>
      </c>
      <c r="D276" s="153" t="s">
        <v>181</v>
      </c>
      <c r="E276" s="154" t="s">
        <v>1260</v>
      </c>
      <c r="F276" s="155" t="s">
        <v>1261</v>
      </c>
      <c r="G276" s="156" t="s">
        <v>217</v>
      </c>
      <c r="H276" s="157">
        <v>2</v>
      </c>
      <c r="I276" s="158"/>
      <c r="J276" s="151">
        <v>0</v>
      </c>
      <c r="K276" s="160"/>
      <c r="L276" s="30"/>
      <c r="M276" s="161" t="s">
        <v>1</v>
      </c>
      <c r="N276" s="162" t="s">
        <v>35</v>
      </c>
      <c r="O276" s="58"/>
      <c r="P276" s="163">
        <f t="shared" si="54"/>
        <v>0</v>
      </c>
      <c r="Q276" s="163">
        <v>0</v>
      </c>
      <c r="R276" s="163">
        <f t="shared" si="55"/>
        <v>0</v>
      </c>
      <c r="S276" s="163">
        <v>0</v>
      </c>
      <c r="T276" s="164">
        <f t="shared" si="56"/>
        <v>0</v>
      </c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R276" s="165" t="s">
        <v>213</v>
      </c>
      <c r="AT276" s="165" t="s">
        <v>181</v>
      </c>
      <c r="AU276" s="165" t="s">
        <v>82</v>
      </c>
      <c r="AY276" s="14" t="s">
        <v>179</v>
      </c>
      <c r="BE276" s="166">
        <f t="shared" si="57"/>
        <v>0</v>
      </c>
      <c r="BF276" s="166">
        <f t="shared" si="58"/>
        <v>0</v>
      </c>
      <c r="BG276" s="166">
        <f t="shared" si="59"/>
        <v>0</v>
      </c>
      <c r="BH276" s="166">
        <f t="shared" si="60"/>
        <v>0</v>
      </c>
      <c r="BI276" s="166">
        <f t="shared" si="61"/>
        <v>0</v>
      </c>
      <c r="BJ276" s="14" t="s">
        <v>82</v>
      </c>
      <c r="BK276" s="166">
        <f t="shared" si="62"/>
        <v>0</v>
      </c>
      <c r="BL276" s="14" t="s">
        <v>213</v>
      </c>
      <c r="BM276" s="165" t="s">
        <v>757</v>
      </c>
    </row>
    <row r="277" spans="1:65" s="2" customFormat="1" ht="21.75" customHeight="1">
      <c r="A277" s="29"/>
      <c r="B277" s="152"/>
      <c r="C277" s="167" t="s">
        <v>439</v>
      </c>
      <c r="D277" s="167" t="s">
        <v>202</v>
      </c>
      <c r="E277" s="168" t="s">
        <v>1262</v>
      </c>
      <c r="F277" s="169" t="s">
        <v>1263</v>
      </c>
      <c r="G277" s="170" t="s">
        <v>217</v>
      </c>
      <c r="H277" s="171">
        <v>2</v>
      </c>
      <c r="I277" s="172"/>
      <c r="J277" s="151">
        <v>0</v>
      </c>
      <c r="K277" s="174"/>
      <c r="L277" s="175"/>
      <c r="M277" s="176" t="s">
        <v>1</v>
      </c>
      <c r="N277" s="177" t="s">
        <v>35</v>
      </c>
      <c r="O277" s="58"/>
      <c r="P277" s="163">
        <f t="shared" si="54"/>
        <v>0</v>
      </c>
      <c r="Q277" s="163">
        <v>3.3E-4</v>
      </c>
      <c r="R277" s="163">
        <f t="shared" si="55"/>
        <v>6.6E-4</v>
      </c>
      <c r="S277" s="163">
        <v>0</v>
      </c>
      <c r="T277" s="164">
        <f t="shared" si="56"/>
        <v>0</v>
      </c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R277" s="165" t="s">
        <v>242</v>
      </c>
      <c r="AT277" s="165" t="s">
        <v>202</v>
      </c>
      <c r="AU277" s="165" t="s">
        <v>82</v>
      </c>
      <c r="AY277" s="14" t="s">
        <v>179</v>
      </c>
      <c r="BE277" s="166">
        <f t="shared" si="57"/>
        <v>0</v>
      </c>
      <c r="BF277" s="166">
        <f t="shared" si="58"/>
        <v>0</v>
      </c>
      <c r="BG277" s="166">
        <f t="shared" si="59"/>
        <v>0</v>
      </c>
      <c r="BH277" s="166">
        <f t="shared" si="60"/>
        <v>0</v>
      </c>
      <c r="BI277" s="166">
        <f t="shared" si="61"/>
        <v>0</v>
      </c>
      <c r="BJ277" s="14" t="s">
        <v>82</v>
      </c>
      <c r="BK277" s="166">
        <f t="shared" si="62"/>
        <v>0</v>
      </c>
      <c r="BL277" s="14" t="s">
        <v>213</v>
      </c>
      <c r="BM277" s="165" t="s">
        <v>761</v>
      </c>
    </row>
    <row r="278" spans="1:65" s="2" customFormat="1" ht="24.2" customHeight="1">
      <c r="A278" s="29"/>
      <c r="B278" s="152"/>
      <c r="C278" s="153" t="s">
        <v>685</v>
      </c>
      <c r="D278" s="153" t="s">
        <v>181</v>
      </c>
      <c r="E278" s="154" t="s">
        <v>1264</v>
      </c>
      <c r="F278" s="155" t="s">
        <v>1265</v>
      </c>
      <c r="G278" s="156" t="s">
        <v>217</v>
      </c>
      <c r="H278" s="157">
        <v>1</v>
      </c>
      <c r="I278" s="158"/>
      <c r="J278" s="151">
        <v>0</v>
      </c>
      <c r="K278" s="160"/>
      <c r="L278" s="30"/>
      <c r="M278" s="161" t="s">
        <v>1</v>
      </c>
      <c r="N278" s="162" t="s">
        <v>35</v>
      </c>
      <c r="O278" s="58"/>
      <c r="P278" s="163">
        <f t="shared" si="54"/>
        <v>0</v>
      </c>
      <c r="Q278" s="163">
        <v>0</v>
      </c>
      <c r="R278" s="163">
        <f t="shared" si="55"/>
        <v>0</v>
      </c>
      <c r="S278" s="163">
        <v>0</v>
      </c>
      <c r="T278" s="164">
        <f t="shared" si="56"/>
        <v>0</v>
      </c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R278" s="165" t="s">
        <v>213</v>
      </c>
      <c r="AT278" s="165" t="s">
        <v>181</v>
      </c>
      <c r="AU278" s="165" t="s">
        <v>82</v>
      </c>
      <c r="AY278" s="14" t="s">
        <v>179</v>
      </c>
      <c r="BE278" s="166">
        <f t="shared" si="57"/>
        <v>0</v>
      </c>
      <c r="BF278" s="166">
        <f t="shared" si="58"/>
        <v>0</v>
      </c>
      <c r="BG278" s="166">
        <f t="shared" si="59"/>
        <v>0</v>
      </c>
      <c r="BH278" s="166">
        <f t="shared" si="60"/>
        <v>0</v>
      </c>
      <c r="BI278" s="166">
        <f t="shared" si="61"/>
        <v>0</v>
      </c>
      <c r="BJ278" s="14" t="s">
        <v>82</v>
      </c>
      <c r="BK278" s="166">
        <f t="shared" si="62"/>
        <v>0</v>
      </c>
      <c r="BL278" s="14" t="s">
        <v>213</v>
      </c>
      <c r="BM278" s="165" t="s">
        <v>764</v>
      </c>
    </row>
    <row r="279" spans="1:65" s="2" customFormat="1" ht="21.75" customHeight="1">
      <c r="A279" s="29"/>
      <c r="B279" s="152"/>
      <c r="C279" s="167" t="s">
        <v>442</v>
      </c>
      <c r="D279" s="167" t="s">
        <v>202</v>
      </c>
      <c r="E279" s="168" t="s">
        <v>1266</v>
      </c>
      <c r="F279" s="169" t="s">
        <v>1267</v>
      </c>
      <c r="G279" s="170" t="s">
        <v>217</v>
      </c>
      <c r="H279" s="171">
        <v>1</v>
      </c>
      <c r="I279" s="172"/>
      <c r="J279" s="151">
        <v>0</v>
      </c>
      <c r="K279" s="174"/>
      <c r="L279" s="175"/>
      <c r="M279" s="176" t="s">
        <v>1</v>
      </c>
      <c r="N279" s="177" t="s">
        <v>35</v>
      </c>
      <c r="O279" s="58"/>
      <c r="P279" s="163">
        <f t="shared" si="54"/>
        <v>0</v>
      </c>
      <c r="Q279" s="163">
        <v>2.4000000000000001E-4</v>
      </c>
      <c r="R279" s="163">
        <f t="shared" si="55"/>
        <v>2.4000000000000001E-4</v>
      </c>
      <c r="S279" s="163">
        <v>0</v>
      </c>
      <c r="T279" s="164">
        <f t="shared" si="56"/>
        <v>0</v>
      </c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R279" s="165" t="s">
        <v>242</v>
      </c>
      <c r="AT279" s="165" t="s">
        <v>202</v>
      </c>
      <c r="AU279" s="165" t="s">
        <v>82</v>
      </c>
      <c r="AY279" s="14" t="s">
        <v>179</v>
      </c>
      <c r="BE279" s="166">
        <f t="shared" si="57"/>
        <v>0</v>
      </c>
      <c r="BF279" s="166">
        <f t="shared" si="58"/>
        <v>0</v>
      </c>
      <c r="BG279" s="166">
        <f t="shared" si="59"/>
        <v>0</v>
      </c>
      <c r="BH279" s="166">
        <f t="shared" si="60"/>
        <v>0</v>
      </c>
      <c r="BI279" s="166">
        <f t="shared" si="61"/>
        <v>0</v>
      </c>
      <c r="BJ279" s="14" t="s">
        <v>82</v>
      </c>
      <c r="BK279" s="166">
        <f t="shared" si="62"/>
        <v>0</v>
      </c>
      <c r="BL279" s="14" t="s">
        <v>213</v>
      </c>
      <c r="BM279" s="165" t="s">
        <v>768</v>
      </c>
    </row>
    <row r="280" spans="1:65" s="2" customFormat="1" ht="24.2" customHeight="1">
      <c r="A280" s="29"/>
      <c r="B280" s="152"/>
      <c r="C280" s="153" t="s">
        <v>692</v>
      </c>
      <c r="D280" s="153" t="s">
        <v>181</v>
      </c>
      <c r="E280" s="154" t="s">
        <v>1268</v>
      </c>
      <c r="F280" s="155" t="s">
        <v>1269</v>
      </c>
      <c r="G280" s="156" t="s">
        <v>217</v>
      </c>
      <c r="H280" s="157">
        <v>1</v>
      </c>
      <c r="I280" s="158"/>
      <c r="J280" s="151">
        <v>0</v>
      </c>
      <c r="K280" s="160"/>
      <c r="L280" s="30"/>
      <c r="M280" s="161" t="s">
        <v>1</v>
      </c>
      <c r="N280" s="162" t="s">
        <v>35</v>
      </c>
      <c r="O280" s="58"/>
      <c r="P280" s="163">
        <f t="shared" si="54"/>
        <v>0</v>
      </c>
      <c r="Q280" s="163">
        <v>6.6E-4</v>
      </c>
      <c r="R280" s="163">
        <f t="shared" si="55"/>
        <v>6.6E-4</v>
      </c>
      <c r="S280" s="163">
        <v>0</v>
      </c>
      <c r="T280" s="164">
        <f t="shared" si="56"/>
        <v>0</v>
      </c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R280" s="165" t="s">
        <v>213</v>
      </c>
      <c r="AT280" s="165" t="s">
        <v>181</v>
      </c>
      <c r="AU280" s="165" t="s">
        <v>82</v>
      </c>
      <c r="AY280" s="14" t="s">
        <v>179</v>
      </c>
      <c r="BE280" s="166">
        <f t="shared" si="57"/>
        <v>0</v>
      </c>
      <c r="BF280" s="166">
        <f t="shared" si="58"/>
        <v>0</v>
      </c>
      <c r="BG280" s="166">
        <f t="shared" si="59"/>
        <v>0</v>
      </c>
      <c r="BH280" s="166">
        <f t="shared" si="60"/>
        <v>0</v>
      </c>
      <c r="BI280" s="166">
        <f t="shared" si="61"/>
        <v>0</v>
      </c>
      <c r="BJ280" s="14" t="s">
        <v>82</v>
      </c>
      <c r="BK280" s="166">
        <f t="shared" si="62"/>
        <v>0</v>
      </c>
      <c r="BL280" s="14" t="s">
        <v>213</v>
      </c>
      <c r="BM280" s="165" t="s">
        <v>771</v>
      </c>
    </row>
    <row r="281" spans="1:65" s="2" customFormat="1" ht="33" customHeight="1">
      <c r="A281" s="29"/>
      <c r="B281" s="152"/>
      <c r="C281" s="167" t="s">
        <v>446</v>
      </c>
      <c r="D281" s="167" t="s">
        <v>202</v>
      </c>
      <c r="E281" s="168" t="s">
        <v>1270</v>
      </c>
      <c r="F281" s="169" t="s">
        <v>1271</v>
      </c>
      <c r="G281" s="170" t="s">
        <v>217</v>
      </c>
      <c r="H281" s="171">
        <v>1</v>
      </c>
      <c r="I281" s="172"/>
      <c r="J281" s="151">
        <v>0</v>
      </c>
      <c r="K281" s="174"/>
      <c r="L281" s="175"/>
      <c r="M281" s="176" t="s">
        <v>1</v>
      </c>
      <c r="N281" s="177" t="s">
        <v>35</v>
      </c>
      <c r="O281" s="58"/>
      <c r="P281" s="163">
        <f t="shared" si="54"/>
        <v>0</v>
      </c>
      <c r="Q281" s="163">
        <v>2.8199999999999999E-2</v>
      </c>
      <c r="R281" s="163">
        <f t="shared" si="55"/>
        <v>2.8199999999999999E-2</v>
      </c>
      <c r="S281" s="163">
        <v>0</v>
      </c>
      <c r="T281" s="164">
        <f t="shared" si="56"/>
        <v>0</v>
      </c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R281" s="165" t="s">
        <v>242</v>
      </c>
      <c r="AT281" s="165" t="s">
        <v>202</v>
      </c>
      <c r="AU281" s="165" t="s">
        <v>82</v>
      </c>
      <c r="AY281" s="14" t="s">
        <v>179</v>
      </c>
      <c r="BE281" s="166">
        <f t="shared" si="57"/>
        <v>0</v>
      </c>
      <c r="BF281" s="166">
        <f t="shared" si="58"/>
        <v>0</v>
      </c>
      <c r="BG281" s="166">
        <f t="shared" si="59"/>
        <v>0</v>
      </c>
      <c r="BH281" s="166">
        <f t="shared" si="60"/>
        <v>0</v>
      </c>
      <c r="BI281" s="166">
        <f t="shared" si="61"/>
        <v>0</v>
      </c>
      <c r="BJ281" s="14" t="s">
        <v>82</v>
      </c>
      <c r="BK281" s="166">
        <f t="shared" si="62"/>
        <v>0</v>
      </c>
      <c r="BL281" s="14" t="s">
        <v>213</v>
      </c>
      <c r="BM281" s="165" t="s">
        <v>775</v>
      </c>
    </row>
    <row r="282" spans="1:65" s="2" customFormat="1" ht="24.2" customHeight="1">
      <c r="A282" s="29"/>
      <c r="B282" s="152"/>
      <c r="C282" s="153" t="s">
        <v>701</v>
      </c>
      <c r="D282" s="153" t="s">
        <v>181</v>
      </c>
      <c r="E282" s="154" t="s">
        <v>1272</v>
      </c>
      <c r="F282" s="155" t="s">
        <v>1273</v>
      </c>
      <c r="G282" s="156" t="s">
        <v>217</v>
      </c>
      <c r="H282" s="157">
        <v>3</v>
      </c>
      <c r="I282" s="158"/>
      <c r="J282" s="151">
        <v>0</v>
      </c>
      <c r="K282" s="160"/>
      <c r="L282" s="30"/>
      <c r="M282" s="161" t="s">
        <v>1</v>
      </c>
      <c r="N282" s="162" t="s">
        <v>35</v>
      </c>
      <c r="O282" s="58"/>
      <c r="P282" s="163">
        <f t="shared" si="54"/>
        <v>0</v>
      </c>
      <c r="Q282" s="163">
        <v>0</v>
      </c>
      <c r="R282" s="163">
        <f t="shared" si="55"/>
        <v>0</v>
      </c>
      <c r="S282" s="163">
        <v>0</v>
      </c>
      <c r="T282" s="164">
        <f t="shared" si="56"/>
        <v>0</v>
      </c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R282" s="165" t="s">
        <v>213</v>
      </c>
      <c r="AT282" s="165" t="s">
        <v>181</v>
      </c>
      <c r="AU282" s="165" t="s">
        <v>82</v>
      </c>
      <c r="AY282" s="14" t="s">
        <v>179</v>
      </c>
      <c r="BE282" s="166">
        <f t="shared" si="57"/>
        <v>0</v>
      </c>
      <c r="BF282" s="166">
        <f t="shared" si="58"/>
        <v>0</v>
      </c>
      <c r="BG282" s="166">
        <f t="shared" si="59"/>
        <v>0</v>
      </c>
      <c r="BH282" s="166">
        <f t="shared" si="60"/>
        <v>0</v>
      </c>
      <c r="BI282" s="166">
        <f t="shared" si="61"/>
        <v>0</v>
      </c>
      <c r="BJ282" s="14" t="s">
        <v>82</v>
      </c>
      <c r="BK282" s="166">
        <f t="shared" si="62"/>
        <v>0</v>
      </c>
      <c r="BL282" s="14" t="s">
        <v>213</v>
      </c>
      <c r="BM282" s="165" t="s">
        <v>778</v>
      </c>
    </row>
    <row r="283" spans="1:65" s="2" customFormat="1" ht="33" customHeight="1">
      <c r="A283" s="29"/>
      <c r="B283" s="152"/>
      <c r="C283" s="167" t="s">
        <v>449</v>
      </c>
      <c r="D283" s="167" t="s">
        <v>202</v>
      </c>
      <c r="E283" s="168" t="s">
        <v>1274</v>
      </c>
      <c r="F283" s="169" t="s">
        <v>1275</v>
      </c>
      <c r="G283" s="170" t="s">
        <v>217</v>
      </c>
      <c r="H283" s="171">
        <v>3</v>
      </c>
      <c r="I283" s="172"/>
      <c r="J283" s="151">
        <v>0</v>
      </c>
      <c r="K283" s="174"/>
      <c r="L283" s="175"/>
      <c r="M283" s="176" t="s">
        <v>1</v>
      </c>
      <c r="N283" s="177" t="s">
        <v>35</v>
      </c>
      <c r="O283" s="58"/>
      <c r="P283" s="163">
        <f t="shared" si="54"/>
        <v>0</v>
      </c>
      <c r="Q283" s="163">
        <v>8.9999999999999998E-4</v>
      </c>
      <c r="R283" s="163">
        <f t="shared" si="55"/>
        <v>2.7000000000000001E-3</v>
      </c>
      <c r="S283" s="163">
        <v>0</v>
      </c>
      <c r="T283" s="164">
        <f t="shared" si="56"/>
        <v>0</v>
      </c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R283" s="165" t="s">
        <v>242</v>
      </c>
      <c r="AT283" s="165" t="s">
        <v>202</v>
      </c>
      <c r="AU283" s="165" t="s">
        <v>82</v>
      </c>
      <c r="AY283" s="14" t="s">
        <v>179</v>
      </c>
      <c r="BE283" s="166">
        <f t="shared" si="57"/>
        <v>0</v>
      </c>
      <c r="BF283" s="166">
        <f t="shared" si="58"/>
        <v>0</v>
      </c>
      <c r="BG283" s="166">
        <f t="shared" si="59"/>
        <v>0</v>
      </c>
      <c r="BH283" s="166">
        <f t="shared" si="60"/>
        <v>0</v>
      </c>
      <c r="BI283" s="166">
        <f t="shared" si="61"/>
        <v>0</v>
      </c>
      <c r="BJ283" s="14" t="s">
        <v>82</v>
      </c>
      <c r="BK283" s="166">
        <f t="shared" si="62"/>
        <v>0</v>
      </c>
      <c r="BL283" s="14" t="s">
        <v>213</v>
      </c>
      <c r="BM283" s="165" t="s">
        <v>781</v>
      </c>
    </row>
    <row r="284" spans="1:65" s="2" customFormat="1" ht="16.5" customHeight="1">
      <c r="A284" s="29"/>
      <c r="B284" s="152"/>
      <c r="C284" s="153" t="s">
        <v>708</v>
      </c>
      <c r="D284" s="153" t="s">
        <v>181</v>
      </c>
      <c r="E284" s="154" t="s">
        <v>1276</v>
      </c>
      <c r="F284" s="155" t="s">
        <v>1277</v>
      </c>
      <c r="G284" s="156" t="s">
        <v>217</v>
      </c>
      <c r="H284" s="157">
        <v>1</v>
      </c>
      <c r="I284" s="158"/>
      <c r="J284" s="151">
        <v>0</v>
      </c>
      <c r="K284" s="160"/>
      <c r="L284" s="30"/>
      <c r="M284" s="161" t="s">
        <v>1</v>
      </c>
      <c r="N284" s="162" t="s">
        <v>35</v>
      </c>
      <c r="O284" s="58"/>
      <c r="P284" s="163">
        <f t="shared" si="54"/>
        <v>0</v>
      </c>
      <c r="Q284" s="163">
        <v>0</v>
      </c>
      <c r="R284" s="163">
        <f t="shared" si="55"/>
        <v>0</v>
      </c>
      <c r="S284" s="163">
        <v>0</v>
      </c>
      <c r="T284" s="164">
        <f t="shared" si="56"/>
        <v>0</v>
      </c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R284" s="165" t="s">
        <v>213</v>
      </c>
      <c r="AT284" s="165" t="s">
        <v>181</v>
      </c>
      <c r="AU284" s="165" t="s">
        <v>82</v>
      </c>
      <c r="AY284" s="14" t="s">
        <v>179</v>
      </c>
      <c r="BE284" s="166">
        <f t="shared" si="57"/>
        <v>0</v>
      </c>
      <c r="BF284" s="166">
        <f t="shared" si="58"/>
        <v>0</v>
      </c>
      <c r="BG284" s="166">
        <f t="shared" si="59"/>
        <v>0</v>
      </c>
      <c r="BH284" s="166">
        <f t="shared" si="60"/>
        <v>0</v>
      </c>
      <c r="BI284" s="166">
        <f t="shared" si="61"/>
        <v>0</v>
      </c>
      <c r="BJ284" s="14" t="s">
        <v>82</v>
      </c>
      <c r="BK284" s="166">
        <f t="shared" si="62"/>
        <v>0</v>
      </c>
      <c r="BL284" s="14" t="s">
        <v>213</v>
      </c>
      <c r="BM284" s="165" t="s">
        <v>784</v>
      </c>
    </row>
    <row r="285" spans="1:65" s="2" customFormat="1" ht="21.75" customHeight="1">
      <c r="A285" s="29"/>
      <c r="B285" s="152"/>
      <c r="C285" s="167" t="s">
        <v>453</v>
      </c>
      <c r="D285" s="167" t="s">
        <v>202</v>
      </c>
      <c r="E285" s="168" t="s">
        <v>1278</v>
      </c>
      <c r="F285" s="169" t="s">
        <v>1279</v>
      </c>
      <c r="G285" s="170" t="s">
        <v>217</v>
      </c>
      <c r="H285" s="171">
        <v>1</v>
      </c>
      <c r="I285" s="172"/>
      <c r="J285" s="151">
        <v>0</v>
      </c>
      <c r="K285" s="174"/>
      <c r="L285" s="175"/>
      <c r="M285" s="176" t="s">
        <v>1</v>
      </c>
      <c r="N285" s="177" t="s">
        <v>35</v>
      </c>
      <c r="O285" s="58"/>
      <c r="P285" s="163">
        <f t="shared" si="54"/>
        <v>0</v>
      </c>
      <c r="Q285" s="163">
        <v>3.3E-4</v>
      </c>
      <c r="R285" s="163">
        <f t="shared" si="55"/>
        <v>3.3E-4</v>
      </c>
      <c r="S285" s="163">
        <v>0</v>
      </c>
      <c r="T285" s="164">
        <f t="shared" si="56"/>
        <v>0</v>
      </c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R285" s="165" t="s">
        <v>242</v>
      </c>
      <c r="AT285" s="165" t="s">
        <v>202</v>
      </c>
      <c r="AU285" s="165" t="s">
        <v>82</v>
      </c>
      <c r="AY285" s="14" t="s">
        <v>179</v>
      </c>
      <c r="BE285" s="166">
        <f t="shared" si="57"/>
        <v>0</v>
      </c>
      <c r="BF285" s="166">
        <f t="shared" si="58"/>
        <v>0</v>
      </c>
      <c r="BG285" s="166">
        <f t="shared" si="59"/>
        <v>0</v>
      </c>
      <c r="BH285" s="166">
        <f t="shared" si="60"/>
        <v>0</v>
      </c>
      <c r="BI285" s="166">
        <f t="shared" si="61"/>
        <v>0</v>
      </c>
      <c r="BJ285" s="14" t="s">
        <v>82</v>
      </c>
      <c r="BK285" s="166">
        <f t="shared" si="62"/>
        <v>0</v>
      </c>
      <c r="BL285" s="14" t="s">
        <v>213</v>
      </c>
      <c r="BM285" s="165" t="s">
        <v>788</v>
      </c>
    </row>
    <row r="286" spans="1:65" s="2" customFormat="1" ht="24.2" customHeight="1">
      <c r="A286" s="29"/>
      <c r="B286" s="152"/>
      <c r="C286" s="153" t="s">
        <v>715</v>
      </c>
      <c r="D286" s="153" t="s">
        <v>181</v>
      </c>
      <c r="E286" s="154" t="s">
        <v>1280</v>
      </c>
      <c r="F286" s="155" t="s">
        <v>1281</v>
      </c>
      <c r="G286" s="156" t="s">
        <v>585</v>
      </c>
      <c r="H286" s="178"/>
      <c r="I286" s="158"/>
      <c r="J286" s="151">
        <v>0</v>
      </c>
      <c r="K286" s="160"/>
      <c r="L286" s="30"/>
      <c r="M286" s="161" t="s">
        <v>1</v>
      </c>
      <c r="N286" s="162" t="s">
        <v>35</v>
      </c>
      <c r="O286" s="58"/>
      <c r="P286" s="163">
        <f t="shared" si="54"/>
        <v>0</v>
      </c>
      <c r="Q286" s="163">
        <v>0</v>
      </c>
      <c r="R286" s="163">
        <f t="shared" si="55"/>
        <v>0</v>
      </c>
      <c r="S286" s="163">
        <v>0</v>
      </c>
      <c r="T286" s="164">
        <f t="shared" si="56"/>
        <v>0</v>
      </c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R286" s="165" t="s">
        <v>213</v>
      </c>
      <c r="AT286" s="165" t="s">
        <v>181</v>
      </c>
      <c r="AU286" s="165" t="s">
        <v>82</v>
      </c>
      <c r="AY286" s="14" t="s">
        <v>179</v>
      </c>
      <c r="BE286" s="166">
        <f t="shared" si="57"/>
        <v>0</v>
      </c>
      <c r="BF286" s="166">
        <f t="shared" si="58"/>
        <v>0</v>
      </c>
      <c r="BG286" s="166">
        <f t="shared" si="59"/>
        <v>0</v>
      </c>
      <c r="BH286" s="166">
        <f t="shared" si="60"/>
        <v>0</v>
      </c>
      <c r="BI286" s="166">
        <f t="shared" si="61"/>
        <v>0</v>
      </c>
      <c r="BJ286" s="14" t="s">
        <v>82</v>
      </c>
      <c r="BK286" s="166">
        <f t="shared" si="62"/>
        <v>0</v>
      </c>
      <c r="BL286" s="14" t="s">
        <v>213</v>
      </c>
      <c r="BM286" s="165" t="s">
        <v>791</v>
      </c>
    </row>
    <row r="287" spans="1:65" s="2" customFormat="1" ht="33" customHeight="1">
      <c r="A287" s="29"/>
      <c r="B287" s="152"/>
      <c r="C287" s="153" t="s">
        <v>456</v>
      </c>
      <c r="D287" s="153" t="s">
        <v>181</v>
      </c>
      <c r="E287" s="154" t="s">
        <v>1282</v>
      </c>
      <c r="F287" s="155" t="s">
        <v>1283</v>
      </c>
      <c r="G287" s="156" t="s">
        <v>585</v>
      </c>
      <c r="H287" s="178"/>
      <c r="I287" s="158"/>
      <c r="J287" s="151">
        <v>0</v>
      </c>
      <c r="K287" s="160"/>
      <c r="L287" s="30"/>
      <c r="M287" s="161" t="s">
        <v>1</v>
      </c>
      <c r="N287" s="162" t="s">
        <v>35</v>
      </c>
      <c r="O287" s="58"/>
      <c r="P287" s="163">
        <f t="shared" si="54"/>
        <v>0</v>
      </c>
      <c r="Q287" s="163">
        <v>0</v>
      </c>
      <c r="R287" s="163">
        <f t="shared" si="55"/>
        <v>0</v>
      </c>
      <c r="S287" s="163">
        <v>0</v>
      </c>
      <c r="T287" s="164">
        <f t="shared" si="56"/>
        <v>0</v>
      </c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R287" s="165" t="s">
        <v>213</v>
      </c>
      <c r="AT287" s="165" t="s">
        <v>181</v>
      </c>
      <c r="AU287" s="165" t="s">
        <v>82</v>
      </c>
      <c r="AY287" s="14" t="s">
        <v>179</v>
      </c>
      <c r="BE287" s="166">
        <f t="shared" si="57"/>
        <v>0</v>
      </c>
      <c r="BF287" s="166">
        <f t="shared" si="58"/>
        <v>0</v>
      </c>
      <c r="BG287" s="166">
        <f t="shared" si="59"/>
        <v>0</v>
      </c>
      <c r="BH287" s="166">
        <f t="shared" si="60"/>
        <v>0</v>
      </c>
      <c r="BI287" s="166">
        <f t="shared" si="61"/>
        <v>0</v>
      </c>
      <c r="BJ287" s="14" t="s">
        <v>82</v>
      </c>
      <c r="BK287" s="166">
        <f t="shared" si="62"/>
        <v>0</v>
      </c>
      <c r="BL287" s="14" t="s">
        <v>213</v>
      </c>
      <c r="BM287" s="165" t="s">
        <v>795</v>
      </c>
    </row>
    <row r="288" spans="1:65" s="2" customFormat="1" ht="33" customHeight="1">
      <c r="A288" s="29"/>
      <c r="B288" s="152"/>
      <c r="C288" s="153" t="s">
        <v>722</v>
      </c>
      <c r="D288" s="153" t="s">
        <v>181</v>
      </c>
      <c r="E288" s="154" t="s">
        <v>1284</v>
      </c>
      <c r="F288" s="339" t="s">
        <v>3410</v>
      </c>
      <c r="G288" s="156" t="s">
        <v>1113</v>
      </c>
      <c r="H288" s="157">
        <v>150</v>
      </c>
      <c r="I288" s="158"/>
      <c r="J288" s="151">
        <v>0</v>
      </c>
      <c r="K288" s="160"/>
      <c r="L288" s="30"/>
      <c r="M288" s="161" t="s">
        <v>1</v>
      </c>
      <c r="N288" s="162" t="s">
        <v>35</v>
      </c>
      <c r="O288" s="58"/>
      <c r="P288" s="163">
        <f t="shared" si="54"/>
        <v>0</v>
      </c>
      <c r="Q288" s="163">
        <v>0</v>
      </c>
      <c r="R288" s="163">
        <f t="shared" si="55"/>
        <v>0</v>
      </c>
      <c r="S288" s="163">
        <v>0</v>
      </c>
      <c r="T288" s="164">
        <f t="shared" si="56"/>
        <v>0</v>
      </c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R288" s="165" t="s">
        <v>213</v>
      </c>
      <c r="AT288" s="165" t="s">
        <v>181</v>
      </c>
      <c r="AU288" s="165" t="s">
        <v>82</v>
      </c>
      <c r="AY288" s="14" t="s">
        <v>179</v>
      </c>
      <c r="BE288" s="166">
        <f t="shared" si="57"/>
        <v>0</v>
      </c>
      <c r="BF288" s="166">
        <f t="shared" si="58"/>
        <v>0</v>
      </c>
      <c r="BG288" s="166">
        <f t="shared" si="59"/>
        <v>0</v>
      </c>
      <c r="BH288" s="166">
        <f t="shared" si="60"/>
        <v>0</v>
      </c>
      <c r="BI288" s="166">
        <f t="shared" si="61"/>
        <v>0</v>
      </c>
      <c r="BJ288" s="14" t="s">
        <v>82</v>
      </c>
      <c r="BK288" s="166">
        <f t="shared" si="62"/>
        <v>0</v>
      </c>
      <c r="BL288" s="14" t="s">
        <v>213</v>
      </c>
      <c r="BM288" s="165" t="s">
        <v>798</v>
      </c>
    </row>
    <row r="289" spans="1:65" s="12" customFormat="1" ht="22.9" customHeight="1">
      <c r="B289" s="139"/>
      <c r="D289" s="140" t="s">
        <v>68</v>
      </c>
      <c r="E289" s="150" t="s">
        <v>729</v>
      </c>
      <c r="F289" s="150" t="s">
        <v>1285</v>
      </c>
      <c r="I289" s="142"/>
      <c r="J289" s="151">
        <v>0</v>
      </c>
      <c r="L289" s="139"/>
      <c r="M289" s="144"/>
      <c r="N289" s="145"/>
      <c r="O289" s="145"/>
      <c r="P289" s="146">
        <f>SUM(P290:P293)</f>
        <v>0</v>
      </c>
      <c r="Q289" s="145"/>
      <c r="R289" s="146">
        <f>SUM(R290:R293)</f>
        <v>0.88639999999999985</v>
      </c>
      <c r="S289" s="145"/>
      <c r="T289" s="147">
        <f>SUM(T290:T293)</f>
        <v>0</v>
      </c>
      <c r="AR289" s="140" t="s">
        <v>82</v>
      </c>
      <c r="AT289" s="148" t="s">
        <v>68</v>
      </c>
      <c r="AU289" s="148" t="s">
        <v>76</v>
      </c>
      <c r="AY289" s="140" t="s">
        <v>179</v>
      </c>
      <c r="BK289" s="149">
        <f>SUM(BK290:BK293)</f>
        <v>0</v>
      </c>
    </row>
    <row r="290" spans="1:65" s="2" customFormat="1" ht="24.2" customHeight="1">
      <c r="A290" s="29"/>
      <c r="B290" s="152"/>
      <c r="C290" s="153" t="s">
        <v>460</v>
      </c>
      <c r="D290" s="153" t="s">
        <v>181</v>
      </c>
      <c r="E290" s="154" t="s">
        <v>1286</v>
      </c>
      <c r="F290" s="155" t="s">
        <v>1287</v>
      </c>
      <c r="G290" s="156" t="s">
        <v>574</v>
      </c>
      <c r="H290" s="157">
        <v>80</v>
      </c>
      <c r="I290" s="158"/>
      <c r="J290" s="151">
        <v>0</v>
      </c>
      <c r="K290" s="160"/>
      <c r="L290" s="30"/>
      <c r="M290" s="161" t="s">
        <v>1</v>
      </c>
      <c r="N290" s="162" t="s">
        <v>35</v>
      </c>
      <c r="O290" s="58"/>
      <c r="P290" s="163">
        <f>O290*H290</f>
        <v>0</v>
      </c>
      <c r="Q290" s="163">
        <v>8.0000000000000007E-5</v>
      </c>
      <c r="R290" s="163">
        <f>Q290*H290</f>
        <v>6.4000000000000003E-3</v>
      </c>
      <c r="S290" s="163">
        <v>0</v>
      </c>
      <c r="T290" s="164">
        <f>S290*H290</f>
        <v>0</v>
      </c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R290" s="165" t="s">
        <v>213</v>
      </c>
      <c r="AT290" s="165" t="s">
        <v>181</v>
      </c>
      <c r="AU290" s="165" t="s">
        <v>82</v>
      </c>
      <c r="AY290" s="14" t="s">
        <v>179</v>
      </c>
      <c r="BE290" s="166">
        <f>IF(N290="základná",J290,0)</f>
        <v>0</v>
      </c>
      <c r="BF290" s="166">
        <f>IF(N290="znížená",J290,0)</f>
        <v>0</v>
      </c>
      <c r="BG290" s="166">
        <f>IF(N290="zákl. prenesená",J290,0)</f>
        <v>0</v>
      </c>
      <c r="BH290" s="166">
        <f>IF(N290="zníž. prenesená",J290,0)</f>
        <v>0</v>
      </c>
      <c r="BI290" s="166">
        <f>IF(N290="nulová",J290,0)</f>
        <v>0</v>
      </c>
      <c r="BJ290" s="14" t="s">
        <v>82</v>
      </c>
      <c r="BK290" s="166">
        <f>ROUND(I290*H290,2)</f>
        <v>0</v>
      </c>
      <c r="BL290" s="14" t="s">
        <v>213</v>
      </c>
      <c r="BM290" s="165" t="s">
        <v>802</v>
      </c>
    </row>
    <row r="291" spans="1:65" s="2" customFormat="1" ht="24.2" customHeight="1">
      <c r="A291" s="29"/>
      <c r="B291" s="152"/>
      <c r="C291" s="167" t="s">
        <v>731</v>
      </c>
      <c r="D291" s="167" t="s">
        <v>202</v>
      </c>
      <c r="E291" s="168" t="s">
        <v>1288</v>
      </c>
      <c r="F291" s="169" t="s">
        <v>1289</v>
      </c>
      <c r="G291" s="170" t="s">
        <v>574</v>
      </c>
      <c r="H291" s="171">
        <v>80</v>
      </c>
      <c r="I291" s="172"/>
      <c r="J291" s="151">
        <v>0</v>
      </c>
      <c r="K291" s="174"/>
      <c r="L291" s="175"/>
      <c r="M291" s="176" t="s">
        <v>1</v>
      </c>
      <c r="N291" s="177" t="s">
        <v>35</v>
      </c>
      <c r="O291" s="58"/>
      <c r="P291" s="163">
        <f>O291*H291</f>
        <v>0</v>
      </c>
      <c r="Q291" s="163">
        <v>1.0999999999999999E-2</v>
      </c>
      <c r="R291" s="163">
        <f>Q291*H291</f>
        <v>0.87999999999999989</v>
      </c>
      <c r="S291" s="163">
        <v>0</v>
      </c>
      <c r="T291" s="164">
        <f>S291*H291</f>
        <v>0</v>
      </c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R291" s="165" t="s">
        <v>242</v>
      </c>
      <c r="AT291" s="165" t="s">
        <v>202</v>
      </c>
      <c r="AU291" s="165" t="s">
        <v>82</v>
      </c>
      <c r="AY291" s="14" t="s">
        <v>179</v>
      </c>
      <c r="BE291" s="166">
        <f>IF(N291="základná",J291,0)</f>
        <v>0</v>
      </c>
      <c r="BF291" s="166">
        <f>IF(N291="znížená",J291,0)</f>
        <v>0</v>
      </c>
      <c r="BG291" s="166">
        <f>IF(N291="zákl. prenesená",J291,0)</f>
        <v>0</v>
      </c>
      <c r="BH291" s="166">
        <f>IF(N291="zníž. prenesená",J291,0)</f>
        <v>0</v>
      </c>
      <c r="BI291" s="166">
        <f>IF(N291="nulová",J291,0)</f>
        <v>0</v>
      </c>
      <c r="BJ291" s="14" t="s">
        <v>82</v>
      </c>
      <c r="BK291" s="166">
        <f>ROUND(I291*H291,2)</f>
        <v>0</v>
      </c>
      <c r="BL291" s="14" t="s">
        <v>213</v>
      </c>
      <c r="BM291" s="165" t="s">
        <v>805</v>
      </c>
    </row>
    <row r="292" spans="1:65" s="2" customFormat="1" ht="24.2" customHeight="1">
      <c r="A292" s="29"/>
      <c r="B292" s="152"/>
      <c r="C292" s="153" t="s">
        <v>463</v>
      </c>
      <c r="D292" s="153" t="s">
        <v>181</v>
      </c>
      <c r="E292" s="154" t="s">
        <v>1290</v>
      </c>
      <c r="F292" s="155" t="s">
        <v>1291</v>
      </c>
      <c r="G292" s="156" t="s">
        <v>585</v>
      </c>
      <c r="H292" s="178"/>
      <c r="I292" s="158"/>
      <c r="J292" s="151">
        <v>0</v>
      </c>
      <c r="K292" s="160"/>
      <c r="L292" s="30"/>
      <c r="M292" s="161" t="s">
        <v>1</v>
      </c>
      <c r="N292" s="162" t="s">
        <v>35</v>
      </c>
      <c r="O292" s="58"/>
      <c r="P292" s="163">
        <f>O292*H292</f>
        <v>0</v>
      </c>
      <c r="Q292" s="163">
        <v>0</v>
      </c>
      <c r="R292" s="163">
        <f>Q292*H292</f>
        <v>0</v>
      </c>
      <c r="S292" s="163">
        <v>0</v>
      </c>
      <c r="T292" s="164">
        <f>S292*H292</f>
        <v>0</v>
      </c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R292" s="165" t="s">
        <v>213</v>
      </c>
      <c r="AT292" s="165" t="s">
        <v>181</v>
      </c>
      <c r="AU292" s="165" t="s">
        <v>82</v>
      </c>
      <c r="AY292" s="14" t="s">
        <v>179</v>
      </c>
      <c r="BE292" s="166">
        <f>IF(N292="základná",J292,0)</f>
        <v>0</v>
      </c>
      <c r="BF292" s="166">
        <f>IF(N292="znížená",J292,0)</f>
        <v>0</v>
      </c>
      <c r="BG292" s="166">
        <f>IF(N292="zákl. prenesená",J292,0)</f>
        <v>0</v>
      </c>
      <c r="BH292" s="166">
        <f>IF(N292="zníž. prenesená",J292,0)</f>
        <v>0</v>
      </c>
      <c r="BI292" s="166">
        <f>IF(N292="nulová",J292,0)</f>
        <v>0</v>
      </c>
      <c r="BJ292" s="14" t="s">
        <v>82</v>
      </c>
      <c r="BK292" s="166">
        <f>ROUND(I292*H292,2)</f>
        <v>0</v>
      </c>
      <c r="BL292" s="14" t="s">
        <v>213</v>
      </c>
      <c r="BM292" s="165" t="s">
        <v>808</v>
      </c>
    </row>
    <row r="293" spans="1:65" s="2" customFormat="1" ht="24.2" customHeight="1">
      <c r="A293" s="29"/>
      <c r="B293" s="152"/>
      <c r="C293" s="153" t="s">
        <v>737</v>
      </c>
      <c r="D293" s="153" t="s">
        <v>181</v>
      </c>
      <c r="E293" s="154" t="s">
        <v>1292</v>
      </c>
      <c r="F293" s="155" t="s">
        <v>1293</v>
      </c>
      <c r="G293" s="156" t="s">
        <v>585</v>
      </c>
      <c r="H293" s="178"/>
      <c r="I293" s="158"/>
      <c r="J293" s="151">
        <v>0</v>
      </c>
      <c r="K293" s="160"/>
      <c r="L293" s="30"/>
      <c r="M293" s="179" t="s">
        <v>1</v>
      </c>
      <c r="N293" s="180" t="s">
        <v>35</v>
      </c>
      <c r="O293" s="181"/>
      <c r="P293" s="182">
        <f>O293*H293</f>
        <v>0</v>
      </c>
      <c r="Q293" s="182">
        <v>0</v>
      </c>
      <c r="R293" s="182">
        <f>Q293*H293</f>
        <v>0</v>
      </c>
      <c r="S293" s="182">
        <v>0</v>
      </c>
      <c r="T293" s="183">
        <f>S293*H293</f>
        <v>0</v>
      </c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R293" s="165" t="s">
        <v>213</v>
      </c>
      <c r="AT293" s="165" t="s">
        <v>181</v>
      </c>
      <c r="AU293" s="165" t="s">
        <v>82</v>
      </c>
      <c r="AY293" s="14" t="s">
        <v>179</v>
      </c>
      <c r="BE293" s="166">
        <f>IF(N293="základná",J293,0)</f>
        <v>0</v>
      </c>
      <c r="BF293" s="166">
        <f>IF(N293="znížená",J293,0)</f>
        <v>0</v>
      </c>
      <c r="BG293" s="166">
        <f>IF(N293="zákl. prenesená",J293,0)</f>
        <v>0</v>
      </c>
      <c r="BH293" s="166">
        <f>IF(N293="zníž. prenesená",J293,0)</f>
        <v>0</v>
      </c>
      <c r="BI293" s="166">
        <f>IF(N293="nulová",J293,0)</f>
        <v>0</v>
      </c>
      <c r="BJ293" s="14" t="s">
        <v>82</v>
      </c>
      <c r="BK293" s="166">
        <f>ROUND(I293*H293,2)</f>
        <v>0</v>
      </c>
      <c r="BL293" s="14" t="s">
        <v>213</v>
      </c>
      <c r="BM293" s="165" t="s">
        <v>811</v>
      </c>
    </row>
    <row r="294" spans="1:65" s="2" customFormat="1" ht="6.95" customHeight="1">
      <c r="A294" s="29"/>
      <c r="B294" s="47"/>
      <c r="C294" s="48"/>
      <c r="D294" s="48"/>
      <c r="E294" s="48"/>
      <c r="F294" s="48"/>
      <c r="G294" s="48"/>
      <c r="H294" s="48"/>
      <c r="I294" s="48"/>
      <c r="J294" s="48"/>
      <c r="K294" s="48"/>
      <c r="L294" s="30"/>
      <c r="M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</row>
  </sheetData>
  <autoFilter ref="C129:K293"/>
  <mergeCells count="12">
    <mergeCell ref="E122:H122"/>
    <mergeCell ref="L2:V2"/>
    <mergeCell ref="E85:H85"/>
    <mergeCell ref="E87:H87"/>
    <mergeCell ref="E89:H89"/>
    <mergeCell ref="E118:H118"/>
    <mergeCell ref="E120:H12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BM156"/>
  <sheetViews>
    <sheetView showGridLines="0" workbookViewId="0">
      <selection activeCell="J42" sqref="J42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0" t="s">
        <v>5</v>
      </c>
      <c r="M2" s="351"/>
      <c r="N2" s="351"/>
      <c r="O2" s="351"/>
      <c r="P2" s="351"/>
      <c r="Q2" s="351"/>
      <c r="R2" s="351"/>
      <c r="S2" s="351"/>
      <c r="T2" s="351"/>
      <c r="U2" s="351"/>
      <c r="V2" s="351"/>
      <c r="AT2" s="14" t="s">
        <v>89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5" customHeight="1">
      <c r="B4" s="17"/>
      <c r="D4" s="18" t="s">
        <v>129</v>
      </c>
      <c r="L4" s="17"/>
      <c r="M4" s="98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387" t="str">
        <f>'Rekapitulácia stavby'!K6</f>
        <v>Topoľčianky, Centrálny logistický sklad - rekonštrukcia tepelného hospodárstva</v>
      </c>
      <c r="F7" s="388"/>
      <c r="G7" s="388"/>
      <c r="H7" s="388"/>
      <c r="L7" s="17"/>
    </row>
    <row r="8" spans="1:46" s="1" customFormat="1" ht="12" customHeight="1">
      <c r="B8" s="17"/>
      <c r="D8" s="24" t="s">
        <v>130</v>
      </c>
      <c r="L8" s="17"/>
    </row>
    <row r="9" spans="1:46" s="2" customFormat="1" ht="16.5" customHeight="1">
      <c r="A9" s="29"/>
      <c r="B9" s="30"/>
      <c r="C9" s="29"/>
      <c r="D9" s="29"/>
      <c r="E9" s="387" t="s">
        <v>131</v>
      </c>
      <c r="F9" s="386"/>
      <c r="G9" s="386"/>
      <c r="H9" s="386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>
      <c r="A10" s="29"/>
      <c r="B10" s="30"/>
      <c r="C10" s="29"/>
      <c r="D10" s="24" t="s">
        <v>132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>
      <c r="A11" s="29"/>
      <c r="B11" s="30"/>
      <c r="C11" s="29"/>
      <c r="D11" s="29"/>
      <c r="E11" s="382" t="s">
        <v>1294</v>
      </c>
      <c r="F11" s="386"/>
      <c r="G11" s="386"/>
      <c r="H11" s="386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>
      <c r="A13" s="29"/>
      <c r="B13" s="30"/>
      <c r="C13" s="29"/>
      <c r="D13" s="24" t="s">
        <v>15</v>
      </c>
      <c r="E13" s="29"/>
      <c r="F13" s="22" t="s">
        <v>1</v>
      </c>
      <c r="G13" s="29"/>
      <c r="H13" s="29"/>
      <c r="I13" s="24" t="s">
        <v>16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17</v>
      </c>
      <c r="E14" s="29"/>
      <c r="F14" s="22" t="s">
        <v>18</v>
      </c>
      <c r="G14" s="29"/>
      <c r="H14" s="29"/>
      <c r="I14" s="24" t="s">
        <v>19</v>
      </c>
      <c r="J14" s="55">
        <f>'Rekapitulácia stavby'!AN8</f>
        <v>45945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>
      <c r="A16" s="29"/>
      <c r="B16" s="30"/>
      <c r="C16" s="29"/>
      <c r="D16" s="24" t="s">
        <v>20</v>
      </c>
      <c r="E16" s="29"/>
      <c r="F16" s="29"/>
      <c r="G16" s="29"/>
      <c r="H16" s="29"/>
      <c r="I16" s="24" t="s">
        <v>21</v>
      </c>
      <c r="J16" s="22" t="str">
        <f>IF('Rekapitulácia stavby'!AN10="","",'Rekapitulácia stavby'!AN10)</f>
        <v/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>
      <c r="A17" s="29"/>
      <c r="B17" s="30"/>
      <c r="C17" s="29"/>
      <c r="D17" s="29"/>
      <c r="E17" s="22" t="str">
        <f>IF('Rekapitulácia stavby'!E11="","",'Rekapitulácia stavby'!E11)</f>
        <v xml:space="preserve"> </v>
      </c>
      <c r="F17" s="29"/>
      <c r="G17" s="29"/>
      <c r="H17" s="29"/>
      <c r="I17" s="24" t="s">
        <v>22</v>
      </c>
      <c r="J17" s="22" t="str">
        <f>IF('Rekapitulácia stavby'!AN11="","",'Rekapitulácia stavby'!AN11)</f>
        <v/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customHeight="1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>
      <c r="A19" s="29"/>
      <c r="B19" s="30"/>
      <c r="C19" s="29"/>
      <c r="D19" s="24" t="s">
        <v>23</v>
      </c>
      <c r="E19" s="29"/>
      <c r="F19" s="29"/>
      <c r="G19" s="29"/>
      <c r="H19" s="29"/>
      <c r="I19" s="24" t="s">
        <v>21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>
      <c r="A20" s="29"/>
      <c r="B20" s="30"/>
      <c r="C20" s="29"/>
      <c r="D20" s="29"/>
      <c r="E20" s="389" t="str">
        <f>'Rekapitulácia stavby'!E14</f>
        <v>Vyplň údaj</v>
      </c>
      <c r="F20" s="390"/>
      <c r="G20" s="390"/>
      <c r="H20" s="390"/>
      <c r="I20" s="24" t="s">
        <v>22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customHeight="1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>
      <c r="A22" s="29"/>
      <c r="B22" s="30"/>
      <c r="C22" s="29"/>
      <c r="D22" s="24" t="s">
        <v>25</v>
      </c>
      <c r="E22" s="29"/>
      <c r="F22" s="29"/>
      <c r="G22" s="29"/>
      <c r="H22" s="29"/>
      <c r="I22" s="24" t="s">
        <v>21</v>
      </c>
      <c r="J22" s="22" t="str">
        <f>IF('Rekapitulácia stavby'!AN16="","",'Rekapitulácia stavby'!AN16)</f>
        <v/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>
      <c r="A23" s="29"/>
      <c r="B23" s="30"/>
      <c r="C23" s="29"/>
      <c r="D23" s="29"/>
      <c r="E23" s="22" t="str">
        <f>IF('Rekapitulácia stavby'!E17="","",'Rekapitulácia stavby'!E17)</f>
        <v xml:space="preserve"> </v>
      </c>
      <c r="F23" s="29"/>
      <c r="G23" s="29"/>
      <c r="H23" s="29"/>
      <c r="I23" s="24" t="s">
        <v>22</v>
      </c>
      <c r="J23" s="22" t="str">
        <f>IF('Rekapitulácia stavby'!AN17="","",'Rekapitulácia stavby'!AN17)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customHeight="1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>
      <c r="A25" s="29"/>
      <c r="B25" s="30"/>
      <c r="C25" s="29"/>
      <c r="D25" s="24" t="s">
        <v>26</v>
      </c>
      <c r="E25" s="29"/>
      <c r="F25" s="29"/>
      <c r="G25" s="29"/>
      <c r="H25" s="29"/>
      <c r="I25" s="24" t="s">
        <v>21</v>
      </c>
      <c r="J25" s="22" t="str">
        <f>IF('Rekapitulácia stavby'!AN19="","",'Rekapitulácia stavby'!AN19)</f>
        <v/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24" t="s">
        <v>22</v>
      </c>
      <c r="J26" s="22" t="str">
        <f>IF('Rekapitulácia stavby'!AN20="","",'Rekapitulácia stavby'!AN20)</f>
        <v/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>
      <c r="A28" s="29"/>
      <c r="B28" s="30"/>
      <c r="C28" s="29"/>
      <c r="D28" s="24" t="s">
        <v>28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>
      <c r="A29" s="99"/>
      <c r="B29" s="100"/>
      <c r="C29" s="99"/>
      <c r="D29" s="99"/>
      <c r="E29" s="378" t="s">
        <v>1</v>
      </c>
      <c r="F29" s="378"/>
      <c r="G29" s="378"/>
      <c r="H29" s="378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102" t="s">
        <v>29</v>
      </c>
      <c r="E32" s="29"/>
      <c r="F32" s="29"/>
      <c r="G32" s="29"/>
      <c r="H32" s="29"/>
      <c r="I32" s="29"/>
      <c r="J32" s="71"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31</v>
      </c>
      <c r="G34" s="29"/>
      <c r="H34" s="29"/>
      <c r="I34" s="33" t="s">
        <v>30</v>
      </c>
      <c r="J34" s="33" t="s">
        <v>32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3" t="s">
        <v>33</v>
      </c>
      <c r="E35" s="35" t="s">
        <v>34</v>
      </c>
      <c r="F35" s="104">
        <f>ROUND((SUM(BE125:BE155)),  2)</f>
        <v>0</v>
      </c>
      <c r="G35" s="105"/>
      <c r="H35" s="105"/>
      <c r="I35" s="106">
        <v>0.23</v>
      </c>
      <c r="J35" s="104">
        <f>ROUND(((SUM(BE125:BE155))*I35),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35</v>
      </c>
      <c r="F36" s="104">
        <f>ROUND((SUM(BF125:BF155)),  2)</f>
        <v>0</v>
      </c>
      <c r="G36" s="105"/>
      <c r="H36" s="105"/>
      <c r="I36" s="106">
        <v>0.23</v>
      </c>
      <c r="J36" s="104">
        <f>ROUND(((SUM(BF125:BF155))*I36),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36</v>
      </c>
      <c r="F37" s="107">
        <f>ROUND((SUM(BG125:BG155)),  2)</f>
        <v>0</v>
      </c>
      <c r="G37" s="29"/>
      <c r="H37" s="29"/>
      <c r="I37" s="108">
        <v>0.23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37</v>
      </c>
      <c r="F38" s="107">
        <f>ROUND((SUM(BH125:BH155)),  2)</f>
        <v>0</v>
      </c>
      <c r="G38" s="29"/>
      <c r="H38" s="29"/>
      <c r="I38" s="108">
        <v>0.23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38</v>
      </c>
      <c r="F39" s="104">
        <f>ROUND((SUM(BI125:BI155)), 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9"/>
      <c r="D41" s="110" t="s">
        <v>39</v>
      </c>
      <c r="E41" s="60"/>
      <c r="F41" s="60"/>
      <c r="G41" s="111" t="s">
        <v>40</v>
      </c>
      <c r="H41" s="112" t="s">
        <v>41</v>
      </c>
      <c r="I41" s="60"/>
      <c r="J41" s="113"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42</v>
      </c>
      <c r="E50" s="44"/>
      <c r="F50" s="44"/>
      <c r="G50" s="43" t="s">
        <v>43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44</v>
      </c>
      <c r="E61" s="32"/>
      <c r="F61" s="115" t="s">
        <v>45</v>
      </c>
      <c r="G61" s="45" t="s">
        <v>44</v>
      </c>
      <c r="H61" s="32"/>
      <c r="I61" s="32"/>
      <c r="J61" s="116" t="s">
        <v>45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46</v>
      </c>
      <c r="E65" s="46"/>
      <c r="F65" s="46"/>
      <c r="G65" s="43" t="s">
        <v>47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44</v>
      </c>
      <c r="E76" s="32"/>
      <c r="F76" s="115" t="s">
        <v>45</v>
      </c>
      <c r="G76" s="45" t="s">
        <v>44</v>
      </c>
      <c r="H76" s="32"/>
      <c r="I76" s="32"/>
      <c r="J76" s="116" t="s">
        <v>45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hidden="1" customHeight="1">
      <c r="A82" s="29"/>
      <c r="B82" s="30"/>
      <c r="C82" s="18" t="s">
        <v>134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hidden="1" customHeight="1">
      <c r="A85" s="29"/>
      <c r="B85" s="30"/>
      <c r="C85" s="29"/>
      <c r="D85" s="29"/>
      <c r="E85" s="387" t="str">
        <f>E7</f>
        <v>Topoľčianky, Centrálny logistický sklad - rekonštrukcia tepelného hospodárstva</v>
      </c>
      <c r="F85" s="388"/>
      <c r="G85" s="388"/>
      <c r="H85" s="388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hidden="1" customHeight="1">
      <c r="B86" s="17"/>
      <c r="C86" s="24" t="s">
        <v>130</v>
      </c>
      <c r="L86" s="17"/>
    </row>
    <row r="87" spans="1:31" s="2" customFormat="1" ht="16.5" hidden="1" customHeight="1">
      <c r="A87" s="29"/>
      <c r="B87" s="30"/>
      <c r="C87" s="29"/>
      <c r="D87" s="29"/>
      <c r="E87" s="387" t="s">
        <v>131</v>
      </c>
      <c r="F87" s="386"/>
      <c r="G87" s="386"/>
      <c r="H87" s="386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hidden="1" customHeight="1">
      <c r="A88" s="29"/>
      <c r="B88" s="30"/>
      <c r="C88" s="24" t="s">
        <v>132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hidden="1" customHeight="1">
      <c r="A89" s="29"/>
      <c r="B89" s="30"/>
      <c r="C89" s="29"/>
      <c r="D89" s="29"/>
      <c r="E89" s="382" t="str">
        <f>E11</f>
        <v>E1.5 - Plynoinštalácia</v>
      </c>
      <c r="F89" s="386"/>
      <c r="G89" s="386"/>
      <c r="H89" s="386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hidden="1" customHeight="1">
      <c r="A91" s="29"/>
      <c r="B91" s="30"/>
      <c r="C91" s="24" t="s">
        <v>17</v>
      </c>
      <c r="D91" s="29"/>
      <c r="E91" s="29"/>
      <c r="F91" s="22" t="str">
        <f>F14</f>
        <v xml:space="preserve"> </v>
      </c>
      <c r="G91" s="29"/>
      <c r="H91" s="29"/>
      <c r="I91" s="24" t="s">
        <v>19</v>
      </c>
      <c r="J91" s="55">
        <f>IF(J14="","",J14)</f>
        <v>45945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hidden="1" customHeight="1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hidden="1" customHeight="1">
      <c r="A93" s="29"/>
      <c r="B93" s="30"/>
      <c r="C93" s="24" t="s">
        <v>20</v>
      </c>
      <c r="D93" s="29"/>
      <c r="E93" s="29"/>
      <c r="F93" s="22" t="str">
        <f>E17</f>
        <v xml:space="preserve"> </v>
      </c>
      <c r="G93" s="29"/>
      <c r="H93" s="29"/>
      <c r="I93" s="24" t="s">
        <v>25</v>
      </c>
      <c r="J93" s="27" t="str">
        <f>E23</f>
        <v xml:space="preserve">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hidden="1" customHeight="1">
      <c r="A94" s="29"/>
      <c r="B94" s="30"/>
      <c r="C94" s="24" t="s">
        <v>23</v>
      </c>
      <c r="D94" s="29"/>
      <c r="E94" s="29"/>
      <c r="F94" s="22" t="str">
        <f>IF(E20="","",E20)</f>
        <v>Vyplň údaj</v>
      </c>
      <c r="G94" s="29"/>
      <c r="H94" s="29"/>
      <c r="I94" s="24" t="s">
        <v>26</v>
      </c>
      <c r="J94" s="27" t="str">
        <f>E26</f>
        <v xml:space="preserve">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hidden="1" customHeight="1">
      <c r="A96" s="29"/>
      <c r="B96" s="30"/>
      <c r="C96" s="117" t="s">
        <v>135</v>
      </c>
      <c r="D96" s="109"/>
      <c r="E96" s="109"/>
      <c r="F96" s="109"/>
      <c r="G96" s="109"/>
      <c r="H96" s="109"/>
      <c r="I96" s="109"/>
      <c r="J96" s="118" t="s">
        <v>136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hidden="1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hidden="1" customHeight="1">
      <c r="A98" s="29"/>
      <c r="B98" s="30"/>
      <c r="C98" s="119" t="s">
        <v>137</v>
      </c>
      <c r="D98" s="29"/>
      <c r="E98" s="29"/>
      <c r="F98" s="29"/>
      <c r="G98" s="29"/>
      <c r="H98" s="29"/>
      <c r="I98" s="29"/>
      <c r="J98" s="71">
        <f>J125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138</v>
      </c>
    </row>
    <row r="99" spans="1:47" s="9" customFormat="1" ht="24.95" hidden="1" customHeight="1">
      <c r="B99" s="120"/>
      <c r="D99" s="121" t="s">
        <v>979</v>
      </c>
      <c r="E99" s="122"/>
      <c r="F99" s="122"/>
      <c r="G99" s="122"/>
      <c r="H99" s="122"/>
      <c r="I99" s="122"/>
      <c r="J99" s="123">
        <f>J126</f>
        <v>0</v>
      </c>
      <c r="L99" s="120"/>
    </row>
    <row r="100" spans="1:47" s="10" customFormat="1" ht="19.899999999999999" hidden="1" customHeight="1">
      <c r="B100" s="124"/>
      <c r="D100" s="125" t="s">
        <v>1295</v>
      </c>
      <c r="E100" s="126"/>
      <c r="F100" s="126"/>
      <c r="G100" s="126"/>
      <c r="H100" s="126"/>
      <c r="I100" s="126"/>
      <c r="J100" s="127">
        <f>J127</f>
        <v>0</v>
      </c>
      <c r="L100" s="124"/>
    </row>
    <row r="101" spans="1:47" s="10" customFormat="1" ht="19.899999999999999" hidden="1" customHeight="1">
      <c r="B101" s="124"/>
      <c r="D101" s="125" t="s">
        <v>984</v>
      </c>
      <c r="E101" s="126"/>
      <c r="F101" s="126"/>
      <c r="G101" s="126"/>
      <c r="H101" s="126"/>
      <c r="I101" s="126"/>
      <c r="J101" s="127">
        <f>J145</f>
        <v>0</v>
      </c>
      <c r="L101" s="124"/>
    </row>
    <row r="102" spans="1:47" s="10" customFormat="1" ht="19.899999999999999" hidden="1" customHeight="1">
      <c r="B102" s="124"/>
      <c r="D102" s="125" t="s">
        <v>1296</v>
      </c>
      <c r="E102" s="126"/>
      <c r="F102" s="126"/>
      <c r="G102" s="126"/>
      <c r="H102" s="126"/>
      <c r="I102" s="126"/>
      <c r="J102" s="127">
        <f>J150</f>
        <v>0</v>
      </c>
      <c r="L102" s="124"/>
    </row>
    <row r="103" spans="1:47" s="9" customFormat="1" ht="24.95" hidden="1" customHeight="1">
      <c r="B103" s="120"/>
      <c r="D103" s="121" t="s">
        <v>1297</v>
      </c>
      <c r="E103" s="122"/>
      <c r="F103" s="122"/>
      <c r="G103" s="122"/>
      <c r="H103" s="122"/>
      <c r="I103" s="122"/>
      <c r="J103" s="123">
        <f>J154</f>
        <v>0</v>
      </c>
      <c r="L103" s="120"/>
    </row>
    <row r="104" spans="1:47" s="2" customFormat="1" ht="21.75" hidden="1" customHeight="1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47" s="2" customFormat="1" ht="6.95" hidden="1" customHeight="1">
      <c r="A105" s="29"/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4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47" hidden="1"/>
    <row r="107" spans="1:47" hidden="1"/>
    <row r="108" spans="1:47" hidden="1"/>
    <row r="109" spans="1:47" s="2" customFormat="1" ht="6.95" customHeight="1">
      <c r="A109" s="29"/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47" s="2" customFormat="1" ht="24.95" customHeight="1">
      <c r="A110" s="29"/>
      <c r="B110" s="30"/>
      <c r="C110" s="18" t="s">
        <v>165</v>
      </c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2" customFormat="1" ht="6.95" customHeight="1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47" s="2" customFormat="1" ht="12" customHeight="1">
      <c r="A112" s="29"/>
      <c r="B112" s="30"/>
      <c r="C112" s="24" t="s">
        <v>14</v>
      </c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>
      <c r="A113" s="29"/>
      <c r="B113" s="30"/>
      <c r="C113" s="29"/>
      <c r="D113" s="29"/>
      <c r="E113" s="387" t="str">
        <f>E7</f>
        <v>Topoľčianky, Centrálny logistický sklad - rekonštrukcia tepelného hospodárstva</v>
      </c>
      <c r="F113" s="388"/>
      <c r="G113" s="388"/>
      <c r="H113" s="388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1" customFormat="1" ht="12" customHeight="1">
      <c r="B114" s="17"/>
      <c r="C114" s="24" t="s">
        <v>130</v>
      </c>
      <c r="L114" s="17"/>
    </row>
    <row r="115" spans="1:65" s="2" customFormat="1" ht="16.5" customHeight="1">
      <c r="A115" s="29"/>
      <c r="B115" s="30"/>
      <c r="C115" s="29"/>
      <c r="D115" s="29"/>
      <c r="E115" s="387" t="s">
        <v>131</v>
      </c>
      <c r="F115" s="386"/>
      <c r="G115" s="386"/>
      <c r="H115" s="386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>
      <c r="A116" s="29"/>
      <c r="B116" s="30"/>
      <c r="C116" s="24" t="s">
        <v>132</v>
      </c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6.5" customHeight="1">
      <c r="A117" s="29"/>
      <c r="B117" s="30"/>
      <c r="C117" s="29"/>
      <c r="D117" s="29"/>
      <c r="E117" s="382" t="str">
        <f>E11</f>
        <v>E1.5 - Plynoinštalácia</v>
      </c>
      <c r="F117" s="386"/>
      <c r="G117" s="386"/>
      <c r="H117" s="386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6.9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2" customHeight="1">
      <c r="A119" s="29"/>
      <c r="B119" s="30"/>
      <c r="C119" s="24" t="s">
        <v>17</v>
      </c>
      <c r="D119" s="29"/>
      <c r="E119" s="29"/>
      <c r="F119" s="22" t="str">
        <f>F14</f>
        <v xml:space="preserve"> </v>
      </c>
      <c r="G119" s="29"/>
      <c r="H119" s="29"/>
      <c r="I119" s="24" t="s">
        <v>19</v>
      </c>
      <c r="J119" s="55">
        <f>IF(J14="","",J14)</f>
        <v>45945</v>
      </c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6.9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5.2" customHeight="1">
      <c r="A121" s="29"/>
      <c r="B121" s="30"/>
      <c r="C121" s="24" t="s">
        <v>20</v>
      </c>
      <c r="D121" s="29"/>
      <c r="E121" s="29"/>
      <c r="F121" s="22" t="str">
        <f>E17</f>
        <v xml:space="preserve"> </v>
      </c>
      <c r="G121" s="29"/>
      <c r="H121" s="29"/>
      <c r="I121" s="24" t="s">
        <v>25</v>
      </c>
      <c r="J121" s="27" t="str">
        <f>E23</f>
        <v xml:space="preserve"> </v>
      </c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15.2" customHeight="1">
      <c r="A122" s="29"/>
      <c r="B122" s="30"/>
      <c r="C122" s="24" t="s">
        <v>23</v>
      </c>
      <c r="D122" s="29"/>
      <c r="E122" s="29"/>
      <c r="F122" s="22" t="str">
        <f>IF(E20="","",E20)</f>
        <v>Vyplň údaj</v>
      </c>
      <c r="G122" s="29"/>
      <c r="H122" s="29"/>
      <c r="I122" s="24" t="s">
        <v>26</v>
      </c>
      <c r="J122" s="27" t="str">
        <f>E26</f>
        <v xml:space="preserve"> </v>
      </c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10.3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11" customFormat="1" ht="29.25" customHeight="1">
      <c r="A124" s="128"/>
      <c r="B124" s="129"/>
      <c r="C124" s="130" t="s">
        <v>166</v>
      </c>
      <c r="D124" s="131" t="s">
        <v>54</v>
      </c>
      <c r="E124" s="131" t="s">
        <v>50</v>
      </c>
      <c r="F124" s="131" t="s">
        <v>51</v>
      </c>
      <c r="G124" s="131" t="s">
        <v>167</v>
      </c>
      <c r="H124" s="131" t="s">
        <v>168</v>
      </c>
      <c r="I124" s="131" t="s">
        <v>169</v>
      </c>
      <c r="J124" s="132" t="s">
        <v>136</v>
      </c>
      <c r="K124" s="133" t="s">
        <v>170</v>
      </c>
      <c r="L124" s="134"/>
      <c r="M124" s="62" t="s">
        <v>1</v>
      </c>
      <c r="N124" s="63" t="s">
        <v>33</v>
      </c>
      <c r="O124" s="63" t="s">
        <v>171</v>
      </c>
      <c r="P124" s="63" t="s">
        <v>172</v>
      </c>
      <c r="Q124" s="63" t="s">
        <v>173</v>
      </c>
      <c r="R124" s="63" t="s">
        <v>174</v>
      </c>
      <c r="S124" s="63" t="s">
        <v>175</v>
      </c>
      <c r="T124" s="64" t="s">
        <v>176</v>
      </c>
      <c r="U124" s="128"/>
      <c r="V124" s="128"/>
      <c r="W124" s="128"/>
      <c r="X124" s="128"/>
      <c r="Y124" s="128"/>
      <c r="Z124" s="128"/>
      <c r="AA124" s="128"/>
      <c r="AB124" s="128"/>
      <c r="AC124" s="128"/>
      <c r="AD124" s="128"/>
      <c r="AE124" s="128"/>
    </row>
    <row r="125" spans="1:65" s="2" customFormat="1" ht="22.9" customHeight="1">
      <c r="A125" s="29"/>
      <c r="B125" s="30"/>
      <c r="C125" s="69" t="s">
        <v>137</v>
      </c>
      <c r="D125" s="29"/>
      <c r="E125" s="29"/>
      <c r="F125" s="29"/>
      <c r="G125" s="29"/>
      <c r="H125" s="29"/>
      <c r="I125" s="29"/>
      <c r="J125" s="135">
        <v>0</v>
      </c>
      <c r="K125" s="29"/>
      <c r="L125" s="30"/>
      <c r="M125" s="65"/>
      <c r="N125" s="56"/>
      <c r="O125" s="66"/>
      <c r="P125" s="136">
        <f>P126+P154</f>
        <v>0</v>
      </c>
      <c r="Q125" s="66"/>
      <c r="R125" s="136">
        <f>R126+R154</f>
        <v>0.44056000000000001</v>
      </c>
      <c r="S125" s="66"/>
      <c r="T125" s="137">
        <f>T126+T154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T125" s="14" t="s">
        <v>68</v>
      </c>
      <c r="AU125" s="14" t="s">
        <v>138</v>
      </c>
      <c r="BK125" s="138">
        <f>BK126+BK154</f>
        <v>0</v>
      </c>
    </row>
    <row r="126" spans="1:65" s="12" customFormat="1" ht="25.9" customHeight="1">
      <c r="B126" s="139"/>
      <c r="D126" s="140" t="s">
        <v>68</v>
      </c>
      <c r="E126" s="141" t="s">
        <v>554</v>
      </c>
      <c r="F126" s="141" t="s">
        <v>1026</v>
      </c>
      <c r="I126" s="142"/>
      <c r="J126" s="143">
        <v>0</v>
      </c>
      <c r="L126" s="139"/>
      <c r="M126" s="144"/>
      <c r="N126" s="145"/>
      <c r="O126" s="145"/>
      <c r="P126" s="146">
        <f>P127+P145+P150</f>
        <v>0</v>
      </c>
      <c r="Q126" s="145"/>
      <c r="R126" s="146">
        <f>R127+R145+R150</f>
        <v>0.44056000000000001</v>
      </c>
      <c r="S126" s="145"/>
      <c r="T126" s="147">
        <f>T127+T145+T150</f>
        <v>0</v>
      </c>
      <c r="AR126" s="140" t="s">
        <v>82</v>
      </c>
      <c r="AT126" s="148" t="s">
        <v>68</v>
      </c>
      <c r="AU126" s="148" t="s">
        <v>69</v>
      </c>
      <c r="AY126" s="140" t="s">
        <v>179</v>
      </c>
      <c r="BK126" s="149">
        <f>BK127+BK145+BK150</f>
        <v>0</v>
      </c>
    </row>
    <row r="127" spans="1:65" s="12" customFormat="1" ht="22.9" customHeight="1">
      <c r="B127" s="139"/>
      <c r="D127" s="140" t="s">
        <v>68</v>
      </c>
      <c r="E127" s="150" t="s">
        <v>1298</v>
      </c>
      <c r="F127" s="150" t="s">
        <v>1299</v>
      </c>
      <c r="I127" s="142"/>
      <c r="J127" s="151">
        <v>0</v>
      </c>
      <c r="L127" s="139"/>
      <c r="M127" s="144"/>
      <c r="N127" s="145"/>
      <c r="O127" s="145"/>
      <c r="P127" s="146">
        <f>SUM(P128:P144)</f>
        <v>0</v>
      </c>
      <c r="Q127" s="145"/>
      <c r="R127" s="146">
        <f>SUM(R128:R144)</f>
        <v>0.24132000000000001</v>
      </c>
      <c r="S127" s="145"/>
      <c r="T127" s="147">
        <f>SUM(T128:T144)</f>
        <v>0</v>
      </c>
      <c r="AR127" s="140" t="s">
        <v>82</v>
      </c>
      <c r="AT127" s="148" t="s">
        <v>68</v>
      </c>
      <c r="AU127" s="148" t="s">
        <v>76</v>
      </c>
      <c r="AY127" s="140" t="s">
        <v>179</v>
      </c>
      <c r="BK127" s="149">
        <f>SUM(BK128:BK144)</f>
        <v>0</v>
      </c>
    </row>
    <row r="128" spans="1:65" s="2" customFormat="1" ht="24.2" customHeight="1">
      <c r="A128" s="29"/>
      <c r="B128" s="152"/>
      <c r="C128" s="153" t="s">
        <v>76</v>
      </c>
      <c r="D128" s="153" t="s">
        <v>181</v>
      </c>
      <c r="E128" s="154" t="s">
        <v>1300</v>
      </c>
      <c r="F128" s="155" t="s">
        <v>1301</v>
      </c>
      <c r="G128" s="156" t="s">
        <v>293</v>
      </c>
      <c r="H128" s="157">
        <v>28</v>
      </c>
      <c r="I128" s="158"/>
      <c r="J128" s="151">
        <v>0</v>
      </c>
      <c r="K128" s="160"/>
      <c r="L128" s="30"/>
      <c r="M128" s="161" t="s">
        <v>1</v>
      </c>
      <c r="N128" s="162" t="s">
        <v>35</v>
      </c>
      <c r="O128" s="58"/>
      <c r="P128" s="163">
        <f t="shared" ref="P128:P144" si="0">O128*H128</f>
        <v>0</v>
      </c>
      <c r="Q128" s="163">
        <v>3.9321428571428602E-4</v>
      </c>
      <c r="R128" s="163">
        <f t="shared" ref="R128:R144" si="1">Q128*H128</f>
        <v>1.1010000000000009E-2</v>
      </c>
      <c r="S128" s="163">
        <v>0</v>
      </c>
      <c r="T128" s="164">
        <f t="shared" ref="T128:T144" si="2"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5" t="s">
        <v>213</v>
      </c>
      <c r="AT128" s="165" t="s">
        <v>181</v>
      </c>
      <c r="AU128" s="165" t="s">
        <v>82</v>
      </c>
      <c r="AY128" s="14" t="s">
        <v>179</v>
      </c>
      <c r="BE128" s="166">
        <f t="shared" ref="BE128:BE144" si="3">IF(N128="základná",J128,0)</f>
        <v>0</v>
      </c>
      <c r="BF128" s="166">
        <f t="shared" ref="BF128:BF144" si="4">IF(N128="znížená",J128,0)</f>
        <v>0</v>
      </c>
      <c r="BG128" s="166">
        <f t="shared" ref="BG128:BG144" si="5">IF(N128="zákl. prenesená",J128,0)</f>
        <v>0</v>
      </c>
      <c r="BH128" s="166">
        <f t="shared" ref="BH128:BH144" si="6">IF(N128="zníž. prenesená",J128,0)</f>
        <v>0</v>
      </c>
      <c r="BI128" s="166">
        <f t="shared" ref="BI128:BI144" si="7">IF(N128="nulová",J128,0)</f>
        <v>0</v>
      </c>
      <c r="BJ128" s="14" t="s">
        <v>82</v>
      </c>
      <c r="BK128" s="166">
        <f t="shared" ref="BK128:BK144" si="8">ROUND(I128*H128,2)</f>
        <v>0</v>
      </c>
      <c r="BL128" s="14" t="s">
        <v>213</v>
      </c>
      <c r="BM128" s="165" t="s">
        <v>82</v>
      </c>
    </row>
    <row r="129" spans="1:65" s="2" customFormat="1" ht="24.2" customHeight="1">
      <c r="A129" s="29"/>
      <c r="B129" s="152"/>
      <c r="C129" s="153" t="s">
        <v>82</v>
      </c>
      <c r="D129" s="153" t="s">
        <v>181</v>
      </c>
      <c r="E129" s="154" t="s">
        <v>1302</v>
      </c>
      <c r="F129" s="155" t="s">
        <v>1303</v>
      </c>
      <c r="G129" s="156" t="s">
        <v>293</v>
      </c>
      <c r="H129" s="157">
        <v>32</v>
      </c>
      <c r="I129" s="158"/>
      <c r="J129" s="151">
        <v>0</v>
      </c>
      <c r="K129" s="160"/>
      <c r="L129" s="30"/>
      <c r="M129" s="161" t="s">
        <v>1</v>
      </c>
      <c r="N129" s="162" t="s">
        <v>35</v>
      </c>
      <c r="O129" s="58"/>
      <c r="P129" s="163">
        <f t="shared" si="0"/>
        <v>0</v>
      </c>
      <c r="Q129" s="163">
        <v>3.9312499999999997E-4</v>
      </c>
      <c r="R129" s="163">
        <f t="shared" si="1"/>
        <v>1.2579999999999999E-2</v>
      </c>
      <c r="S129" s="163">
        <v>0</v>
      </c>
      <c r="T129" s="164">
        <f t="shared" si="2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5" t="s">
        <v>213</v>
      </c>
      <c r="AT129" s="165" t="s">
        <v>181</v>
      </c>
      <c r="AU129" s="165" t="s">
        <v>82</v>
      </c>
      <c r="AY129" s="14" t="s">
        <v>179</v>
      </c>
      <c r="BE129" s="166">
        <f t="shared" si="3"/>
        <v>0</v>
      </c>
      <c r="BF129" s="166">
        <f t="shared" si="4"/>
        <v>0</v>
      </c>
      <c r="BG129" s="166">
        <f t="shared" si="5"/>
        <v>0</v>
      </c>
      <c r="BH129" s="166">
        <f t="shared" si="6"/>
        <v>0</v>
      </c>
      <c r="BI129" s="166">
        <f t="shared" si="7"/>
        <v>0</v>
      </c>
      <c r="BJ129" s="14" t="s">
        <v>82</v>
      </c>
      <c r="BK129" s="166">
        <f t="shared" si="8"/>
        <v>0</v>
      </c>
      <c r="BL129" s="14" t="s">
        <v>213</v>
      </c>
      <c r="BM129" s="165" t="s">
        <v>185</v>
      </c>
    </row>
    <row r="130" spans="1:65" s="2" customFormat="1" ht="21.75" customHeight="1">
      <c r="A130" s="29"/>
      <c r="B130" s="152"/>
      <c r="C130" s="153" t="s">
        <v>188</v>
      </c>
      <c r="D130" s="153" t="s">
        <v>181</v>
      </c>
      <c r="E130" s="154" t="s">
        <v>1304</v>
      </c>
      <c r="F130" s="155" t="s">
        <v>1305</v>
      </c>
      <c r="G130" s="156" t="s">
        <v>217</v>
      </c>
      <c r="H130" s="157">
        <v>12</v>
      </c>
      <c r="I130" s="158"/>
      <c r="J130" s="151">
        <v>0</v>
      </c>
      <c r="K130" s="160"/>
      <c r="L130" s="30"/>
      <c r="M130" s="161" t="s">
        <v>1</v>
      </c>
      <c r="N130" s="162" t="s">
        <v>35</v>
      </c>
      <c r="O130" s="58"/>
      <c r="P130" s="163">
        <f t="shared" si="0"/>
        <v>0</v>
      </c>
      <c r="Q130" s="163">
        <v>0</v>
      </c>
      <c r="R130" s="163">
        <f t="shared" si="1"/>
        <v>0</v>
      </c>
      <c r="S130" s="163">
        <v>0</v>
      </c>
      <c r="T130" s="164">
        <f t="shared" si="2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5" t="s">
        <v>213</v>
      </c>
      <c r="AT130" s="165" t="s">
        <v>181</v>
      </c>
      <c r="AU130" s="165" t="s">
        <v>82</v>
      </c>
      <c r="AY130" s="14" t="s">
        <v>179</v>
      </c>
      <c r="BE130" s="166">
        <f t="shared" si="3"/>
        <v>0</v>
      </c>
      <c r="BF130" s="166">
        <f t="shared" si="4"/>
        <v>0</v>
      </c>
      <c r="BG130" s="166">
        <f t="shared" si="5"/>
        <v>0</v>
      </c>
      <c r="BH130" s="166">
        <f t="shared" si="6"/>
        <v>0</v>
      </c>
      <c r="BI130" s="166">
        <f t="shared" si="7"/>
        <v>0</v>
      </c>
      <c r="BJ130" s="14" t="s">
        <v>82</v>
      </c>
      <c r="BK130" s="166">
        <f t="shared" si="8"/>
        <v>0</v>
      </c>
      <c r="BL130" s="14" t="s">
        <v>213</v>
      </c>
      <c r="BM130" s="165" t="s">
        <v>192</v>
      </c>
    </row>
    <row r="131" spans="1:65" s="2" customFormat="1" ht="24.2" customHeight="1">
      <c r="A131" s="29"/>
      <c r="B131" s="152"/>
      <c r="C131" s="153" t="s">
        <v>185</v>
      </c>
      <c r="D131" s="153" t="s">
        <v>181</v>
      </c>
      <c r="E131" s="154" t="s">
        <v>1306</v>
      </c>
      <c r="F131" s="155" t="s">
        <v>1307</v>
      </c>
      <c r="G131" s="156" t="s">
        <v>217</v>
      </c>
      <c r="H131" s="157">
        <v>9</v>
      </c>
      <c r="I131" s="158"/>
      <c r="J131" s="151">
        <v>0</v>
      </c>
      <c r="K131" s="160"/>
      <c r="L131" s="30"/>
      <c r="M131" s="161" t="s">
        <v>1</v>
      </c>
      <c r="N131" s="162" t="s">
        <v>35</v>
      </c>
      <c r="O131" s="58"/>
      <c r="P131" s="163">
        <f t="shared" si="0"/>
        <v>0</v>
      </c>
      <c r="Q131" s="163">
        <v>0</v>
      </c>
      <c r="R131" s="163">
        <f t="shared" si="1"/>
        <v>0</v>
      </c>
      <c r="S131" s="163">
        <v>0</v>
      </c>
      <c r="T131" s="164">
        <f t="shared" si="2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5" t="s">
        <v>213</v>
      </c>
      <c r="AT131" s="165" t="s">
        <v>181</v>
      </c>
      <c r="AU131" s="165" t="s">
        <v>82</v>
      </c>
      <c r="AY131" s="14" t="s">
        <v>179</v>
      </c>
      <c r="BE131" s="166">
        <f t="shared" si="3"/>
        <v>0</v>
      </c>
      <c r="BF131" s="166">
        <f t="shared" si="4"/>
        <v>0</v>
      </c>
      <c r="BG131" s="166">
        <f t="shared" si="5"/>
        <v>0</v>
      </c>
      <c r="BH131" s="166">
        <f t="shared" si="6"/>
        <v>0</v>
      </c>
      <c r="BI131" s="166">
        <f t="shared" si="7"/>
        <v>0</v>
      </c>
      <c r="BJ131" s="14" t="s">
        <v>82</v>
      </c>
      <c r="BK131" s="166">
        <f t="shared" si="8"/>
        <v>0</v>
      </c>
      <c r="BL131" s="14" t="s">
        <v>213</v>
      </c>
      <c r="BM131" s="165" t="s">
        <v>197</v>
      </c>
    </row>
    <row r="132" spans="1:65" s="2" customFormat="1" ht="24.2" customHeight="1">
      <c r="A132" s="29"/>
      <c r="B132" s="152"/>
      <c r="C132" s="153" t="s">
        <v>198</v>
      </c>
      <c r="D132" s="153" t="s">
        <v>181</v>
      </c>
      <c r="E132" s="154" t="s">
        <v>1308</v>
      </c>
      <c r="F132" s="155" t="s">
        <v>1309</v>
      </c>
      <c r="G132" s="156" t="s">
        <v>293</v>
      </c>
      <c r="H132" s="157">
        <v>12</v>
      </c>
      <c r="I132" s="158"/>
      <c r="J132" s="151">
        <v>0</v>
      </c>
      <c r="K132" s="160"/>
      <c r="L132" s="30"/>
      <c r="M132" s="161" t="s">
        <v>1</v>
      </c>
      <c r="N132" s="162" t="s">
        <v>35</v>
      </c>
      <c r="O132" s="58"/>
      <c r="P132" s="163">
        <f t="shared" si="0"/>
        <v>0</v>
      </c>
      <c r="Q132" s="163">
        <v>1.475E-3</v>
      </c>
      <c r="R132" s="163">
        <f t="shared" si="1"/>
        <v>1.77E-2</v>
      </c>
      <c r="S132" s="163">
        <v>0</v>
      </c>
      <c r="T132" s="164">
        <f t="shared" si="2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5" t="s">
        <v>213</v>
      </c>
      <c r="AT132" s="165" t="s">
        <v>181</v>
      </c>
      <c r="AU132" s="165" t="s">
        <v>82</v>
      </c>
      <c r="AY132" s="14" t="s">
        <v>179</v>
      </c>
      <c r="BE132" s="166">
        <f t="shared" si="3"/>
        <v>0</v>
      </c>
      <c r="BF132" s="166">
        <f t="shared" si="4"/>
        <v>0</v>
      </c>
      <c r="BG132" s="166">
        <f t="shared" si="5"/>
        <v>0</v>
      </c>
      <c r="BH132" s="166">
        <f t="shared" si="6"/>
        <v>0</v>
      </c>
      <c r="BI132" s="166">
        <f t="shared" si="7"/>
        <v>0</v>
      </c>
      <c r="BJ132" s="14" t="s">
        <v>82</v>
      </c>
      <c r="BK132" s="166">
        <f t="shared" si="8"/>
        <v>0</v>
      </c>
      <c r="BL132" s="14" t="s">
        <v>213</v>
      </c>
      <c r="BM132" s="165" t="s">
        <v>201</v>
      </c>
    </row>
    <row r="133" spans="1:65" s="2" customFormat="1" ht="33" customHeight="1">
      <c r="A133" s="29"/>
      <c r="B133" s="152"/>
      <c r="C133" s="153" t="s">
        <v>192</v>
      </c>
      <c r="D133" s="153" t="s">
        <v>181</v>
      </c>
      <c r="E133" s="154" t="s">
        <v>1310</v>
      </c>
      <c r="F133" s="155" t="s">
        <v>1311</v>
      </c>
      <c r="G133" s="156" t="s">
        <v>293</v>
      </c>
      <c r="H133" s="157">
        <v>16</v>
      </c>
      <c r="I133" s="158"/>
      <c r="J133" s="151">
        <v>0</v>
      </c>
      <c r="K133" s="160"/>
      <c r="L133" s="30"/>
      <c r="M133" s="161" t="s">
        <v>1</v>
      </c>
      <c r="N133" s="162" t="s">
        <v>35</v>
      </c>
      <c r="O133" s="58"/>
      <c r="P133" s="163">
        <f t="shared" si="0"/>
        <v>0</v>
      </c>
      <c r="Q133" s="163">
        <v>4.7956250000000004E-3</v>
      </c>
      <c r="R133" s="163">
        <f t="shared" si="1"/>
        <v>7.6730000000000007E-2</v>
      </c>
      <c r="S133" s="163">
        <v>0</v>
      </c>
      <c r="T133" s="164">
        <f t="shared" si="2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5" t="s">
        <v>213</v>
      </c>
      <c r="AT133" s="165" t="s">
        <v>181</v>
      </c>
      <c r="AU133" s="165" t="s">
        <v>82</v>
      </c>
      <c r="AY133" s="14" t="s">
        <v>179</v>
      </c>
      <c r="BE133" s="166">
        <f t="shared" si="3"/>
        <v>0</v>
      </c>
      <c r="BF133" s="166">
        <f t="shared" si="4"/>
        <v>0</v>
      </c>
      <c r="BG133" s="166">
        <f t="shared" si="5"/>
        <v>0</v>
      </c>
      <c r="BH133" s="166">
        <f t="shared" si="6"/>
        <v>0</v>
      </c>
      <c r="BI133" s="166">
        <f t="shared" si="7"/>
        <v>0</v>
      </c>
      <c r="BJ133" s="14" t="s">
        <v>82</v>
      </c>
      <c r="BK133" s="166">
        <f t="shared" si="8"/>
        <v>0</v>
      </c>
      <c r="BL133" s="14" t="s">
        <v>213</v>
      </c>
      <c r="BM133" s="165" t="s">
        <v>205</v>
      </c>
    </row>
    <row r="134" spans="1:65" s="2" customFormat="1" ht="24.2" customHeight="1">
      <c r="A134" s="29"/>
      <c r="B134" s="152"/>
      <c r="C134" s="153" t="s">
        <v>207</v>
      </c>
      <c r="D134" s="153" t="s">
        <v>181</v>
      </c>
      <c r="E134" s="154" t="s">
        <v>1312</v>
      </c>
      <c r="F134" s="155" t="s">
        <v>1313</v>
      </c>
      <c r="G134" s="156" t="s">
        <v>1202</v>
      </c>
      <c r="H134" s="157">
        <v>3</v>
      </c>
      <c r="I134" s="158"/>
      <c r="J134" s="151">
        <v>0</v>
      </c>
      <c r="K134" s="160"/>
      <c r="L134" s="30"/>
      <c r="M134" s="161" t="s">
        <v>1</v>
      </c>
      <c r="N134" s="162" t="s">
        <v>35</v>
      </c>
      <c r="O134" s="58"/>
      <c r="P134" s="163">
        <f t="shared" si="0"/>
        <v>0</v>
      </c>
      <c r="Q134" s="163">
        <v>1.7739999999999999E-2</v>
      </c>
      <c r="R134" s="163">
        <f t="shared" si="1"/>
        <v>5.3219999999999996E-2</v>
      </c>
      <c r="S134" s="163">
        <v>0</v>
      </c>
      <c r="T134" s="164">
        <f t="shared" si="2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5" t="s">
        <v>213</v>
      </c>
      <c r="AT134" s="165" t="s">
        <v>181</v>
      </c>
      <c r="AU134" s="165" t="s">
        <v>82</v>
      </c>
      <c r="AY134" s="14" t="s">
        <v>179</v>
      </c>
      <c r="BE134" s="166">
        <f t="shared" si="3"/>
        <v>0</v>
      </c>
      <c r="BF134" s="166">
        <f t="shared" si="4"/>
        <v>0</v>
      </c>
      <c r="BG134" s="166">
        <f t="shared" si="5"/>
        <v>0</v>
      </c>
      <c r="BH134" s="166">
        <f t="shared" si="6"/>
        <v>0</v>
      </c>
      <c r="BI134" s="166">
        <f t="shared" si="7"/>
        <v>0</v>
      </c>
      <c r="BJ134" s="14" t="s">
        <v>82</v>
      </c>
      <c r="BK134" s="166">
        <f t="shared" si="8"/>
        <v>0</v>
      </c>
      <c r="BL134" s="14" t="s">
        <v>213</v>
      </c>
      <c r="BM134" s="165" t="s">
        <v>210</v>
      </c>
    </row>
    <row r="135" spans="1:65" s="2" customFormat="1" ht="21.75" customHeight="1">
      <c r="A135" s="29"/>
      <c r="B135" s="152"/>
      <c r="C135" s="153" t="s">
        <v>197</v>
      </c>
      <c r="D135" s="153" t="s">
        <v>181</v>
      </c>
      <c r="E135" s="154" t="s">
        <v>1314</v>
      </c>
      <c r="F135" s="155" t="s">
        <v>1315</v>
      </c>
      <c r="G135" s="156" t="s">
        <v>217</v>
      </c>
      <c r="H135" s="157">
        <v>3</v>
      </c>
      <c r="I135" s="158"/>
      <c r="J135" s="151">
        <v>0</v>
      </c>
      <c r="K135" s="160"/>
      <c r="L135" s="30"/>
      <c r="M135" s="161" t="s">
        <v>1</v>
      </c>
      <c r="N135" s="162" t="s">
        <v>35</v>
      </c>
      <c r="O135" s="58"/>
      <c r="P135" s="163">
        <f t="shared" si="0"/>
        <v>0</v>
      </c>
      <c r="Q135" s="163">
        <v>4.2599999999999999E-3</v>
      </c>
      <c r="R135" s="163">
        <f t="shared" si="1"/>
        <v>1.278E-2</v>
      </c>
      <c r="S135" s="163">
        <v>0</v>
      </c>
      <c r="T135" s="164">
        <f t="shared" si="2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5" t="s">
        <v>213</v>
      </c>
      <c r="AT135" s="165" t="s">
        <v>181</v>
      </c>
      <c r="AU135" s="165" t="s">
        <v>82</v>
      </c>
      <c r="AY135" s="14" t="s">
        <v>179</v>
      </c>
      <c r="BE135" s="166">
        <f t="shared" si="3"/>
        <v>0</v>
      </c>
      <c r="BF135" s="166">
        <f t="shared" si="4"/>
        <v>0</v>
      </c>
      <c r="BG135" s="166">
        <f t="shared" si="5"/>
        <v>0</v>
      </c>
      <c r="BH135" s="166">
        <f t="shared" si="6"/>
        <v>0</v>
      </c>
      <c r="BI135" s="166">
        <f t="shared" si="7"/>
        <v>0</v>
      </c>
      <c r="BJ135" s="14" t="s">
        <v>82</v>
      </c>
      <c r="BK135" s="166">
        <f t="shared" si="8"/>
        <v>0</v>
      </c>
      <c r="BL135" s="14" t="s">
        <v>213</v>
      </c>
      <c r="BM135" s="165" t="s">
        <v>213</v>
      </c>
    </row>
    <row r="136" spans="1:65" s="2" customFormat="1" ht="24.2" customHeight="1">
      <c r="A136" s="29"/>
      <c r="B136" s="152"/>
      <c r="C136" s="167" t="s">
        <v>214</v>
      </c>
      <c r="D136" s="167" t="s">
        <v>202</v>
      </c>
      <c r="E136" s="168" t="s">
        <v>1316</v>
      </c>
      <c r="F136" s="169" t="s">
        <v>1317</v>
      </c>
      <c r="G136" s="170" t="s">
        <v>217</v>
      </c>
      <c r="H136" s="171">
        <v>3</v>
      </c>
      <c r="I136" s="172"/>
      <c r="J136" s="151">
        <v>0</v>
      </c>
      <c r="K136" s="174"/>
      <c r="L136" s="175"/>
      <c r="M136" s="176" t="s">
        <v>1</v>
      </c>
      <c r="N136" s="177" t="s">
        <v>35</v>
      </c>
      <c r="O136" s="58"/>
      <c r="P136" s="163">
        <f t="shared" si="0"/>
        <v>0</v>
      </c>
      <c r="Q136" s="163">
        <v>1.3999999999999999E-4</v>
      </c>
      <c r="R136" s="163">
        <f t="shared" si="1"/>
        <v>4.1999999999999996E-4</v>
      </c>
      <c r="S136" s="163">
        <v>0</v>
      </c>
      <c r="T136" s="164">
        <f t="shared" si="2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5" t="s">
        <v>242</v>
      </c>
      <c r="AT136" s="165" t="s">
        <v>202</v>
      </c>
      <c r="AU136" s="165" t="s">
        <v>82</v>
      </c>
      <c r="AY136" s="14" t="s">
        <v>179</v>
      </c>
      <c r="BE136" s="166">
        <f t="shared" si="3"/>
        <v>0</v>
      </c>
      <c r="BF136" s="166">
        <f t="shared" si="4"/>
        <v>0</v>
      </c>
      <c r="BG136" s="166">
        <f t="shared" si="5"/>
        <v>0</v>
      </c>
      <c r="BH136" s="166">
        <f t="shared" si="6"/>
        <v>0</v>
      </c>
      <c r="BI136" s="166">
        <f t="shared" si="7"/>
        <v>0</v>
      </c>
      <c r="BJ136" s="14" t="s">
        <v>82</v>
      </c>
      <c r="BK136" s="166">
        <f t="shared" si="8"/>
        <v>0</v>
      </c>
      <c r="BL136" s="14" t="s">
        <v>213</v>
      </c>
      <c r="BM136" s="165" t="s">
        <v>218</v>
      </c>
    </row>
    <row r="137" spans="1:65" s="2" customFormat="1" ht="21.75" customHeight="1">
      <c r="A137" s="29"/>
      <c r="B137" s="152"/>
      <c r="C137" s="153" t="s">
        <v>201</v>
      </c>
      <c r="D137" s="153" t="s">
        <v>181</v>
      </c>
      <c r="E137" s="154" t="s">
        <v>1318</v>
      </c>
      <c r="F137" s="155" t="s">
        <v>1315</v>
      </c>
      <c r="G137" s="156" t="s">
        <v>217</v>
      </c>
      <c r="H137" s="157">
        <v>3</v>
      </c>
      <c r="I137" s="158"/>
      <c r="J137" s="151">
        <v>0</v>
      </c>
      <c r="K137" s="160"/>
      <c r="L137" s="30"/>
      <c r="M137" s="161" t="s">
        <v>1</v>
      </c>
      <c r="N137" s="162" t="s">
        <v>35</v>
      </c>
      <c r="O137" s="58"/>
      <c r="P137" s="163">
        <f t="shared" si="0"/>
        <v>0</v>
      </c>
      <c r="Q137" s="163">
        <v>5.0200000000000002E-3</v>
      </c>
      <c r="R137" s="163">
        <f t="shared" si="1"/>
        <v>1.506E-2</v>
      </c>
      <c r="S137" s="163">
        <v>0</v>
      </c>
      <c r="T137" s="164">
        <f t="shared" si="2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213</v>
      </c>
      <c r="AT137" s="165" t="s">
        <v>181</v>
      </c>
      <c r="AU137" s="165" t="s">
        <v>82</v>
      </c>
      <c r="AY137" s="14" t="s">
        <v>179</v>
      </c>
      <c r="BE137" s="166">
        <f t="shared" si="3"/>
        <v>0</v>
      </c>
      <c r="BF137" s="166">
        <f t="shared" si="4"/>
        <v>0</v>
      </c>
      <c r="BG137" s="166">
        <f t="shared" si="5"/>
        <v>0</v>
      </c>
      <c r="BH137" s="166">
        <f t="shared" si="6"/>
        <v>0</v>
      </c>
      <c r="BI137" s="166">
        <f t="shared" si="7"/>
        <v>0</v>
      </c>
      <c r="BJ137" s="14" t="s">
        <v>82</v>
      </c>
      <c r="BK137" s="166">
        <f t="shared" si="8"/>
        <v>0</v>
      </c>
      <c r="BL137" s="14" t="s">
        <v>213</v>
      </c>
      <c r="BM137" s="165" t="s">
        <v>221</v>
      </c>
    </row>
    <row r="138" spans="1:65" s="2" customFormat="1" ht="16.5" customHeight="1">
      <c r="A138" s="29"/>
      <c r="B138" s="152"/>
      <c r="C138" s="167" t="s">
        <v>222</v>
      </c>
      <c r="D138" s="167" t="s">
        <v>202</v>
      </c>
      <c r="E138" s="168" t="s">
        <v>1319</v>
      </c>
      <c r="F138" s="169" t="s">
        <v>1320</v>
      </c>
      <c r="G138" s="170" t="s">
        <v>217</v>
      </c>
      <c r="H138" s="171">
        <v>3</v>
      </c>
      <c r="I138" s="172"/>
      <c r="J138" s="151">
        <v>0</v>
      </c>
      <c r="K138" s="174"/>
      <c r="L138" s="175"/>
      <c r="M138" s="176" t="s">
        <v>1</v>
      </c>
      <c r="N138" s="177" t="s">
        <v>35</v>
      </c>
      <c r="O138" s="58"/>
      <c r="P138" s="163">
        <f t="shared" si="0"/>
        <v>0</v>
      </c>
      <c r="Q138" s="163">
        <v>1.1000000000000001E-3</v>
      </c>
      <c r="R138" s="163">
        <f t="shared" si="1"/>
        <v>3.3E-3</v>
      </c>
      <c r="S138" s="163">
        <v>0</v>
      </c>
      <c r="T138" s="164">
        <f t="shared" si="2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242</v>
      </c>
      <c r="AT138" s="165" t="s">
        <v>202</v>
      </c>
      <c r="AU138" s="165" t="s">
        <v>82</v>
      </c>
      <c r="AY138" s="14" t="s">
        <v>179</v>
      </c>
      <c r="BE138" s="166">
        <f t="shared" si="3"/>
        <v>0</v>
      </c>
      <c r="BF138" s="166">
        <f t="shared" si="4"/>
        <v>0</v>
      </c>
      <c r="BG138" s="166">
        <f t="shared" si="5"/>
        <v>0</v>
      </c>
      <c r="BH138" s="166">
        <f t="shared" si="6"/>
        <v>0</v>
      </c>
      <c r="BI138" s="166">
        <f t="shared" si="7"/>
        <v>0</v>
      </c>
      <c r="BJ138" s="14" t="s">
        <v>82</v>
      </c>
      <c r="BK138" s="166">
        <f t="shared" si="8"/>
        <v>0</v>
      </c>
      <c r="BL138" s="14" t="s">
        <v>213</v>
      </c>
      <c r="BM138" s="165" t="s">
        <v>225</v>
      </c>
    </row>
    <row r="139" spans="1:65" s="2" customFormat="1" ht="16.5" customHeight="1">
      <c r="A139" s="29"/>
      <c r="B139" s="152"/>
      <c r="C139" s="167" t="s">
        <v>205</v>
      </c>
      <c r="D139" s="167" t="s">
        <v>202</v>
      </c>
      <c r="E139" s="168" t="s">
        <v>1321</v>
      </c>
      <c r="F139" s="169" t="s">
        <v>1322</v>
      </c>
      <c r="G139" s="170" t="s">
        <v>217</v>
      </c>
      <c r="H139" s="171">
        <v>12</v>
      </c>
      <c r="I139" s="172"/>
      <c r="J139" s="151">
        <v>0</v>
      </c>
      <c r="K139" s="174"/>
      <c r="L139" s="175"/>
      <c r="M139" s="176" t="s">
        <v>1</v>
      </c>
      <c r="N139" s="177" t="s">
        <v>35</v>
      </c>
      <c r="O139" s="58"/>
      <c r="P139" s="163">
        <f t="shared" si="0"/>
        <v>0</v>
      </c>
      <c r="Q139" s="163">
        <v>3.0500000000000002E-3</v>
      </c>
      <c r="R139" s="163">
        <f t="shared" si="1"/>
        <v>3.6600000000000001E-2</v>
      </c>
      <c r="S139" s="163">
        <v>0</v>
      </c>
      <c r="T139" s="164">
        <f t="shared" si="2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242</v>
      </c>
      <c r="AT139" s="165" t="s">
        <v>202</v>
      </c>
      <c r="AU139" s="165" t="s">
        <v>82</v>
      </c>
      <c r="AY139" s="14" t="s">
        <v>179</v>
      </c>
      <c r="BE139" s="166">
        <f t="shared" si="3"/>
        <v>0</v>
      </c>
      <c r="BF139" s="166">
        <f t="shared" si="4"/>
        <v>0</v>
      </c>
      <c r="BG139" s="166">
        <f t="shared" si="5"/>
        <v>0</v>
      </c>
      <c r="BH139" s="166">
        <f t="shared" si="6"/>
        <v>0</v>
      </c>
      <c r="BI139" s="166">
        <f t="shared" si="7"/>
        <v>0</v>
      </c>
      <c r="BJ139" s="14" t="s">
        <v>82</v>
      </c>
      <c r="BK139" s="166">
        <f t="shared" si="8"/>
        <v>0</v>
      </c>
      <c r="BL139" s="14" t="s">
        <v>213</v>
      </c>
      <c r="BM139" s="165" t="s">
        <v>228</v>
      </c>
    </row>
    <row r="140" spans="1:65" s="2" customFormat="1" ht="24.2" customHeight="1">
      <c r="A140" s="29"/>
      <c r="B140" s="152"/>
      <c r="C140" s="153" t="s">
        <v>229</v>
      </c>
      <c r="D140" s="153" t="s">
        <v>181</v>
      </c>
      <c r="E140" s="154" t="s">
        <v>1323</v>
      </c>
      <c r="F140" s="155" t="s">
        <v>1324</v>
      </c>
      <c r="G140" s="156" t="s">
        <v>1202</v>
      </c>
      <c r="H140" s="157">
        <v>6</v>
      </c>
      <c r="I140" s="158"/>
      <c r="J140" s="151">
        <v>0</v>
      </c>
      <c r="K140" s="160"/>
      <c r="L140" s="30"/>
      <c r="M140" s="161" t="s">
        <v>1</v>
      </c>
      <c r="N140" s="162" t="s">
        <v>35</v>
      </c>
      <c r="O140" s="58"/>
      <c r="P140" s="163">
        <f t="shared" si="0"/>
        <v>0</v>
      </c>
      <c r="Q140" s="163">
        <v>6.9999999999999994E-5</v>
      </c>
      <c r="R140" s="163">
        <f t="shared" si="1"/>
        <v>4.1999999999999996E-4</v>
      </c>
      <c r="S140" s="163">
        <v>0</v>
      </c>
      <c r="T140" s="164">
        <f t="shared" si="2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213</v>
      </c>
      <c r="AT140" s="165" t="s">
        <v>181</v>
      </c>
      <c r="AU140" s="165" t="s">
        <v>82</v>
      </c>
      <c r="AY140" s="14" t="s">
        <v>179</v>
      </c>
      <c r="BE140" s="166">
        <f t="shared" si="3"/>
        <v>0</v>
      </c>
      <c r="BF140" s="166">
        <f t="shared" si="4"/>
        <v>0</v>
      </c>
      <c r="BG140" s="166">
        <f t="shared" si="5"/>
        <v>0</v>
      </c>
      <c r="BH140" s="166">
        <f t="shared" si="6"/>
        <v>0</v>
      </c>
      <c r="BI140" s="166">
        <f t="shared" si="7"/>
        <v>0</v>
      </c>
      <c r="BJ140" s="14" t="s">
        <v>82</v>
      </c>
      <c r="BK140" s="166">
        <f t="shared" si="8"/>
        <v>0</v>
      </c>
      <c r="BL140" s="14" t="s">
        <v>213</v>
      </c>
      <c r="BM140" s="165" t="s">
        <v>232</v>
      </c>
    </row>
    <row r="141" spans="1:65" s="2" customFormat="1" ht="24.2" customHeight="1">
      <c r="A141" s="29"/>
      <c r="B141" s="152"/>
      <c r="C141" s="167" t="s">
        <v>210</v>
      </c>
      <c r="D141" s="167" t="s">
        <v>202</v>
      </c>
      <c r="E141" s="168" t="s">
        <v>1325</v>
      </c>
      <c r="F141" s="169" t="s">
        <v>1326</v>
      </c>
      <c r="G141" s="170" t="s">
        <v>217</v>
      </c>
      <c r="H141" s="171">
        <v>3</v>
      </c>
      <c r="I141" s="172"/>
      <c r="J141" s="151">
        <v>0</v>
      </c>
      <c r="K141" s="174"/>
      <c r="L141" s="175"/>
      <c r="M141" s="176" t="s">
        <v>1</v>
      </c>
      <c r="N141" s="177" t="s">
        <v>35</v>
      </c>
      <c r="O141" s="58"/>
      <c r="P141" s="163">
        <f t="shared" si="0"/>
        <v>0</v>
      </c>
      <c r="Q141" s="163">
        <v>2.5000000000000001E-4</v>
      </c>
      <c r="R141" s="163">
        <f t="shared" si="1"/>
        <v>7.5000000000000002E-4</v>
      </c>
      <c r="S141" s="163">
        <v>0</v>
      </c>
      <c r="T141" s="164">
        <f t="shared" si="2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5" t="s">
        <v>242</v>
      </c>
      <c r="AT141" s="165" t="s">
        <v>202</v>
      </c>
      <c r="AU141" s="165" t="s">
        <v>82</v>
      </c>
      <c r="AY141" s="14" t="s">
        <v>179</v>
      </c>
      <c r="BE141" s="166">
        <f t="shared" si="3"/>
        <v>0</v>
      </c>
      <c r="BF141" s="166">
        <f t="shared" si="4"/>
        <v>0</v>
      </c>
      <c r="BG141" s="166">
        <f t="shared" si="5"/>
        <v>0</v>
      </c>
      <c r="BH141" s="166">
        <f t="shared" si="6"/>
        <v>0</v>
      </c>
      <c r="BI141" s="166">
        <f t="shared" si="7"/>
        <v>0</v>
      </c>
      <c r="BJ141" s="14" t="s">
        <v>82</v>
      </c>
      <c r="BK141" s="166">
        <f t="shared" si="8"/>
        <v>0</v>
      </c>
      <c r="BL141" s="14" t="s">
        <v>213</v>
      </c>
      <c r="BM141" s="165" t="s">
        <v>235</v>
      </c>
    </row>
    <row r="142" spans="1:65" s="2" customFormat="1" ht="16.5" customHeight="1">
      <c r="A142" s="29"/>
      <c r="B142" s="152"/>
      <c r="C142" s="167" t="s">
        <v>236</v>
      </c>
      <c r="D142" s="167" t="s">
        <v>202</v>
      </c>
      <c r="E142" s="168" t="s">
        <v>1327</v>
      </c>
      <c r="F142" s="169" t="s">
        <v>1328</v>
      </c>
      <c r="G142" s="170" t="s">
        <v>217</v>
      </c>
      <c r="H142" s="171">
        <v>3</v>
      </c>
      <c r="I142" s="172"/>
      <c r="J142" s="151">
        <v>0</v>
      </c>
      <c r="K142" s="174"/>
      <c r="L142" s="175"/>
      <c r="M142" s="176" t="s">
        <v>1</v>
      </c>
      <c r="N142" s="177" t="s">
        <v>35</v>
      </c>
      <c r="O142" s="58"/>
      <c r="P142" s="163">
        <f t="shared" si="0"/>
        <v>0</v>
      </c>
      <c r="Q142" s="163">
        <v>2.5000000000000001E-4</v>
      </c>
      <c r="R142" s="163">
        <f t="shared" si="1"/>
        <v>7.5000000000000002E-4</v>
      </c>
      <c r="S142" s="163">
        <v>0</v>
      </c>
      <c r="T142" s="164">
        <f t="shared" si="2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5" t="s">
        <v>242</v>
      </c>
      <c r="AT142" s="165" t="s">
        <v>202</v>
      </c>
      <c r="AU142" s="165" t="s">
        <v>82</v>
      </c>
      <c r="AY142" s="14" t="s">
        <v>179</v>
      </c>
      <c r="BE142" s="166">
        <f t="shared" si="3"/>
        <v>0</v>
      </c>
      <c r="BF142" s="166">
        <f t="shared" si="4"/>
        <v>0</v>
      </c>
      <c r="BG142" s="166">
        <f t="shared" si="5"/>
        <v>0</v>
      </c>
      <c r="BH142" s="166">
        <f t="shared" si="6"/>
        <v>0</v>
      </c>
      <c r="BI142" s="166">
        <f t="shared" si="7"/>
        <v>0</v>
      </c>
      <c r="BJ142" s="14" t="s">
        <v>82</v>
      </c>
      <c r="BK142" s="166">
        <f t="shared" si="8"/>
        <v>0</v>
      </c>
      <c r="BL142" s="14" t="s">
        <v>213</v>
      </c>
      <c r="BM142" s="165" t="s">
        <v>239</v>
      </c>
    </row>
    <row r="143" spans="1:65" s="2" customFormat="1" ht="33" customHeight="1">
      <c r="A143" s="29"/>
      <c r="B143" s="152"/>
      <c r="C143" s="153" t="s">
        <v>213</v>
      </c>
      <c r="D143" s="153" t="s">
        <v>181</v>
      </c>
      <c r="E143" s="154" t="s">
        <v>1329</v>
      </c>
      <c r="F143" s="155" t="s">
        <v>1330</v>
      </c>
      <c r="G143" s="156" t="s">
        <v>191</v>
      </c>
      <c r="H143" s="157">
        <v>0.36</v>
      </c>
      <c r="I143" s="158"/>
      <c r="J143" s="151">
        <v>0</v>
      </c>
      <c r="K143" s="160"/>
      <c r="L143" s="30"/>
      <c r="M143" s="161" t="s">
        <v>1</v>
      </c>
      <c r="N143" s="162" t="s">
        <v>35</v>
      </c>
      <c r="O143" s="58"/>
      <c r="P143" s="163">
        <f t="shared" si="0"/>
        <v>0</v>
      </c>
      <c r="Q143" s="163">
        <v>0</v>
      </c>
      <c r="R143" s="163">
        <f t="shared" si="1"/>
        <v>0</v>
      </c>
      <c r="S143" s="163">
        <v>0</v>
      </c>
      <c r="T143" s="164">
        <f t="shared" si="2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213</v>
      </c>
      <c r="AT143" s="165" t="s">
        <v>181</v>
      </c>
      <c r="AU143" s="165" t="s">
        <v>82</v>
      </c>
      <c r="AY143" s="14" t="s">
        <v>179</v>
      </c>
      <c r="BE143" s="166">
        <f t="shared" si="3"/>
        <v>0</v>
      </c>
      <c r="BF143" s="166">
        <f t="shared" si="4"/>
        <v>0</v>
      </c>
      <c r="BG143" s="166">
        <f t="shared" si="5"/>
        <v>0</v>
      </c>
      <c r="BH143" s="166">
        <f t="shared" si="6"/>
        <v>0</v>
      </c>
      <c r="BI143" s="166">
        <f t="shared" si="7"/>
        <v>0</v>
      </c>
      <c r="BJ143" s="14" t="s">
        <v>82</v>
      </c>
      <c r="BK143" s="166">
        <f t="shared" si="8"/>
        <v>0</v>
      </c>
      <c r="BL143" s="14" t="s">
        <v>213</v>
      </c>
      <c r="BM143" s="165" t="s">
        <v>242</v>
      </c>
    </row>
    <row r="144" spans="1:65" s="2" customFormat="1" ht="24.2" customHeight="1">
      <c r="A144" s="29"/>
      <c r="B144" s="152"/>
      <c r="C144" s="153" t="s">
        <v>243</v>
      </c>
      <c r="D144" s="153" t="s">
        <v>181</v>
      </c>
      <c r="E144" s="154" t="s">
        <v>1331</v>
      </c>
      <c r="F144" s="155" t="s">
        <v>1332</v>
      </c>
      <c r="G144" s="156" t="s">
        <v>585</v>
      </c>
      <c r="H144" s="178"/>
      <c r="I144" s="158"/>
      <c r="J144" s="151">
        <v>0</v>
      </c>
      <c r="K144" s="160"/>
      <c r="L144" s="30"/>
      <c r="M144" s="161" t="s">
        <v>1</v>
      </c>
      <c r="N144" s="162" t="s">
        <v>35</v>
      </c>
      <c r="O144" s="58"/>
      <c r="P144" s="163">
        <f t="shared" si="0"/>
        <v>0</v>
      </c>
      <c r="Q144" s="163">
        <v>0</v>
      </c>
      <c r="R144" s="163">
        <f t="shared" si="1"/>
        <v>0</v>
      </c>
      <c r="S144" s="163">
        <v>0</v>
      </c>
      <c r="T144" s="164">
        <f t="shared" si="2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5" t="s">
        <v>213</v>
      </c>
      <c r="AT144" s="165" t="s">
        <v>181</v>
      </c>
      <c r="AU144" s="165" t="s">
        <v>82</v>
      </c>
      <c r="AY144" s="14" t="s">
        <v>179</v>
      </c>
      <c r="BE144" s="166">
        <f t="shared" si="3"/>
        <v>0</v>
      </c>
      <c r="BF144" s="166">
        <f t="shared" si="4"/>
        <v>0</v>
      </c>
      <c r="BG144" s="166">
        <f t="shared" si="5"/>
        <v>0</v>
      </c>
      <c r="BH144" s="166">
        <f t="shared" si="6"/>
        <v>0</v>
      </c>
      <c r="BI144" s="166">
        <f t="shared" si="7"/>
        <v>0</v>
      </c>
      <c r="BJ144" s="14" t="s">
        <v>82</v>
      </c>
      <c r="BK144" s="166">
        <f t="shared" si="8"/>
        <v>0</v>
      </c>
      <c r="BL144" s="14" t="s">
        <v>213</v>
      </c>
      <c r="BM144" s="165" t="s">
        <v>246</v>
      </c>
    </row>
    <row r="145" spans="1:65" s="12" customFormat="1" ht="22.9" customHeight="1">
      <c r="B145" s="139"/>
      <c r="D145" s="140" t="s">
        <v>68</v>
      </c>
      <c r="E145" s="150" t="s">
        <v>729</v>
      </c>
      <c r="F145" s="150" t="s">
        <v>1285</v>
      </c>
      <c r="I145" s="142"/>
      <c r="J145" s="151">
        <v>0</v>
      </c>
      <c r="L145" s="139"/>
      <c r="M145" s="144"/>
      <c r="N145" s="145"/>
      <c r="O145" s="145"/>
      <c r="P145" s="146">
        <f>SUM(P146:P149)</f>
        <v>0</v>
      </c>
      <c r="Q145" s="145"/>
      <c r="R145" s="146">
        <f>SUM(R146:R149)</f>
        <v>0.18048</v>
      </c>
      <c r="S145" s="145"/>
      <c r="T145" s="147">
        <f>SUM(T146:T149)</f>
        <v>0</v>
      </c>
      <c r="AR145" s="140" t="s">
        <v>82</v>
      </c>
      <c r="AT145" s="148" t="s">
        <v>68</v>
      </c>
      <c r="AU145" s="148" t="s">
        <v>76</v>
      </c>
      <c r="AY145" s="140" t="s">
        <v>179</v>
      </c>
      <c r="BK145" s="149">
        <f>SUM(BK146:BK149)</f>
        <v>0</v>
      </c>
    </row>
    <row r="146" spans="1:65" s="2" customFormat="1" ht="24.2" customHeight="1">
      <c r="A146" s="29"/>
      <c r="B146" s="152"/>
      <c r="C146" s="153" t="s">
        <v>218</v>
      </c>
      <c r="D146" s="153" t="s">
        <v>181</v>
      </c>
      <c r="E146" s="154" t="s">
        <v>1333</v>
      </c>
      <c r="F146" s="155" t="s">
        <v>1334</v>
      </c>
      <c r="G146" s="156" t="s">
        <v>574</v>
      </c>
      <c r="H146" s="157">
        <v>50</v>
      </c>
      <c r="I146" s="158"/>
      <c r="J146" s="151">
        <v>0</v>
      </c>
      <c r="K146" s="160"/>
      <c r="L146" s="30"/>
      <c r="M146" s="161" t="s">
        <v>1</v>
      </c>
      <c r="N146" s="162" t="s">
        <v>35</v>
      </c>
      <c r="O146" s="58"/>
      <c r="P146" s="163">
        <f>O146*H146</f>
        <v>0</v>
      </c>
      <c r="Q146" s="163">
        <v>6.3800000000000006E-5</v>
      </c>
      <c r="R146" s="163">
        <f>Q146*H146</f>
        <v>3.1900000000000001E-3</v>
      </c>
      <c r="S146" s="163">
        <v>0</v>
      </c>
      <c r="T146" s="164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5" t="s">
        <v>213</v>
      </c>
      <c r="AT146" s="165" t="s">
        <v>181</v>
      </c>
      <c r="AU146" s="165" t="s">
        <v>82</v>
      </c>
      <c r="AY146" s="14" t="s">
        <v>179</v>
      </c>
      <c r="BE146" s="166">
        <f>IF(N146="základná",J146,0)</f>
        <v>0</v>
      </c>
      <c r="BF146" s="166">
        <f>IF(N146="znížená",J146,0)</f>
        <v>0</v>
      </c>
      <c r="BG146" s="166">
        <f>IF(N146="zákl. prenesená",J146,0)</f>
        <v>0</v>
      </c>
      <c r="BH146" s="166">
        <f>IF(N146="zníž. prenesená",J146,0)</f>
        <v>0</v>
      </c>
      <c r="BI146" s="166">
        <f>IF(N146="nulová",J146,0)</f>
        <v>0</v>
      </c>
      <c r="BJ146" s="14" t="s">
        <v>82</v>
      </c>
      <c r="BK146" s="166">
        <f>ROUND(I146*H146,2)</f>
        <v>0</v>
      </c>
      <c r="BL146" s="14" t="s">
        <v>213</v>
      </c>
      <c r="BM146" s="165" t="s">
        <v>250</v>
      </c>
    </row>
    <row r="147" spans="1:65" s="2" customFormat="1" ht="24.2" customHeight="1">
      <c r="A147" s="29"/>
      <c r="B147" s="152"/>
      <c r="C147" s="153" t="s">
        <v>251</v>
      </c>
      <c r="D147" s="153" t="s">
        <v>181</v>
      </c>
      <c r="E147" s="154" t="s">
        <v>1335</v>
      </c>
      <c r="F147" s="155" t="s">
        <v>1336</v>
      </c>
      <c r="G147" s="156" t="s">
        <v>574</v>
      </c>
      <c r="H147" s="157">
        <v>120</v>
      </c>
      <c r="I147" s="158"/>
      <c r="J147" s="151">
        <v>0</v>
      </c>
      <c r="K147" s="160"/>
      <c r="L147" s="30"/>
      <c r="M147" s="161" t="s">
        <v>1</v>
      </c>
      <c r="N147" s="162" t="s">
        <v>35</v>
      </c>
      <c r="O147" s="58"/>
      <c r="P147" s="163">
        <f>O147*H147</f>
        <v>0</v>
      </c>
      <c r="Q147" s="163">
        <v>6.0749999999999999E-5</v>
      </c>
      <c r="R147" s="163">
        <f>Q147*H147</f>
        <v>7.2899999999999996E-3</v>
      </c>
      <c r="S147" s="163">
        <v>0</v>
      </c>
      <c r="T147" s="164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5" t="s">
        <v>213</v>
      </c>
      <c r="AT147" s="165" t="s">
        <v>181</v>
      </c>
      <c r="AU147" s="165" t="s">
        <v>82</v>
      </c>
      <c r="AY147" s="14" t="s">
        <v>179</v>
      </c>
      <c r="BE147" s="166">
        <f>IF(N147="základná",J147,0)</f>
        <v>0</v>
      </c>
      <c r="BF147" s="166">
        <f>IF(N147="znížená",J147,0)</f>
        <v>0</v>
      </c>
      <c r="BG147" s="166">
        <f>IF(N147="zákl. prenesená",J147,0)</f>
        <v>0</v>
      </c>
      <c r="BH147" s="166">
        <f>IF(N147="zníž. prenesená",J147,0)</f>
        <v>0</v>
      </c>
      <c r="BI147" s="166">
        <f>IF(N147="nulová",J147,0)</f>
        <v>0</v>
      </c>
      <c r="BJ147" s="14" t="s">
        <v>82</v>
      </c>
      <c r="BK147" s="166">
        <f>ROUND(I147*H147,2)</f>
        <v>0</v>
      </c>
      <c r="BL147" s="14" t="s">
        <v>213</v>
      </c>
      <c r="BM147" s="165" t="s">
        <v>254</v>
      </c>
    </row>
    <row r="148" spans="1:65" s="2" customFormat="1" ht="33" customHeight="1">
      <c r="A148" s="29"/>
      <c r="B148" s="152"/>
      <c r="C148" s="167" t="s">
        <v>221</v>
      </c>
      <c r="D148" s="167" t="s">
        <v>202</v>
      </c>
      <c r="E148" s="168" t="s">
        <v>1337</v>
      </c>
      <c r="F148" s="169" t="s">
        <v>1338</v>
      </c>
      <c r="G148" s="170" t="s">
        <v>574</v>
      </c>
      <c r="H148" s="171">
        <v>170</v>
      </c>
      <c r="I148" s="172"/>
      <c r="J148" s="151">
        <v>0</v>
      </c>
      <c r="K148" s="174"/>
      <c r="L148" s="175"/>
      <c r="M148" s="176" t="s">
        <v>1</v>
      </c>
      <c r="N148" s="177" t="s">
        <v>35</v>
      </c>
      <c r="O148" s="58"/>
      <c r="P148" s="163">
        <f>O148*H148</f>
        <v>0</v>
      </c>
      <c r="Q148" s="163">
        <v>1E-3</v>
      </c>
      <c r="R148" s="163">
        <f>Q148*H148</f>
        <v>0.17</v>
      </c>
      <c r="S148" s="163">
        <v>0</v>
      </c>
      <c r="T148" s="164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5" t="s">
        <v>242</v>
      </c>
      <c r="AT148" s="165" t="s">
        <v>202</v>
      </c>
      <c r="AU148" s="165" t="s">
        <v>82</v>
      </c>
      <c r="AY148" s="14" t="s">
        <v>179</v>
      </c>
      <c r="BE148" s="166">
        <f>IF(N148="základná",J148,0)</f>
        <v>0</v>
      </c>
      <c r="BF148" s="166">
        <f>IF(N148="znížená",J148,0)</f>
        <v>0</v>
      </c>
      <c r="BG148" s="166">
        <f>IF(N148="zákl. prenesená",J148,0)</f>
        <v>0</v>
      </c>
      <c r="BH148" s="166">
        <f>IF(N148="zníž. prenesená",J148,0)</f>
        <v>0</v>
      </c>
      <c r="BI148" s="166">
        <f>IF(N148="nulová",J148,0)</f>
        <v>0</v>
      </c>
      <c r="BJ148" s="14" t="s">
        <v>82</v>
      </c>
      <c r="BK148" s="166">
        <f>ROUND(I148*H148,2)</f>
        <v>0</v>
      </c>
      <c r="BL148" s="14" t="s">
        <v>213</v>
      </c>
      <c r="BM148" s="165" t="s">
        <v>257</v>
      </c>
    </row>
    <row r="149" spans="1:65" s="2" customFormat="1" ht="24.2" customHeight="1">
      <c r="A149" s="29"/>
      <c r="B149" s="152"/>
      <c r="C149" s="153" t="s">
        <v>258</v>
      </c>
      <c r="D149" s="153" t="s">
        <v>181</v>
      </c>
      <c r="E149" s="154" t="s">
        <v>883</v>
      </c>
      <c r="F149" s="155" t="s">
        <v>884</v>
      </c>
      <c r="G149" s="156" t="s">
        <v>585</v>
      </c>
      <c r="H149" s="178"/>
      <c r="I149" s="158"/>
      <c r="J149" s="151">
        <v>0</v>
      </c>
      <c r="K149" s="160"/>
      <c r="L149" s="30"/>
      <c r="M149" s="161" t="s">
        <v>1</v>
      </c>
      <c r="N149" s="162" t="s">
        <v>35</v>
      </c>
      <c r="O149" s="58"/>
      <c r="P149" s="163">
        <f>O149*H149</f>
        <v>0</v>
      </c>
      <c r="Q149" s="163">
        <v>0</v>
      </c>
      <c r="R149" s="163">
        <f>Q149*H149</f>
        <v>0</v>
      </c>
      <c r="S149" s="163">
        <v>0</v>
      </c>
      <c r="T149" s="164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5" t="s">
        <v>213</v>
      </c>
      <c r="AT149" s="165" t="s">
        <v>181</v>
      </c>
      <c r="AU149" s="165" t="s">
        <v>82</v>
      </c>
      <c r="AY149" s="14" t="s">
        <v>179</v>
      </c>
      <c r="BE149" s="166">
        <f>IF(N149="základná",J149,0)</f>
        <v>0</v>
      </c>
      <c r="BF149" s="166">
        <f>IF(N149="znížená",J149,0)</f>
        <v>0</v>
      </c>
      <c r="BG149" s="166">
        <f>IF(N149="zákl. prenesená",J149,0)</f>
        <v>0</v>
      </c>
      <c r="BH149" s="166">
        <f>IF(N149="zníž. prenesená",J149,0)</f>
        <v>0</v>
      </c>
      <c r="BI149" s="166">
        <f>IF(N149="nulová",J149,0)</f>
        <v>0</v>
      </c>
      <c r="BJ149" s="14" t="s">
        <v>82</v>
      </c>
      <c r="BK149" s="166">
        <f>ROUND(I149*H149,2)</f>
        <v>0</v>
      </c>
      <c r="BL149" s="14" t="s">
        <v>213</v>
      </c>
      <c r="BM149" s="165" t="s">
        <v>261</v>
      </c>
    </row>
    <row r="150" spans="1:65" s="12" customFormat="1" ht="22.9" customHeight="1">
      <c r="B150" s="139"/>
      <c r="D150" s="140" t="s">
        <v>68</v>
      </c>
      <c r="E150" s="150" t="s">
        <v>923</v>
      </c>
      <c r="F150" s="150" t="s">
        <v>1339</v>
      </c>
      <c r="I150" s="142"/>
      <c r="J150" s="151">
        <v>0</v>
      </c>
      <c r="L150" s="139"/>
      <c r="M150" s="144"/>
      <c r="N150" s="145"/>
      <c r="O150" s="145"/>
      <c r="P150" s="146">
        <f>SUM(P151:P153)</f>
        <v>0</v>
      </c>
      <c r="Q150" s="145"/>
      <c r="R150" s="146">
        <f>SUM(R151:R153)</f>
        <v>1.8759999999999999E-2</v>
      </c>
      <c r="S150" s="145"/>
      <c r="T150" s="147">
        <f>SUM(T151:T153)</f>
        <v>0</v>
      </c>
      <c r="AR150" s="140" t="s">
        <v>82</v>
      </c>
      <c r="AT150" s="148" t="s">
        <v>68</v>
      </c>
      <c r="AU150" s="148" t="s">
        <v>76</v>
      </c>
      <c r="AY150" s="140" t="s">
        <v>179</v>
      </c>
      <c r="BK150" s="149">
        <f>SUM(BK151:BK153)</f>
        <v>0</v>
      </c>
    </row>
    <row r="151" spans="1:65" s="2" customFormat="1" ht="24.2" customHeight="1">
      <c r="A151" s="29"/>
      <c r="B151" s="152"/>
      <c r="C151" s="153" t="s">
        <v>225</v>
      </c>
      <c r="D151" s="153" t="s">
        <v>181</v>
      </c>
      <c r="E151" s="154" t="s">
        <v>1340</v>
      </c>
      <c r="F151" s="155" t="s">
        <v>1341</v>
      </c>
      <c r="G151" s="156" t="s">
        <v>184</v>
      </c>
      <c r="H151" s="157">
        <v>25</v>
      </c>
      <c r="I151" s="158"/>
      <c r="J151" s="151">
        <v>0</v>
      </c>
      <c r="K151" s="160"/>
      <c r="L151" s="30"/>
      <c r="M151" s="161" t="s">
        <v>1</v>
      </c>
      <c r="N151" s="162" t="s">
        <v>35</v>
      </c>
      <c r="O151" s="58"/>
      <c r="P151" s="163">
        <f>O151*H151</f>
        <v>0</v>
      </c>
      <c r="Q151" s="163">
        <v>2.0799999999999999E-4</v>
      </c>
      <c r="R151" s="163">
        <f>Q151*H151</f>
        <v>5.1999999999999998E-3</v>
      </c>
      <c r="S151" s="163">
        <v>0</v>
      </c>
      <c r="T151" s="164">
        <f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5" t="s">
        <v>213</v>
      </c>
      <c r="AT151" s="165" t="s">
        <v>181</v>
      </c>
      <c r="AU151" s="165" t="s">
        <v>82</v>
      </c>
      <c r="AY151" s="14" t="s">
        <v>179</v>
      </c>
      <c r="BE151" s="166">
        <f>IF(N151="základná",J151,0)</f>
        <v>0</v>
      </c>
      <c r="BF151" s="166">
        <f>IF(N151="znížená",J151,0)</f>
        <v>0</v>
      </c>
      <c r="BG151" s="166">
        <f>IF(N151="zákl. prenesená",J151,0)</f>
        <v>0</v>
      </c>
      <c r="BH151" s="166">
        <f>IF(N151="zníž. prenesená",J151,0)</f>
        <v>0</v>
      </c>
      <c r="BI151" s="166">
        <f>IF(N151="nulová",J151,0)</f>
        <v>0</v>
      </c>
      <c r="BJ151" s="14" t="s">
        <v>82</v>
      </c>
      <c r="BK151" s="166">
        <f>ROUND(I151*H151,2)</f>
        <v>0</v>
      </c>
      <c r="BL151" s="14" t="s">
        <v>213</v>
      </c>
      <c r="BM151" s="165" t="s">
        <v>265</v>
      </c>
    </row>
    <row r="152" spans="1:65" s="2" customFormat="1" ht="33" customHeight="1">
      <c r="A152" s="29"/>
      <c r="B152" s="152"/>
      <c r="C152" s="153" t="s">
        <v>7</v>
      </c>
      <c r="D152" s="153" t="s">
        <v>181</v>
      </c>
      <c r="E152" s="154" t="s">
        <v>1342</v>
      </c>
      <c r="F152" s="155" t="s">
        <v>1343</v>
      </c>
      <c r="G152" s="156" t="s">
        <v>293</v>
      </c>
      <c r="H152" s="157">
        <v>28</v>
      </c>
      <c r="I152" s="158"/>
      <c r="J152" s="151">
        <v>0</v>
      </c>
      <c r="K152" s="160"/>
      <c r="L152" s="30"/>
      <c r="M152" s="161" t="s">
        <v>1</v>
      </c>
      <c r="N152" s="162" t="s">
        <v>35</v>
      </c>
      <c r="O152" s="58"/>
      <c r="P152" s="163">
        <f>O152*H152</f>
        <v>0</v>
      </c>
      <c r="Q152" s="163">
        <v>9.7857142857142804E-5</v>
      </c>
      <c r="R152" s="163">
        <f>Q152*H152</f>
        <v>2.7399999999999985E-3</v>
      </c>
      <c r="S152" s="163">
        <v>0</v>
      </c>
      <c r="T152" s="164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5" t="s">
        <v>213</v>
      </c>
      <c r="AT152" s="165" t="s">
        <v>181</v>
      </c>
      <c r="AU152" s="165" t="s">
        <v>82</v>
      </c>
      <c r="AY152" s="14" t="s">
        <v>179</v>
      </c>
      <c r="BE152" s="166">
        <f>IF(N152="základná",J152,0)</f>
        <v>0</v>
      </c>
      <c r="BF152" s="166">
        <f>IF(N152="znížená",J152,0)</f>
        <v>0</v>
      </c>
      <c r="BG152" s="166">
        <f>IF(N152="zákl. prenesená",J152,0)</f>
        <v>0</v>
      </c>
      <c r="BH152" s="166">
        <f>IF(N152="zníž. prenesená",J152,0)</f>
        <v>0</v>
      </c>
      <c r="BI152" s="166">
        <f>IF(N152="nulová",J152,0)</f>
        <v>0</v>
      </c>
      <c r="BJ152" s="14" t="s">
        <v>82</v>
      </c>
      <c r="BK152" s="166">
        <f>ROUND(I152*H152,2)</f>
        <v>0</v>
      </c>
      <c r="BL152" s="14" t="s">
        <v>213</v>
      </c>
      <c r="BM152" s="165" t="s">
        <v>268</v>
      </c>
    </row>
    <row r="153" spans="1:65" s="2" customFormat="1" ht="21.75" customHeight="1">
      <c r="A153" s="29"/>
      <c r="B153" s="152"/>
      <c r="C153" s="153" t="s">
        <v>228</v>
      </c>
      <c r="D153" s="153" t="s">
        <v>181</v>
      </c>
      <c r="E153" s="154" t="s">
        <v>1344</v>
      </c>
      <c r="F153" s="155" t="s">
        <v>1345</v>
      </c>
      <c r="G153" s="156" t="s">
        <v>217</v>
      </c>
      <c r="H153" s="157">
        <v>20</v>
      </c>
      <c r="I153" s="158"/>
      <c r="J153" s="151">
        <v>0</v>
      </c>
      <c r="K153" s="160"/>
      <c r="L153" s="30"/>
      <c r="M153" s="161" t="s">
        <v>1</v>
      </c>
      <c r="N153" s="162" t="s">
        <v>35</v>
      </c>
      <c r="O153" s="58"/>
      <c r="P153" s="163">
        <f>O153*H153</f>
        <v>0</v>
      </c>
      <c r="Q153" s="163">
        <v>5.4100000000000003E-4</v>
      </c>
      <c r="R153" s="163">
        <f>Q153*H153</f>
        <v>1.082E-2</v>
      </c>
      <c r="S153" s="163">
        <v>0</v>
      </c>
      <c r="T153" s="164">
        <f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5" t="s">
        <v>213</v>
      </c>
      <c r="AT153" s="165" t="s">
        <v>181</v>
      </c>
      <c r="AU153" s="165" t="s">
        <v>82</v>
      </c>
      <c r="AY153" s="14" t="s">
        <v>179</v>
      </c>
      <c r="BE153" s="166">
        <f>IF(N153="základná",J153,0)</f>
        <v>0</v>
      </c>
      <c r="BF153" s="166">
        <f>IF(N153="znížená",J153,0)</f>
        <v>0</v>
      </c>
      <c r="BG153" s="166">
        <f>IF(N153="zákl. prenesená",J153,0)</f>
        <v>0</v>
      </c>
      <c r="BH153" s="166">
        <f>IF(N153="zníž. prenesená",J153,0)</f>
        <v>0</v>
      </c>
      <c r="BI153" s="166">
        <f>IF(N153="nulová",J153,0)</f>
        <v>0</v>
      </c>
      <c r="BJ153" s="14" t="s">
        <v>82</v>
      </c>
      <c r="BK153" s="166">
        <f>ROUND(I153*H153,2)</f>
        <v>0</v>
      </c>
      <c r="BL153" s="14" t="s">
        <v>213</v>
      </c>
      <c r="BM153" s="165" t="s">
        <v>271</v>
      </c>
    </row>
    <row r="154" spans="1:65" s="12" customFormat="1" ht="25.9" customHeight="1">
      <c r="B154" s="139"/>
      <c r="D154" s="140" t="s">
        <v>68</v>
      </c>
      <c r="E154" s="141" t="s">
        <v>1346</v>
      </c>
      <c r="F154" s="141" t="s">
        <v>1347</v>
      </c>
      <c r="I154" s="142"/>
      <c r="J154" s="151">
        <v>0</v>
      </c>
      <c r="L154" s="139"/>
      <c r="M154" s="144"/>
      <c r="N154" s="145"/>
      <c r="O154" s="145"/>
      <c r="P154" s="146">
        <f>P155</f>
        <v>0</v>
      </c>
      <c r="Q154" s="145"/>
      <c r="R154" s="146">
        <f>R155</f>
        <v>0</v>
      </c>
      <c r="S154" s="145"/>
      <c r="T154" s="147">
        <f>T155</f>
        <v>0</v>
      </c>
      <c r="AR154" s="140" t="s">
        <v>185</v>
      </c>
      <c r="AT154" s="148" t="s">
        <v>68</v>
      </c>
      <c r="AU154" s="148" t="s">
        <v>69</v>
      </c>
      <c r="AY154" s="140" t="s">
        <v>179</v>
      </c>
      <c r="BK154" s="149">
        <f>BK155</f>
        <v>0</v>
      </c>
    </row>
    <row r="155" spans="1:65" s="2" customFormat="1" ht="24.2" customHeight="1">
      <c r="A155" s="29"/>
      <c r="B155" s="152"/>
      <c r="C155" s="153" t="s">
        <v>272</v>
      </c>
      <c r="D155" s="153" t="s">
        <v>181</v>
      </c>
      <c r="E155" s="154" t="s">
        <v>1348</v>
      </c>
      <c r="F155" s="155" t="s">
        <v>1349</v>
      </c>
      <c r="G155" s="156" t="s">
        <v>1350</v>
      </c>
      <c r="H155" s="157">
        <v>25</v>
      </c>
      <c r="I155" s="158"/>
      <c r="J155" s="151">
        <v>0</v>
      </c>
      <c r="K155" s="160"/>
      <c r="L155" s="30"/>
      <c r="M155" s="179" t="s">
        <v>1</v>
      </c>
      <c r="N155" s="180" t="s">
        <v>35</v>
      </c>
      <c r="O155" s="181"/>
      <c r="P155" s="182">
        <f>O155*H155</f>
        <v>0</v>
      </c>
      <c r="Q155" s="182">
        <v>0</v>
      </c>
      <c r="R155" s="182">
        <f>Q155*H155</f>
        <v>0</v>
      </c>
      <c r="S155" s="182">
        <v>0</v>
      </c>
      <c r="T155" s="183">
        <f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5" t="s">
        <v>1351</v>
      </c>
      <c r="AT155" s="165" t="s">
        <v>181</v>
      </c>
      <c r="AU155" s="165" t="s">
        <v>76</v>
      </c>
      <c r="AY155" s="14" t="s">
        <v>179</v>
      </c>
      <c r="BE155" s="166">
        <f>IF(N155="základná",J155,0)</f>
        <v>0</v>
      </c>
      <c r="BF155" s="166">
        <f>IF(N155="znížená",J155,0)</f>
        <v>0</v>
      </c>
      <c r="BG155" s="166">
        <f>IF(N155="zákl. prenesená",J155,0)</f>
        <v>0</v>
      </c>
      <c r="BH155" s="166">
        <f>IF(N155="zníž. prenesená",J155,0)</f>
        <v>0</v>
      </c>
      <c r="BI155" s="166">
        <f>IF(N155="nulová",J155,0)</f>
        <v>0</v>
      </c>
      <c r="BJ155" s="14" t="s">
        <v>82</v>
      </c>
      <c r="BK155" s="166">
        <f>ROUND(I155*H155,2)</f>
        <v>0</v>
      </c>
      <c r="BL155" s="14" t="s">
        <v>1351</v>
      </c>
      <c r="BM155" s="165" t="s">
        <v>275</v>
      </c>
    </row>
    <row r="156" spans="1:65" s="2" customFormat="1" ht="6.95" customHeight="1">
      <c r="A156" s="29"/>
      <c r="B156" s="47"/>
      <c r="C156" s="48"/>
      <c r="D156" s="48"/>
      <c r="E156" s="48"/>
      <c r="F156" s="48"/>
      <c r="G156" s="48"/>
      <c r="H156" s="48"/>
      <c r="I156" s="48"/>
      <c r="J156" s="48"/>
      <c r="K156" s="48"/>
      <c r="L156" s="30"/>
      <c r="M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</row>
  </sheetData>
  <autoFilter ref="C124:K155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BM366"/>
  <sheetViews>
    <sheetView showGridLines="0" topLeftCell="A12" workbookViewId="0">
      <selection activeCell="J44" sqref="J44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0" t="s">
        <v>5</v>
      </c>
      <c r="M2" s="351"/>
      <c r="N2" s="351"/>
      <c r="O2" s="351"/>
      <c r="P2" s="351"/>
      <c r="Q2" s="351"/>
      <c r="R2" s="351"/>
      <c r="S2" s="351"/>
      <c r="T2" s="351"/>
      <c r="U2" s="351"/>
      <c r="V2" s="351"/>
      <c r="AT2" s="14" t="s">
        <v>92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5" customHeight="1">
      <c r="B4" s="17"/>
      <c r="D4" s="18" t="s">
        <v>129</v>
      </c>
      <c r="L4" s="17"/>
      <c r="M4" s="98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387" t="str">
        <f>'Rekapitulácia stavby'!K6</f>
        <v>Topoľčianky, Centrálny logistický sklad - rekonštrukcia tepelného hospodárstva</v>
      </c>
      <c r="F7" s="388"/>
      <c r="G7" s="388"/>
      <c r="H7" s="388"/>
      <c r="L7" s="17"/>
    </row>
    <row r="8" spans="1:46" s="1" customFormat="1" ht="12" customHeight="1">
      <c r="B8" s="17"/>
      <c r="D8" s="24" t="s">
        <v>130</v>
      </c>
      <c r="L8" s="17"/>
    </row>
    <row r="9" spans="1:46" s="2" customFormat="1" ht="16.5" customHeight="1">
      <c r="A9" s="29"/>
      <c r="B9" s="30"/>
      <c r="C9" s="29"/>
      <c r="D9" s="29"/>
      <c r="E9" s="387" t="s">
        <v>131</v>
      </c>
      <c r="F9" s="386"/>
      <c r="G9" s="386"/>
      <c r="H9" s="386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>
      <c r="A10" s="29"/>
      <c r="B10" s="30"/>
      <c r="C10" s="29"/>
      <c r="D10" s="24" t="s">
        <v>132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>
      <c r="A11" s="29"/>
      <c r="B11" s="30"/>
      <c r="C11" s="29"/>
      <c r="D11" s="29"/>
      <c r="E11" s="382" t="s">
        <v>1352</v>
      </c>
      <c r="F11" s="386"/>
      <c r="G11" s="386"/>
      <c r="H11" s="386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>
      <c r="A13" s="29"/>
      <c r="B13" s="30"/>
      <c r="C13" s="29"/>
      <c r="D13" s="24" t="s">
        <v>15</v>
      </c>
      <c r="E13" s="29"/>
      <c r="F13" s="22" t="s">
        <v>1</v>
      </c>
      <c r="G13" s="29"/>
      <c r="H13" s="29"/>
      <c r="I13" s="24" t="s">
        <v>16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17</v>
      </c>
      <c r="E14" s="29"/>
      <c r="F14" s="22" t="s">
        <v>18</v>
      </c>
      <c r="G14" s="29"/>
      <c r="H14" s="29"/>
      <c r="I14" s="24" t="s">
        <v>19</v>
      </c>
      <c r="J14" s="55">
        <f>'Rekapitulácia stavby'!AN8</f>
        <v>45945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>
      <c r="A16" s="29"/>
      <c r="B16" s="30"/>
      <c r="C16" s="29"/>
      <c r="D16" s="24" t="s">
        <v>20</v>
      </c>
      <c r="E16" s="29"/>
      <c r="F16" s="29"/>
      <c r="G16" s="29"/>
      <c r="H16" s="29"/>
      <c r="I16" s="24" t="s">
        <v>21</v>
      </c>
      <c r="J16" s="22" t="str">
        <f>IF('Rekapitulácia stavby'!AN10="","",'Rekapitulácia stavby'!AN10)</f>
        <v/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>
      <c r="A17" s="29"/>
      <c r="B17" s="30"/>
      <c r="C17" s="29"/>
      <c r="D17" s="29"/>
      <c r="E17" s="22" t="str">
        <f>IF('Rekapitulácia stavby'!E11="","",'Rekapitulácia stavby'!E11)</f>
        <v xml:space="preserve"> </v>
      </c>
      <c r="F17" s="29"/>
      <c r="G17" s="29"/>
      <c r="H17" s="29"/>
      <c r="I17" s="24" t="s">
        <v>22</v>
      </c>
      <c r="J17" s="22" t="str">
        <f>IF('Rekapitulácia stavby'!AN11="","",'Rekapitulácia stavby'!AN11)</f>
        <v/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customHeight="1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>
      <c r="A19" s="29"/>
      <c r="B19" s="30"/>
      <c r="C19" s="29"/>
      <c r="D19" s="24" t="s">
        <v>23</v>
      </c>
      <c r="E19" s="29"/>
      <c r="F19" s="29"/>
      <c r="G19" s="29"/>
      <c r="H19" s="29"/>
      <c r="I19" s="24" t="s">
        <v>21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>
      <c r="A20" s="29"/>
      <c r="B20" s="30"/>
      <c r="C20" s="29"/>
      <c r="D20" s="29"/>
      <c r="E20" s="389" t="str">
        <f>'Rekapitulácia stavby'!E14</f>
        <v>Vyplň údaj</v>
      </c>
      <c r="F20" s="390"/>
      <c r="G20" s="390"/>
      <c r="H20" s="390"/>
      <c r="I20" s="24" t="s">
        <v>22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customHeight="1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>
      <c r="A22" s="29"/>
      <c r="B22" s="30"/>
      <c r="C22" s="29"/>
      <c r="D22" s="24" t="s">
        <v>25</v>
      </c>
      <c r="E22" s="29"/>
      <c r="F22" s="29"/>
      <c r="G22" s="29"/>
      <c r="H22" s="29"/>
      <c r="I22" s="24" t="s">
        <v>21</v>
      </c>
      <c r="J22" s="22" t="str">
        <f>IF('Rekapitulácia stavby'!AN16="","",'Rekapitulácia stavby'!AN16)</f>
        <v/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>
      <c r="A23" s="29"/>
      <c r="B23" s="30"/>
      <c r="C23" s="29"/>
      <c r="D23" s="29"/>
      <c r="E23" s="22" t="str">
        <f>IF('Rekapitulácia stavby'!E17="","",'Rekapitulácia stavby'!E17)</f>
        <v xml:space="preserve"> </v>
      </c>
      <c r="F23" s="29"/>
      <c r="G23" s="29"/>
      <c r="H23" s="29"/>
      <c r="I23" s="24" t="s">
        <v>22</v>
      </c>
      <c r="J23" s="22" t="str">
        <f>IF('Rekapitulácia stavby'!AN17="","",'Rekapitulácia stavby'!AN17)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customHeight="1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>
      <c r="A25" s="29"/>
      <c r="B25" s="30"/>
      <c r="C25" s="29"/>
      <c r="D25" s="24" t="s">
        <v>26</v>
      </c>
      <c r="E25" s="29"/>
      <c r="F25" s="29"/>
      <c r="G25" s="29"/>
      <c r="H25" s="29"/>
      <c r="I25" s="24" t="s">
        <v>21</v>
      </c>
      <c r="J25" s="22" t="str">
        <f>IF('Rekapitulácia stavby'!AN19="","",'Rekapitulácia stavby'!AN19)</f>
        <v/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24" t="s">
        <v>22</v>
      </c>
      <c r="J26" s="22" t="str">
        <f>IF('Rekapitulácia stavby'!AN20="","",'Rekapitulácia stavby'!AN20)</f>
        <v/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>
      <c r="A28" s="29"/>
      <c r="B28" s="30"/>
      <c r="C28" s="29"/>
      <c r="D28" s="24" t="s">
        <v>28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>
      <c r="A29" s="99"/>
      <c r="B29" s="100"/>
      <c r="C29" s="99"/>
      <c r="D29" s="99"/>
      <c r="E29" s="378" t="s">
        <v>1</v>
      </c>
      <c r="F29" s="378"/>
      <c r="G29" s="378"/>
      <c r="H29" s="378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102" t="s">
        <v>29</v>
      </c>
      <c r="E32" s="29"/>
      <c r="F32" s="29"/>
      <c r="G32" s="29"/>
      <c r="H32" s="29"/>
      <c r="I32" s="29"/>
      <c r="J32" s="71"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31</v>
      </c>
      <c r="G34" s="29"/>
      <c r="H34" s="29"/>
      <c r="I34" s="33" t="s">
        <v>30</v>
      </c>
      <c r="J34" s="33" t="s">
        <v>32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3" t="s">
        <v>33</v>
      </c>
      <c r="E35" s="35" t="s">
        <v>34</v>
      </c>
      <c r="F35" s="104">
        <f>ROUND((SUM(BE142:BE365)),  2)</f>
        <v>0</v>
      </c>
      <c r="G35" s="105"/>
      <c r="H35" s="105"/>
      <c r="I35" s="106">
        <v>0.23</v>
      </c>
      <c r="J35" s="104">
        <f>ROUND(((SUM(BE142:BE365))*I35),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35</v>
      </c>
      <c r="F36" s="104">
        <f>ROUND((SUM(BF142:BF365)),  2)</f>
        <v>0</v>
      </c>
      <c r="G36" s="105"/>
      <c r="H36" s="105"/>
      <c r="I36" s="106">
        <v>0.23</v>
      </c>
      <c r="J36" s="104">
        <f>ROUND(((SUM(BF142:BF365))*I36),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36</v>
      </c>
      <c r="F37" s="107">
        <f>ROUND((SUM(BG142:BG365)),  2)</f>
        <v>0</v>
      </c>
      <c r="G37" s="29"/>
      <c r="H37" s="29"/>
      <c r="I37" s="108">
        <v>0.23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37</v>
      </c>
      <c r="F38" s="107">
        <f>ROUND((SUM(BH142:BH365)),  2)</f>
        <v>0</v>
      </c>
      <c r="G38" s="29"/>
      <c r="H38" s="29"/>
      <c r="I38" s="108">
        <v>0.23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38</v>
      </c>
      <c r="F39" s="104">
        <f>ROUND((SUM(BI142:BI365)), 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9"/>
      <c r="D41" s="110" t="s">
        <v>39</v>
      </c>
      <c r="E41" s="60"/>
      <c r="F41" s="60"/>
      <c r="G41" s="111" t="s">
        <v>40</v>
      </c>
      <c r="H41" s="112" t="s">
        <v>41</v>
      </c>
      <c r="I41" s="60"/>
      <c r="J41" s="113"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42</v>
      </c>
      <c r="E50" s="44"/>
      <c r="F50" s="44"/>
      <c r="G50" s="43" t="s">
        <v>43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44</v>
      </c>
      <c r="E61" s="32"/>
      <c r="F61" s="115" t="s">
        <v>45</v>
      </c>
      <c r="G61" s="45" t="s">
        <v>44</v>
      </c>
      <c r="H61" s="32"/>
      <c r="I61" s="32"/>
      <c r="J61" s="116" t="s">
        <v>45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46</v>
      </c>
      <c r="E65" s="46"/>
      <c r="F65" s="46"/>
      <c r="G65" s="43" t="s">
        <v>47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44</v>
      </c>
      <c r="E76" s="32"/>
      <c r="F76" s="115" t="s">
        <v>45</v>
      </c>
      <c r="G76" s="45" t="s">
        <v>44</v>
      </c>
      <c r="H76" s="32"/>
      <c r="I76" s="32"/>
      <c r="J76" s="116" t="s">
        <v>45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hidden="1" customHeight="1">
      <c r="A82" s="29"/>
      <c r="B82" s="30"/>
      <c r="C82" s="18" t="s">
        <v>134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hidden="1" customHeight="1">
      <c r="A85" s="29"/>
      <c r="B85" s="30"/>
      <c r="C85" s="29"/>
      <c r="D85" s="29"/>
      <c r="E85" s="387" t="str">
        <f>E7</f>
        <v>Topoľčianky, Centrálny logistický sklad - rekonštrukcia tepelného hospodárstva</v>
      </c>
      <c r="F85" s="388"/>
      <c r="G85" s="388"/>
      <c r="H85" s="388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hidden="1" customHeight="1">
      <c r="B86" s="17"/>
      <c r="C86" s="24" t="s">
        <v>130</v>
      </c>
      <c r="L86" s="17"/>
    </row>
    <row r="87" spans="1:31" s="2" customFormat="1" ht="16.5" hidden="1" customHeight="1">
      <c r="A87" s="29"/>
      <c r="B87" s="30"/>
      <c r="C87" s="29"/>
      <c r="D87" s="29"/>
      <c r="E87" s="387" t="s">
        <v>131</v>
      </c>
      <c r="F87" s="386"/>
      <c r="G87" s="386"/>
      <c r="H87" s="386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hidden="1" customHeight="1">
      <c r="A88" s="29"/>
      <c r="B88" s="30"/>
      <c r="C88" s="24" t="s">
        <v>132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hidden="1" customHeight="1">
      <c r="A89" s="29"/>
      <c r="B89" s="30"/>
      <c r="C89" s="29"/>
      <c r="D89" s="29"/>
      <c r="E89" s="382" t="str">
        <f>E11</f>
        <v>E1.6-1 - ELI + MaR - DT01</v>
      </c>
      <c r="F89" s="386"/>
      <c r="G89" s="386"/>
      <c r="H89" s="386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hidden="1" customHeight="1">
      <c r="A91" s="29"/>
      <c r="B91" s="30"/>
      <c r="C91" s="24" t="s">
        <v>17</v>
      </c>
      <c r="D91" s="29"/>
      <c r="E91" s="29"/>
      <c r="F91" s="22" t="str">
        <f>F14</f>
        <v xml:space="preserve"> </v>
      </c>
      <c r="G91" s="29"/>
      <c r="H91" s="29"/>
      <c r="I91" s="24" t="s">
        <v>19</v>
      </c>
      <c r="J91" s="55">
        <f>IF(J14="","",J14)</f>
        <v>45945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hidden="1" customHeight="1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hidden="1" customHeight="1">
      <c r="A93" s="29"/>
      <c r="B93" s="30"/>
      <c r="C93" s="24" t="s">
        <v>20</v>
      </c>
      <c r="D93" s="29"/>
      <c r="E93" s="29"/>
      <c r="F93" s="22" t="str">
        <f>E17</f>
        <v xml:space="preserve"> </v>
      </c>
      <c r="G93" s="29"/>
      <c r="H93" s="29"/>
      <c r="I93" s="24" t="s">
        <v>25</v>
      </c>
      <c r="J93" s="27" t="str">
        <f>E23</f>
        <v xml:space="preserve">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hidden="1" customHeight="1">
      <c r="A94" s="29"/>
      <c r="B94" s="30"/>
      <c r="C94" s="24" t="s">
        <v>23</v>
      </c>
      <c r="D94" s="29"/>
      <c r="E94" s="29"/>
      <c r="F94" s="22" t="str">
        <f>IF(E20="","",E20)</f>
        <v>Vyplň údaj</v>
      </c>
      <c r="G94" s="29"/>
      <c r="H94" s="29"/>
      <c r="I94" s="24" t="s">
        <v>26</v>
      </c>
      <c r="J94" s="27" t="str">
        <f>E26</f>
        <v xml:space="preserve">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hidden="1" customHeight="1">
      <c r="A96" s="29"/>
      <c r="B96" s="30"/>
      <c r="C96" s="117" t="s">
        <v>135</v>
      </c>
      <c r="D96" s="109"/>
      <c r="E96" s="109"/>
      <c r="F96" s="109"/>
      <c r="G96" s="109"/>
      <c r="H96" s="109"/>
      <c r="I96" s="109"/>
      <c r="J96" s="118" t="s">
        <v>136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hidden="1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hidden="1" customHeight="1">
      <c r="A98" s="29"/>
      <c r="B98" s="30"/>
      <c r="C98" s="119" t="s">
        <v>137</v>
      </c>
      <c r="D98" s="29"/>
      <c r="E98" s="29"/>
      <c r="F98" s="29"/>
      <c r="G98" s="29"/>
      <c r="H98" s="29"/>
      <c r="I98" s="29"/>
      <c r="J98" s="71">
        <f>J142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138</v>
      </c>
    </row>
    <row r="99" spans="1:47" s="9" customFormat="1" ht="24.95" hidden="1" customHeight="1">
      <c r="B99" s="120"/>
      <c r="D99" s="121" t="s">
        <v>1353</v>
      </c>
      <c r="E99" s="122"/>
      <c r="F99" s="122"/>
      <c r="G99" s="122"/>
      <c r="H99" s="122"/>
      <c r="I99" s="122"/>
      <c r="J99" s="123">
        <f>J143</f>
        <v>0</v>
      </c>
      <c r="L99" s="120"/>
    </row>
    <row r="100" spans="1:47" s="10" customFormat="1" ht="19.899999999999999" hidden="1" customHeight="1">
      <c r="B100" s="124"/>
      <c r="D100" s="125" t="s">
        <v>1354</v>
      </c>
      <c r="E100" s="126"/>
      <c r="F100" s="126"/>
      <c r="G100" s="126"/>
      <c r="H100" s="126"/>
      <c r="I100" s="126"/>
      <c r="J100" s="127">
        <f>J144</f>
        <v>0</v>
      </c>
      <c r="L100" s="124"/>
    </row>
    <row r="101" spans="1:47" s="10" customFormat="1" ht="19.899999999999999" hidden="1" customHeight="1">
      <c r="B101" s="124"/>
      <c r="D101" s="125" t="s">
        <v>1355</v>
      </c>
      <c r="E101" s="126"/>
      <c r="F101" s="126"/>
      <c r="G101" s="126"/>
      <c r="H101" s="126"/>
      <c r="I101" s="126"/>
      <c r="J101" s="127">
        <f>J151</f>
        <v>0</v>
      </c>
      <c r="L101" s="124"/>
    </row>
    <row r="102" spans="1:47" s="10" customFormat="1" ht="19.899999999999999" hidden="1" customHeight="1">
      <c r="B102" s="124"/>
      <c r="D102" s="125" t="s">
        <v>1356</v>
      </c>
      <c r="E102" s="126"/>
      <c r="F102" s="126"/>
      <c r="G102" s="126"/>
      <c r="H102" s="126"/>
      <c r="I102" s="126"/>
      <c r="J102" s="127">
        <f>J152</f>
        <v>0</v>
      </c>
      <c r="L102" s="124"/>
    </row>
    <row r="103" spans="1:47" s="10" customFormat="1" ht="19.899999999999999" hidden="1" customHeight="1">
      <c r="B103" s="124"/>
      <c r="D103" s="125" t="s">
        <v>1357</v>
      </c>
      <c r="E103" s="126"/>
      <c r="F103" s="126"/>
      <c r="G103" s="126"/>
      <c r="H103" s="126"/>
      <c r="I103" s="126"/>
      <c r="J103" s="127">
        <f>J154</f>
        <v>0</v>
      </c>
      <c r="L103" s="124"/>
    </row>
    <row r="104" spans="1:47" s="10" customFormat="1" ht="19.899999999999999" hidden="1" customHeight="1">
      <c r="B104" s="124"/>
      <c r="D104" s="125" t="s">
        <v>1358</v>
      </c>
      <c r="E104" s="126"/>
      <c r="F104" s="126"/>
      <c r="G104" s="126"/>
      <c r="H104" s="126"/>
      <c r="I104" s="126"/>
      <c r="J104" s="127">
        <f>J159</f>
        <v>0</v>
      </c>
      <c r="L104" s="124"/>
    </row>
    <row r="105" spans="1:47" s="10" customFormat="1" ht="19.899999999999999" hidden="1" customHeight="1">
      <c r="B105" s="124"/>
      <c r="D105" s="125" t="s">
        <v>1359</v>
      </c>
      <c r="E105" s="126"/>
      <c r="F105" s="126"/>
      <c r="G105" s="126"/>
      <c r="H105" s="126"/>
      <c r="I105" s="126"/>
      <c r="J105" s="127">
        <f>J174</f>
        <v>0</v>
      </c>
      <c r="L105" s="124"/>
    </row>
    <row r="106" spans="1:47" s="10" customFormat="1" ht="19.899999999999999" hidden="1" customHeight="1">
      <c r="B106" s="124"/>
      <c r="D106" s="125" t="s">
        <v>1360</v>
      </c>
      <c r="E106" s="126"/>
      <c r="F106" s="126"/>
      <c r="G106" s="126"/>
      <c r="H106" s="126"/>
      <c r="I106" s="126"/>
      <c r="J106" s="127">
        <f>J178</f>
        <v>0</v>
      </c>
      <c r="L106" s="124"/>
    </row>
    <row r="107" spans="1:47" s="10" customFormat="1" ht="19.899999999999999" hidden="1" customHeight="1">
      <c r="B107" s="124"/>
      <c r="D107" s="125" t="s">
        <v>1361</v>
      </c>
      <c r="E107" s="126"/>
      <c r="F107" s="126"/>
      <c r="G107" s="126"/>
      <c r="H107" s="126"/>
      <c r="I107" s="126"/>
      <c r="J107" s="127">
        <f>J198</f>
        <v>0</v>
      </c>
      <c r="L107" s="124"/>
    </row>
    <row r="108" spans="1:47" s="10" customFormat="1" ht="19.899999999999999" hidden="1" customHeight="1">
      <c r="B108" s="124"/>
      <c r="D108" s="125" t="s">
        <v>1362</v>
      </c>
      <c r="E108" s="126"/>
      <c r="F108" s="126"/>
      <c r="G108" s="126"/>
      <c r="H108" s="126"/>
      <c r="I108" s="126"/>
      <c r="J108" s="127">
        <f>J199</f>
        <v>0</v>
      </c>
      <c r="L108" s="124"/>
    </row>
    <row r="109" spans="1:47" s="9" customFormat="1" ht="24.95" hidden="1" customHeight="1">
      <c r="B109" s="120"/>
      <c r="D109" s="121" t="s">
        <v>1363</v>
      </c>
      <c r="E109" s="122"/>
      <c r="F109" s="122"/>
      <c r="G109" s="122"/>
      <c r="H109" s="122"/>
      <c r="I109" s="122"/>
      <c r="J109" s="123">
        <f>J210</f>
        <v>0</v>
      </c>
      <c r="L109" s="120"/>
    </row>
    <row r="110" spans="1:47" s="9" customFormat="1" ht="24.95" hidden="1" customHeight="1">
      <c r="B110" s="120"/>
      <c r="D110" s="121" t="s">
        <v>1364</v>
      </c>
      <c r="E110" s="122"/>
      <c r="F110" s="122"/>
      <c r="G110" s="122"/>
      <c r="H110" s="122"/>
      <c r="I110" s="122"/>
      <c r="J110" s="123">
        <f>J220</f>
        <v>0</v>
      </c>
      <c r="L110" s="120"/>
    </row>
    <row r="111" spans="1:47" s="10" customFormat="1" ht="19.899999999999999" hidden="1" customHeight="1">
      <c r="B111" s="124"/>
      <c r="D111" s="125" t="s">
        <v>1365</v>
      </c>
      <c r="E111" s="126"/>
      <c r="F111" s="126"/>
      <c r="G111" s="126"/>
      <c r="H111" s="126"/>
      <c r="I111" s="126"/>
      <c r="J111" s="127">
        <f>J221</f>
        <v>0</v>
      </c>
      <c r="L111" s="124"/>
    </row>
    <row r="112" spans="1:47" s="10" customFormat="1" ht="19.899999999999999" hidden="1" customHeight="1">
      <c r="B112" s="124"/>
      <c r="D112" s="125" t="s">
        <v>1366</v>
      </c>
      <c r="E112" s="126"/>
      <c r="F112" s="126"/>
      <c r="G112" s="126"/>
      <c r="H112" s="126"/>
      <c r="I112" s="126"/>
      <c r="J112" s="127">
        <f>J223</f>
        <v>0</v>
      </c>
      <c r="L112" s="124"/>
    </row>
    <row r="113" spans="1:31" s="9" customFormat="1" ht="24.95" hidden="1" customHeight="1">
      <c r="B113" s="120"/>
      <c r="D113" s="121" t="s">
        <v>1367</v>
      </c>
      <c r="E113" s="122"/>
      <c r="F113" s="122"/>
      <c r="G113" s="122"/>
      <c r="H113" s="122"/>
      <c r="I113" s="122"/>
      <c r="J113" s="123">
        <f>J225</f>
        <v>0</v>
      </c>
      <c r="L113" s="120"/>
    </row>
    <row r="114" spans="1:31" s="10" customFormat="1" ht="19.899999999999999" hidden="1" customHeight="1">
      <c r="B114" s="124"/>
      <c r="D114" s="125" t="s">
        <v>1368</v>
      </c>
      <c r="E114" s="126"/>
      <c r="F114" s="126"/>
      <c r="G114" s="126"/>
      <c r="H114" s="126"/>
      <c r="I114" s="126"/>
      <c r="J114" s="127">
        <f>J302</f>
        <v>0</v>
      </c>
      <c r="L114" s="124"/>
    </row>
    <row r="115" spans="1:31" s="10" customFormat="1" ht="19.899999999999999" hidden="1" customHeight="1">
      <c r="B115" s="124"/>
      <c r="D115" s="125" t="s">
        <v>1369</v>
      </c>
      <c r="E115" s="126"/>
      <c r="F115" s="126"/>
      <c r="G115" s="126"/>
      <c r="H115" s="126"/>
      <c r="I115" s="126"/>
      <c r="J115" s="127">
        <f>J310</f>
        <v>0</v>
      </c>
      <c r="L115" s="124"/>
    </row>
    <row r="116" spans="1:31" s="10" customFormat="1" ht="19.899999999999999" hidden="1" customHeight="1">
      <c r="B116" s="124"/>
      <c r="D116" s="125" t="s">
        <v>1370</v>
      </c>
      <c r="E116" s="126"/>
      <c r="F116" s="126"/>
      <c r="G116" s="126"/>
      <c r="H116" s="126"/>
      <c r="I116" s="126"/>
      <c r="J116" s="127">
        <f>J320</f>
        <v>0</v>
      </c>
      <c r="L116" s="124"/>
    </row>
    <row r="117" spans="1:31" s="10" customFormat="1" ht="19.899999999999999" hidden="1" customHeight="1">
      <c r="B117" s="124"/>
      <c r="D117" s="125" t="s">
        <v>1371</v>
      </c>
      <c r="E117" s="126"/>
      <c r="F117" s="126"/>
      <c r="G117" s="126"/>
      <c r="H117" s="126"/>
      <c r="I117" s="126"/>
      <c r="J117" s="127">
        <f>J336</f>
        <v>0</v>
      </c>
      <c r="L117" s="124"/>
    </row>
    <row r="118" spans="1:31" s="10" customFormat="1" ht="19.899999999999999" hidden="1" customHeight="1">
      <c r="B118" s="124"/>
      <c r="D118" s="125" t="s">
        <v>1372</v>
      </c>
      <c r="E118" s="126"/>
      <c r="F118" s="126"/>
      <c r="G118" s="126"/>
      <c r="H118" s="126"/>
      <c r="I118" s="126"/>
      <c r="J118" s="127">
        <f>J341</f>
        <v>0</v>
      </c>
      <c r="L118" s="124"/>
    </row>
    <row r="119" spans="1:31" s="10" customFormat="1" ht="19.899999999999999" hidden="1" customHeight="1">
      <c r="B119" s="124"/>
      <c r="D119" s="125" t="s">
        <v>1373</v>
      </c>
      <c r="E119" s="126"/>
      <c r="F119" s="126"/>
      <c r="G119" s="126"/>
      <c r="H119" s="126"/>
      <c r="I119" s="126"/>
      <c r="J119" s="127">
        <f>J346</f>
        <v>0</v>
      </c>
      <c r="L119" s="124"/>
    </row>
    <row r="120" spans="1:31" s="10" customFormat="1" ht="19.899999999999999" hidden="1" customHeight="1">
      <c r="B120" s="124"/>
      <c r="D120" s="125" t="s">
        <v>1374</v>
      </c>
      <c r="E120" s="126"/>
      <c r="F120" s="126"/>
      <c r="G120" s="126"/>
      <c r="H120" s="126"/>
      <c r="I120" s="126"/>
      <c r="J120" s="127">
        <f>J352</f>
        <v>0</v>
      </c>
      <c r="L120" s="124"/>
    </row>
    <row r="121" spans="1:31" s="2" customFormat="1" ht="21.75" hidden="1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6.95" hidden="1" customHeight="1">
      <c r="A122" s="29"/>
      <c r="B122" s="47"/>
      <c r="C122" s="48"/>
      <c r="D122" s="48"/>
      <c r="E122" s="48"/>
      <c r="F122" s="48"/>
      <c r="G122" s="48"/>
      <c r="H122" s="48"/>
      <c r="I122" s="48"/>
      <c r="J122" s="48"/>
      <c r="K122" s="48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hidden="1"/>
    <row r="124" spans="1:31" hidden="1"/>
    <row r="125" spans="1:31" hidden="1"/>
    <row r="126" spans="1:31" s="2" customFormat="1" ht="6.95" customHeight="1">
      <c r="A126" s="29"/>
      <c r="B126" s="49"/>
      <c r="C126" s="50"/>
      <c r="D126" s="50"/>
      <c r="E126" s="50"/>
      <c r="F126" s="50"/>
      <c r="G126" s="50"/>
      <c r="H126" s="50"/>
      <c r="I126" s="50"/>
      <c r="J126" s="50"/>
      <c r="K126" s="50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24.95" customHeight="1">
      <c r="A127" s="29"/>
      <c r="B127" s="30"/>
      <c r="C127" s="18" t="s">
        <v>165</v>
      </c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6.9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3" s="2" customFormat="1" ht="12" customHeight="1">
      <c r="A129" s="29"/>
      <c r="B129" s="30"/>
      <c r="C129" s="24" t="s">
        <v>14</v>
      </c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3" s="2" customFormat="1" ht="16.5" customHeight="1">
      <c r="A130" s="29"/>
      <c r="B130" s="30"/>
      <c r="C130" s="29"/>
      <c r="D130" s="29"/>
      <c r="E130" s="387" t="str">
        <f>E7</f>
        <v>Topoľčianky, Centrálny logistický sklad - rekonštrukcia tepelného hospodárstva</v>
      </c>
      <c r="F130" s="388"/>
      <c r="G130" s="388"/>
      <c r="H130" s="388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3" s="1" customFormat="1" ht="12" customHeight="1">
      <c r="B131" s="17"/>
      <c r="C131" s="24" t="s">
        <v>130</v>
      </c>
      <c r="L131" s="17"/>
    </row>
    <row r="132" spans="1:63" s="2" customFormat="1" ht="16.5" customHeight="1">
      <c r="A132" s="29"/>
      <c r="B132" s="30"/>
      <c r="C132" s="29"/>
      <c r="D132" s="29"/>
      <c r="E132" s="387" t="s">
        <v>131</v>
      </c>
      <c r="F132" s="386"/>
      <c r="G132" s="386"/>
      <c r="H132" s="386"/>
      <c r="I132" s="29"/>
      <c r="J132" s="29"/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3" s="2" customFormat="1" ht="12" customHeight="1">
      <c r="A133" s="29"/>
      <c r="B133" s="30"/>
      <c r="C133" s="24" t="s">
        <v>132</v>
      </c>
      <c r="D133" s="29"/>
      <c r="E133" s="29"/>
      <c r="F133" s="29"/>
      <c r="G133" s="29"/>
      <c r="H133" s="29"/>
      <c r="I133" s="29"/>
      <c r="J133" s="29"/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3" s="2" customFormat="1" ht="16.5" customHeight="1">
      <c r="A134" s="29"/>
      <c r="B134" s="30"/>
      <c r="C134" s="29"/>
      <c r="D134" s="29"/>
      <c r="E134" s="382" t="str">
        <f>E11</f>
        <v>E1.6-1 - ELI + MaR - DT01</v>
      </c>
      <c r="F134" s="386"/>
      <c r="G134" s="386"/>
      <c r="H134" s="386"/>
      <c r="I134" s="29"/>
      <c r="J134" s="29"/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3" s="2" customFormat="1" ht="6.95" customHeight="1">
      <c r="A135" s="29"/>
      <c r="B135" s="30"/>
      <c r="C135" s="29"/>
      <c r="D135" s="29"/>
      <c r="E135" s="29"/>
      <c r="F135" s="29"/>
      <c r="G135" s="29"/>
      <c r="H135" s="29"/>
      <c r="I135" s="29"/>
      <c r="J135" s="29"/>
      <c r="K135" s="29"/>
      <c r="L135" s="42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</row>
    <row r="136" spans="1:63" s="2" customFormat="1" ht="12" customHeight="1">
      <c r="A136" s="29"/>
      <c r="B136" s="30"/>
      <c r="C136" s="24" t="s">
        <v>17</v>
      </c>
      <c r="D136" s="29"/>
      <c r="E136" s="29"/>
      <c r="F136" s="22" t="str">
        <f>F14</f>
        <v xml:space="preserve"> </v>
      </c>
      <c r="G136" s="29"/>
      <c r="H136" s="29"/>
      <c r="I136" s="24" t="s">
        <v>19</v>
      </c>
      <c r="J136" s="55">
        <f>IF(J14="","",J14)</f>
        <v>45945</v>
      </c>
      <c r="K136" s="29"/>
      <c r="L136" s="42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  <row r="137" spans="1:63" s="2" customFormat="1" ht="6.95" customHeight="1">
      <c r="A137" s="29"/>
      <c r="B137" s="30"/>
      <c r="C137" s="29"/>
      <c r="D137" s="29"/>
      <c r="E137" s="29"/>
      <c r="F137" s="29"/>
      <c r="G137" s="29"/>
      <c r="H137" s="29"/>
      <c r="I137" s="29"/>
      <c r="J137" s="29"/>
      <c r="K137" s="29"/>
      <c r="L137" s="42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</row>
    <row r="138" spans="1:63" s="2" customFormat="1" ht="15.2" customHeight="1">
      <c r="A138" s="29"/>
      <c r="B138" s="30"/>
      <c r="C138" s="24" t="s">
        <v>20</v>
      </c>
      <c r="D138" s="29"/>
      <c r="E138" s="29"/>
      <c r="F138" s="22" t="str">
        <f>E17</f>
        <v xml:space="preserve"> </v>
      </c>
      <c r="G138" s="29"/>
      <c r="H138" s="29"/>
      <c r="I138" s="24" t="s">
        <v>25</v>
      </c>
      <c r="J138" s="27" t="str">
        <f>E23</f>
        <v xml:space="preserve"> </v>
      </c>
      <c r="K138" s="29"/>
      <c r="L138" s="42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</row>
    <row r="139" spans="1:63" s="2" customFormat="1" ht="15.2" customHeight="1">
      <c r="A139" s="29"/>
      <c r="B139" s="30"/>
      <c r="C139" s="24" t="s">
        <v>23</v>
      </c>
      <c r="D139" s="29"/>
      <c r="E139" s="29"/>
      <c r="F139" s="22" t="str">
        <f>IF(E20="","",E20)</f>
        <v>Vyplň údaj</v>
      </c>
      <c r="G139" s="29"/>
      <c r="H139" s="29"/>
      <c r="I139" s="24" t="s">
        <v>26</v>
      </c>
      <c r="J139" s="27" t="str">
        <f>E26</f>
        <v xml:space="preserve"> </v>
      </c>
      <c r="K139" s="29"/>
      <c r="L139" s="42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</row>
    <row r="140" spans="1:63" s="2" customFormat="1" ht="10.35" customHeight="1">
      <c r="A140" s="29"/>
      <c r="B140" s="30"/>
      <c r="C140" s="29"/>
      <c r="D140" s="29"/>
      <c r="E140" s="29"/>
      <c r="F140" s="29"/>
      <c r="G140" s="29"/>
      <c r="H140" s="29"/>
      <c r="I140" s="29"/>
      <c r="J140" s="29"/>
      <c r="K140" s="29"/>
      <c r="L140" s="42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</row>
    <row r="141" spans="1:63" s="11" customFormat="1" ht="29.25" customHeight="1">
      <c r="A141" s="128"/>
      <c r="B141" s="129"/>
      <c r="C141" s="130" t="s">
        <v>166</v>
      </c>
      <c r="D141" s="131" t="s">
        <v>54</v>
      </c>
      <c r="E141" s="131" t="s">
        <v>50</v>
      </c>
      <c r="F141" s="131" t="s">
        <v>51</v>
      </c>
      <c r="G141" s="131" t="s">
        <v>167</v>
      </c>
      <c r="H141" s="131" t="s">
        <v>168</v>
      </c>
      <c r="I141" s="131" t="s">
        <v>169</v>
      </c>
      <c r="J141" s="132" t="s">
        <v>136</v>
      </c>
      <c r="K141" s="133" t="s">
        <v>170</v>
      </c>
      <c r="L141" s="134"/>
      <c r="M141" s="62" t="s">
        <v>1</v>
      </c>
      <c r="N141" s="63" t="s">
        <v>33</v>
      </c>
      <c r="O141" s="63" t="s">
        <v>171</v>
      </c>
      <c r="P141" s="63" t="s">
        <v>172</v>
      </c>
      <c r="Q141" s="63" t="s">
        <v>173</v>
      </c>
      <c r="R141" s="63" t="s">
        <v>174</v>
      </c>
      <c r="S141" s="63" t="s">
        <v>175</v>
      </c>
      <c r="T141" s="64" t="s">
        <v>176</v>
      </c>
      <c r="U141" s="128"/>
      <c r="V141" s="128"/>
      <c r="W141" s="128"/>
      <c r="X141" s="128"/>
      <c r="Y141" s="128"/>
      <c r="Z141" s="128"/>
      <c r="AA141" s="128"/>
      <c r="AB141" s="128"/>
      <c r="AC141" s="128"/>
      <c r="AD141" s="128"/>
      <c r="AE141" s="128"/>
    </row>
    <row r="142" spans="1:63" s="2" customFormat="1" ht="22.9" customHeight="1">
      <c r="A142" s="29"/>
      <c r="B142" s="30"/>
      <c r="C142" s="69" t="s">
        <v>137</v>
      </c>
      <c r="D142" s="29"/>
      <c r="E142" s="29"/>
      <c r="F142" s="29"/>
      <c r="G142" s="29"/>
      <c r="H142" s="29"/>
      <c r="I142" s="29"/>
      <c r="J142" s="135">
        <v>0</v>
      </c>
      <c r="K142" s="29"/>
      <c r="L142" s="30"/>
      <c r="M142" s="65"/>
      <c r="N142" s="56"/>
      <c r="O142" s="66"/>
      <c r="P142" s="136">
        <f>P143+P210+P220+P225</f>
        <v>0</v>
      </c>
      <c r="Q142" s="66"/>
      <c r="R142" s="136">
        <f>R143+R210+R220+R225</f>
        <v>0</v>
      </c>
      <c r="S142" s="66"/>
      <c r="T142" s="137">
        <f>T143+T210+T220+T225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T142" s="14" t="s">
        <v>68</v>
      </c>
      <c r="AU142" s="14" t="s">
        <v>138</v>
      </c>
      <c r="BK142" s="138">
        <f>BK143+BK210+BK220+BK225</f>
        <v>0</v>
      </c>
    </row>
    <row r="143" spans="1:63" s="12" customFormat="1" ht="25.9" customHeight="1">
      <c r="B143" s="139"/>
      <c r="D143" s="140" t="s">
        <v>68</v>
      </c>
      <c r="E143" s="141" t="s">
        <v>1375</v>
      </c>
      <c r="F143" s="141" t="s">
        <v>1375</v>
      </c>
      <c r="I143" s="142"/>
      <c r="J143" s="143">
        <v>0</v>
      </c>
      <c r="L143" s="139"/>
      <c r="M143" s="144"/>
      <c r="N143" s="145"/>
      <c r="O143" s="145"/>
      <c r="P143" s="146">
        <f>P144+P151+P152+P154+P159+P174+P178+P198+P199</f>
        <v>0</v>
      </c>
      <c r="Q143" s="145"/>
      <c r="R143" s="146">
        <f>R144+R151+R152+R154+R159+R174+R178+R198+R199</f>
        <v>0</v>
      </c>
      <c r="S143" s="145"/>
      <c r="T143" s="147">
        <f>T144+T151+T152+T154+T159+T174+T178+T198+T199</f>
        <v>0</v>
      </c>
      <c r="AR143" s="140" t="s">
        <v>76</v>
      </c>
      <c r="AT143" s="148" t="s">
        <v>68</v>
      </c>
      <c r="AU143" s="148" t="s">
        <v>69</v>
      </c>
      <c r="AY143" s="140" t="s">
        <v>179</v>
      </c>
      <c r="BK143" s="149">
        <f>BK144+BK151+BK152+BK154+BK159+BK174+BK178+BK198+BK199</f>
        <v>0</v>
      </c>
    </row>
    <row r="144" spans="1:63" s="12" customFormat="1" ht="22.9" customHeight="1">
      <c r="B144" s="139"/>
      <c r="D144" s="140" t="s">
        <v>68</v>
      </c>
      <c r="E144" s="150" t="s">
        <v>1376</v>
      </c>
      <c r="F144" s="150" t="s">
        <v>1377</v>
      </c>
      <c r="I144" s="142"/>
      <c r="J144" s="151">
        <v>0</v>
      </c>
      <c r="L144" s="139"/>
      <c r="M144" s="144"/>
      <c r="N144" s="145"/>
      <c r="O144" s="145"/>
      <c r="P144" s="146">
        <f>SUM(P145:P150)</f>
        <v>0</v>
      </c>
      <c r="Q144" s="145"/>
      <c r="R144" s="146">
        <f>SUM(R145:R150)</f>
        <v>0</v>
      </c>
      <c r="S144" s="145"/>
      <c r="T144" s="147">
        <f>SUM(T145:T150)</f>
        <v>0</v>
      </c>
      <c r="AR144" s="140" t="s">
        <v>76</v>
      </c>
      <c r="AT144" s="148" t="s">
        <v>68</v>
      </c>
      <c r="AU144" s="148" t="s">
        <v>76</v>
      </c>
      <c r="AY144" s="140" t="s">
        <v>179</v>
      </c>
      <c r="BK144" s="149">
        <f>SUM(BK145:BK150)</f>
        <v>0</v>
      </c>
    </row>
    <row r="145" spans="1:65" s="2" customFormat="1" ht="21.75" customHeight="1">
      <c r="A145" s="29"/>
      <c r="B145" s="152"/>
      <c r="C145" s="153" t="s">
        <v>76</v>
      </c>
      <c r="D145" s="153" t="s">
        <v>181</v>
      </c>
      <c r="E145" s="154" t="s">
        <v>1378</v>
      </c>
      <c r="F145" s="339" t="s">
        <v>1379</v>
      </c>
      <c r="G145" s="156" t="s">
        <v>217</v>
      </c>
      <c r="H145" s="157">
        <v>1</v>
      </c>
      <c r="I145" s="158"/>
      <c r="J145" s="151">
        <v>0</v>
      </c>
      <c r="K145" s="160"/>
      <c r="L145" s="30"/>
      <c r="M145" s="161" t="s">
        <v>1</v>
      </c>
      <c r="N145" s="162" t="s">
        <v>35</v>
      </c>
      <c r="O145" s="58"/>
      <c r="P145" s="163">
        <f t="shared" ref="P145:P150" si="0">O145*H145</f>
        <v>0</v>
      </c>
      <c r="Q145" s="163">
        <v>0</v>
      </c>
      <c r="R145" s="163">
        <f t="shared" ref="R145:R150" si="1">Q145*H145</f>
        <v>0</v>
      </c>
      <c r="S145" s="163">
        <v>0</v>
      </c>
      <c r="T145" s="164">
        <f t="shared" ref="T145:T150" si="2"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5" t="s">
        <v>185</v>
      </c>
      <c r="AT145" s="165" t="s">
        <v>181</v>
      </c>
      <c r="AU145" s="165" t="s">
        <v>82</v>
      </c>
      <c r="AY145" s="14" t="s">
        <v>179</v>
      </c>
      <c r="BE145" s="166">
        <f t="shared" ref="BE145:BE150" si="3">IF(N145="základná",J145,0)</f>
        <v>0</v>
      </c>
      <c r="BF145" s="166">
        <f t="shared" ref="BF145:BF150" si="4">IF(N145="znížená",J145,0)</f>
        <v>0</v>
      </c>
      <c r="BG145" s="166">
        <f t="shared" ref="BG145:BG150" si="5">IF(N145="zákl. prenesená",J145,0)</f>
        <v>0</v>
      </c>
      <c r="BH145" s="166">
        <f t="shared" ref="BH145:BH150" si="6">IF(N145="zníž. prenesená",J145,0)</f>
        <v>0</v>
      </c>
      <c r="BI145" s="166">
        <f t="shared" ref="BI145:BI150" si="7">IF(N145="nulová",J145,0)</f>
        <v>0</v>
      </c>
      <c r="BJ145" s="14" t="s">
        <v>82</v>
      </c>
      <c r="BK145" s="166">
        <f t="shared" ref="BK145:BK150" si="8">ROUND(I145*H145,2)</f>
        <v>0</v>
      </c>
      <c r="BL145" s="14" t="s">
        <v>185</v>
      </c>
      <c r="BM145" s="165" t="s">
        <v>82</v>
      </c>
    </row>
    <row r="146" spans="1:65" s="2" customFormat="1" ht="21.75" customHeight="1">
      <c r="A146" s="29"/>
      <c r="B146" s="152"/>
      <c r="C146" s="153" t="s">
        <v>82</v>
      </c>
      <c r="D146" s="153" t="s">
        <v>181</v>
      </c>
      <c r="E146" s="154" t="s">
        <v>1380</v>
      </c>
      <c r="F146" s="155" t="s">
        <v>1381</v>
      </c>
      <c r="G146" s="156" t="s">
        <v>217</v>
      </c>
      <c r="H146" s="157">
        <v>1</v>
      </c>
      <c r="I146" s="158"/>
      <c r="J146" s="151">
        <v>0</v>
      </c>
      <c r="K146" s="160"/>
      <c r="L146" s="30"/>
      <c r="M146" s="161" t="s">
        <v>1</v>
      </c>
      <c r="N146" s="162" t="s">
        <v>35</v>
      </c>
      <c r="O146" s="58"/>
      <c r="P146" s="163">
        <f t="shared" si="0"/>
        <v>0</v>
      </c>
      <c r="Q146" s="163">
        <v>0</v>
      </c>
      <c r="R146" s="163">
        <f t="shared" si="1"/>
        <v>0</v>
      </c>
      <c r="S146" s="163">
        <v>0</v>
      </c>
      <c r="T146" s="164">
        <f t="shared" si="2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5" t="s">
        <v>185</v>
      </c>
      <c r="AT146" s="165" t="s">
        <v>181</v>
      </c>
      <c r="AU146" s="165" t="s">
        <v>82</v>
      </c>
      <c r="AY146" s="14" t="s">
        <v>179</v>
      </c>
      <c r="BE146" s="166">
        <f t="shared" si="3"/>
        <v>0</v>
      </c>
      <c r="BF146" s="166">
        <f t="shared" si="4"/>
        <v>0</v>
      </c>
      <c r="BG146" s="166">
        <f t="shared" si="5"/>
        <v>0</v>
      </c>
      <c r="BH146" s="166">
        <f t="shared" si="6"/>
        <v>0</v>
      </c>
      <c r="BI146" s="166">
        <f t="shared" si="7"/>
        <v>0</v>
      </c>
      <c r="BJ146" s="14" t="s">
        <v>82</v>
      </c>
      <c r="BK146" s="166">
        <f t="shared" si="8"/>
        <v>0</v>
      </c>
      <c r="BL146" s="14" t="s">
        <v>185</v>
      </c>
      <c r="BM146" s="165" t="s">
        <v>185</v>
      </c>
    </row>
    <row r="147" spans="1:65" s="2" customFormat="1" ht="21.75" customHeight="1">
      <c r="A147" s="29"/>
      <c r="B147" s="152"/>
      <c r="C147" s="153" t="s">
        <v>188</v>
      </c>
      <c r="D147" s="153" t="s">
        <v>181</v>
      </c>
      <c r="E147" s="154" t="s">
        <v>1382</v>
      </c>
      <c r="F147" s="155" t="s">
        <v>1381</v>
      </c>
      <c r="G147" s="156" t="s">
        <v>217</v>
      </c>
      <c r="H147" s="157">
        <v>1</v>
      </c>
      <c r="I147" s="158"/>
      <c r="J147" s="151">
        <v>0</v>
      </c>
      <c r="K147" s="160"/>
      <c r="L147" s="30"/>
      <c r="M147" s="161" t="s">
        <v>1</v>
      </c>
      <c r="N147" s="162" t="s">
        <v>35</v>
      </c>
      <c r="O147" s="58"/>
      <c r="P147" s="163">
        <f t="shared" si="0"/>
        <v>0</v>
      </c>
      <c r="Q147" s="163">
        <v>0</v>
      </c>
      <c r="R147" s="163">
        <f t="shared" si="1"/>
        <v>0</v>
      </c>
      <c r="S147" s="163">
        <v>0</v>
      </c>
      <c r="T147" s="164">
        <f t="shared" si="2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5" t="s">
        <v>185</v>
      </c>
      <c r="AT147" s="165" t="s">
        <v>181</v>
      </c>
      <c r="AU147" s="165" t="s">
        <v>82</v>
      </c>
      <c r="AY147" s="14" t="s">
        <v>179</v>
      </c>
      <c r="BE147" s="166">
        <f t="shared" si="3"/>
        <v>0</v>
      </c>
      <c r="BF147" s="166">
        <f t="shared" si="4"/>
        <v>0</v>
      </c>
      <c r="BG147" s="166">
        <f t="shared" si="5"/>
        <v>0</v>
      </c>
      <c r="BH147" s="166">
        <f t="shared" si="6"/>
        <v>0</v>
      </c>
      <c r="BI147" s="166">
        <f t="shared" si="7"/>
        <v>0</v>
      </c>
      <c r="BJ147" s="14" t="s">
        <v>82</v>
      </c>
      <c r="BK147" s="166">
        <f t="shared" si="8"/>
        <v>0</v>
      </c>
      <c r="BL147" s="14" t="s">
        <v>185</v>
      </c>
      <c r="BM147" s="165" t="s">
        <v>192</v>
      </c>
    </row>
    <row r="148" spans="1:65" s="2" customFormat="1" ht="44.25" customHeight="1">
      <c r="A148" s="29"/>
      <c r="B148" s="152"/>
      <c r="C148" s="153" t="s">
        <v>185</v>
      </c>
      <c r="D148" s="153" t="s">
        <v>181</v>
      </c>
      <c r="E148" s="154" t="s">
        <v>1383</v>
      </c>
      <c r="F148" s="155" t="s">
        <v>1384</v>
      </c>
      <c r="G148" s="156" t="s">
        <v>217</v>
      </c>
      <c r="H148" s="157">
        <v>1</v>
      </c>
      <c r="I148" s="158"/>
      <c r="J148" s="151">
        <v>0</v>
      </c>
      <c r="K148" s="160"/>
      <c r="L148" s="30"/>
      <c r="M148" s="161" t="s">
        <v>1</v>
      </c>
      <c r="N148" s="162" t="s">
        <v>35</v>
      </c>
      <c r="O148" s="58"/>
      <c r="P148" s="163">
        <f t="shared" si="0"/>
        <v>0</v>
      </c>
      <c r="Q148" s="163">
        <v>0</v>
      </c>
      <c r="R148" s="163">
        <f t="shared" si="1"/>
        <v>0</v>
      </c>
      <c r="S148" s="163">
        <v>0</v>
      </c>
      <c r="T148" s="164">
        <f t="shared" si="2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5" t="s">
        <v>185</v>
      </c>
      <c r="AT148" s="165" t="s">
        <v>181</v>
      </c>
      <c r="AU148" s="165" t="s">
        <v>82</v>
      </c>
      <c r="AY148" s="14" t="s">
        <v>179</v>
      </c>
      <c r="BE148" s="166">
        <f t="shared" si="3"/>
        <v>0</v>
      </c>
      <c r="BF148" s="166">
        <f t="shared" si="4"/>
        <v>0</v>
      </c>
      <c r="BG148" s="166">
        <f t="shared" si="5"/>
        <v>0</v>
      </c>
      <c r="BH148" s="166">
        <f t="shared" si="6"/>
        <v>0</v>
      </c>
      <c r="BI148" s="166">
        <f t="shared" si="7"/>
        <v>0</v>
      </c>
      <c r="BJ148" s="14" t="s">
        <v>82</v>
      </c>
      <c r="BK148" s="166">
        <f t="shared" si="8"/>
        <v>0</v>
      </c>
      <c r="BL148" s="14" t="s">
        <v>185</v>
      </c>
      <c r="BM148" s="165" t="s">
        <v>197</v>
      </c>
    </row>
    <row r="149" spans="1:65" s="2" customFormat="1" ht="44.25" customHeight="1">
      <c r="A149" s="29"/>
      <c r="B149" s="152"/>
      <c r="C149" s="153" t="s">
        <v>198</v>
      </c>
      <c r="D149" s="153" t="s">
        <v>181</v>
      </c>
      <c r="E149" s="154" t="s">
        <v>1385</v>
      </c>
      <c r="F149" s="155" t="s">
        <v>1386</v>
      </c>
      <c r="G149" s="156" t="s">
        <v>217</v>
      </c>
      <c r="H149" s="157">
        <v>1</v>
      </c>
      <c r="I149" s="158"/>
      <c r="J149" s="151">
        <v>0</v>
      </c>
      <c r="K149" s="160"/>
      <c r="L149" s="30"/>
      <c r="M149" s="161" t="s">
        <v>1</v>
      </c>
      <c r="N149" s="162" t="s">
        <v>35</v>
      </c>
      <c r="O149" s="58"/>
      <c r="P149" s="163">
        <f t="shared" si="0"/>
        <v>0</v>
      </c>
      <c r="Q149" s="163">
        <v>0</v>
      </c>
      <c r="R149" s="163">
        <f t="shared" si="1"/>
        <v>0</v>
      </c>
      <c r="S149" s="163">
        <v>0</v>
      </c>
      <c r="T149" s="164">
        <f t="shared" si="2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5" t="s">
        <v>185</v>
      </c>
      <c r="AT149" s="165" t="s">
        <v>181</v>
      </c>
      <c r="AU149" s="165" t="s">
        <v>82</v>
      </c>
      <c r="AY149" s="14" t="s">
        <v>179</v>
      </c>
      <c r="BE149" s="166">
        <f t="shared" si="3"/>
        <v>0</v>
      </c>
      <c r="BF149" s="166">
        <f t="shared" si="4"/>
        <v>0</v>
      </c>
      <c r="BG149" s="166">
        <f t="shared" si="5"/>
        <v>0</v>
      </c>
      <c r="BH149" s="166">
        <f t="shared" si="6"/>
        <v>0</v>
      </c>
      <c r="BI149" s="166">
        <f t="shared" si="7"/>
        <v>0</v>
      </c>
      <c r="BJ149" s="14" t="s">
        <v>82</v>
      </c>
      <c r="BK149" s="166">
        <f t="shared" si="8"/>
        <v>0</v>
      </c>
      <c r="BL149" s="14" t="s">
        <v>185</v>
      </c>
      <c r="BM149" s="165" t="s">
        <v>201</v>
      </c>
    </row>
    <row r="150" spans="1:65" s="2" customFormat="1" ht="21.75" customHeight="1">
      <c r="A150" s="29"/>
      <c r="B150" s="152"/>
      <c r="C150" s="153" t="s">
        <v>192</v>
      </c>
      <c r="D150" s="153" t="s">
        <v>181</v>
      </c>
      <c r="E150" s="154" t="s">
        <v>1387</v>
      </c>
      <c r="F150" s="155" t="s">
        <v>1388</v>
      </c>
      <c r="G150" s="156" t="s">
        <v>217</v>
      </c>
      <c r="H150" s="157">
        <v>1</v>
      </c>
      <c r="I150" s="158"/>
      <c r="J150" s="151">
        <v>0</v>
      </c>
      <c r="K150" s="160"/>
      <c r="L150" s="30"/>
      <c r="M150" s="161" t="s">
        <v>1</v>
      </c>
      <c r="N150" s="162" t="s">
        <v>35</v>
      </c>
      <c r="O150" s="58"/>
      <c r="P150" s="163">
        <f t="shared" si="0"/>
        <v>0</v>
      </c>
      <c r="Q150" s="163">
        <v>0</v>
      </c>
      <c r="R150" s="163">
        <f t="shared" si="1"/>
        <v>0</v>
      </c>
      <c r="S150" s="163">
        <v>0</v>
      </c>
      <c r="T150" s="164">
        <f t="shared" si="2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5" t="s">
        <v>185</v>
      </c>
      <c r="AT150" s="165" t="s">
        <v>181</v>
      </c>
      <c r="AU150" s="165" t="s">
        <v>82</v>
      </c>
      <c r="AY150" s="14" t="s">
        <v>179</v>
      </c>
      <c r="BE150" s="166">
        <f t="shared" si="3"/>
        <v>0</v>
      </c>
      <c r="BF150" s="166">
        <f t="shared" si="4"/>
        <v>0</v>
      </c>
      <c r="BG150" s="166">
        <f t="shared" si="5"/>
        <v>0</v>
      </c>
      <c r="BH150" s="166">
        <f t="shared" si="6"/>
        <v>0</v>
      </c>
      <c r="BI150" s="166">
        <f t="shared" si="7"/>
        <v>0</v>
      </c>
      <c r="BJ150" s="14" t="s">
        <v>82</v>
      </c>
      <c r="BK150" s="166">
        <f t="shared" si="8"/>
        <v>0</v>
      </c>
      <c r="BL150" s="14" t="s">
        <v>185</v>
      </c>
      <c r="BM150" s="165" t="s">
        <v>205</v>
      </c>
    </row>
    <row r="151" spans="1:65" s="12" customFormat="1" ht="22.9" customHeight="1">
      <c r="B151" s="139"/>
      <c r="D151" s="140" t="s">
        <v>68</v>
      </c>
      <c r="E151" s="150" t="s">
        <v>1389</v>
      </c>
      <c r="F151" s="150" t="s">
        <v>1390</v>
      </c>
      <c r="I151" s="142"/>
      <c r="J151" s="151">
        <v>0</v>
      </c>
      <c r="L151" s="139"/>
      <c r="M151" s="144"/>
      <c r="N151" s="145"/>
      <c r="O151" s="145"/>
      <c r="P151" s="146">
        <v>0</v>
      </c>
      <c r="Q151" s="145"/>
      <c r="R151" s="146">
        <v>0</v>
      </c>
      <c r="S151" s="145"/>
      <c r="T151" s="147">
        <v>0</v>
      </c>
      <c r="AR151" s="140" t="s">
        <v>76</v>
      </c>
      <c r="AT151" s="148" t="s">
        <v>68</v>
      </c>
      <c r="AU151" s="148" t="s">
        <v>76</v>
      </c>
      <c r="AY151" s="140" t="s">
        <v>179</v>
      </c>
      <c r="BK151" s="149">
        <v>0</v>
      </c>
    </row>
    <row r="152" spans="1:65" s="12" customFormat="1" ht="22.9" customHeight="1">
      <c r="B152" s="139"/>
      <c r="D152" s="140" t="s">
        <v>68</v>
      </c>
      <c r="E152" s="150" t="s">
        <v>1391</v>
      </c>
      <c r="F152" s="150" t="s">
        <v>1392</v>
      </c>
      <c r="I152" s="142"/>
      <c r="J152" s="151">
        <v>0</v>
      </c>
      <c r="L152" s="139"/>
      <c r="M152" s="144"/>
      <c r="N152" s="145"/>
      <c r="O152" s="145"/>
      <c r="P152" s="146">
        <f>P153</f>
        <v>0</v>
      </c>
      <c r="Q152" s="145"/>
      <c r="R152" s="146">
        <f>R153</f>
        <v>0</v>
      </c>
      <c r="S152" s="145"/>
      <c r="T152" s="147">
        <f>T153</f>
        <v>0</v>
      </c>
      <c r="AR152" s="140" t="s">
        <v>76</v>
      </c>
      <c r="AT152" s="148" t="s">
        <v>68</v>
      </c>
      <c r="AU152" s="148" t="s">
        <v>76</v>
      </c>
      <c r="AY152" s="140" t="s">
        <v>179</v>
      </c>
      <c r="BK152" s="149">
        <f>BK153</f>
        <v>0</v>
      </c>
    </row>
    <row r="153" spans="1:65" s="2" customFormat="1" ht="24.2" customHeight="1">
      <c r="A153" s="29"/>
      <c r="B153" s="152"/>
      <c r="C153" s="153" t="s">
        <v>207</v>
      </c>
      <c r="D153" s="153" t="s">
        <v>181</v>
      </c>
      <c r="E153" s="154" t="s">
        <v>1393</v>
      </c>
      <c r="F153" s="155" t="s">
        <v>1394</v>
      </c>
      <c r="G153" s="156" t="s">
        <v>217</v>
      </c>
      <c r="H153" s="157">
        <v>1</v>
      </c>
      <c r="I153" s="158"/>
      <c r="J153" s="151">
        <v>0</v>
      </c>
      <c r="K153" s="160"/>
      <c r="L153" s="30"/>
      <c r="M153" s="161" t="s">
        <v>1</v>
      </c>
      <c r="N153" s="162" t="s">
        <v>35</v>
      </c>
      <c r="O153" s="58"/>
      <c r="P153" s="163">
        <f>O153*H153</f>
        <v>0</v>
      </c>
      <c r="Q153" s="163">
        <v>0</v>
      </c>
      <c r="R153" s="163">
        <f>Q153*H153</f>
        <v>0</v>
      </c>
      <c r="S153" s="163">
        <v>0</v>
      </c>
      <c r="T153" s="164">
        <f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5" t="s">
        <v>185</v>
      </c>
      <c r="AT153" s="165" t="s">
        <v>181</v>
      </c>
      <c r="AU153" s="165" t="s">
        <v>82</v>
      </c>
      <c r="AY153" s="14" t="s">
        <v>179</v>
      </c>
      <c r="BE153" s="166">
        <f>IF(N153="základná",J153,0)</f>
        <v>0</v>
      </c>
      <c r="BF153" s="166">
        <f>IF(N153="znížená",J153,0)</f>
        <v>0</v>
      </c>
      <c r="BG153" s="166">
        <f>IF(N153="zákl. prenesená",J153,0)</f>
        <v>0</v>
      </c>
      <c r="BH153" s="166">
        <f>IF(N153="zníž. prenesená",J153,0)</f>
        <v>0</v>
      </c>
      <c r="BI153" s="166">
        <f>IF(N153="nulová",J153,0)</f>
        <v>0</v>
      </c>
      <c r="BJ153" s="14" t="s">
        <v>82</v>
      </c>
      <c r="BK153" s="166">
        <f>ROUND(I153*H153,2)</f>
        <v>0</v>
      </c>
      <c r="BL153" s="14" t="s">
        <v>185</v>
      </c>
      <c r="BM153" s="165" t="s">
        <v>210</v>
      </c>
    </row>
    <row r="154" spans="1:65" s="12" customFormat="1" ht="22.9" customHeight="1">
      <c r="B154" s="139"/>
      <c r="D154" s="140" t="s">
        <v>68</v>
      </c>
      <c r="E154" s="150" t="s">
        <v>1395</v>
      </c>
      <c r="F154" s="150" t="s">
        <v>1396</v>
      </c>
      <c r="I154" s="142"/>
      <c r="J154" s="151">
        <v>0</v>
      </c>
      <c r="L154" s="139"/>
      <c r="M154" s="144"/>
      <c r="N154" s="145"/>
      <c r="O154" s="145"/>
      <c r="P154" s="146">
        <f>SUM(P155:P158)</f>
        <v>0</v>
      </c>
      <c r="Q154" s="145"/>
      <c r="R154" s="146">
        <f>SUM(R155:R158)</f>
        <v>0</v>
      </c>
      <c r="S154" s="145"/>
      <c r="T154" s="147">
        <f>SUM(T155:T158)</f>
        <v>0</v>
      </c>
      <c r="AR154" s="140" t="s">
        <v>76</v>
      </c>
      <c r="AT154" s="148" t="s">
        <v>68</v>
      </c>
      <c r="AU154" s="148" t="s">
        <v>76</v>
      </c>
      <c r="AY154" s="140" t="s">
        <v>179</v>
      </c>
      <c r="BK154" s="149">
        <f>SUM(BK155:BK158)</f>
        <v>0</v>
      </c>
    </row>
    <row r="155" spans="1:65" s="2" customFormat="1" ht="49.15" customHeight="1">
      <c r="A155" s="29"/>
      <c r="B155" s="152"/>
      <c r="C155" s="153" t="s">
        <v>197</v>
      </c>
      <c r="D155" s="153" t="s">
        <v>181</v>
      </c>
      <c r="E155" s="154" t="s">
        <v>1397</v>
      </c>
      <c r="F155" s="155" t="s">
        <v>1398</v>
      </c>
      <c r="G155" s="156" t="s">
        <v>217</v>
      </c>
      <c r="H155" s="157">
        <v>1</v>
      </c>
      <c r="I155" s="158"/>
      <c r="J155" s="151">
        <v>0</v>
      </c>
      <c r="K155" s="160"/>
      <c r="L155" s="30"/>
      <c r="M155" s="161" t="s">
        <v>1</v>
      </c>
      <c r="N155" s="162" t="s">
        <v>35</v>
      </c>
      <c r="O155" s="58"/>
      <c r="P155" s="163">
        <f>O155*H155</f>
        <v>0</v>
      </c>
      <c r="Q155" s="163">
        <v>0</v>
      </c>
      <c r="R155" s="163">
        <f>Q155*H155</f>
        <v>0</v>
      </c>
      <c r="S155" s="163">
        <v>0</v>
      </c>
      <c r="T155" s="164">
        <f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5" t="s">
        <v>185</v>
      </c>
      <c r="AT155" s="165" t="s">
        <v>181</v>
      </c>
      <c r="AU155" s="165" t="s">
        <v>82</v>
      </c>
      <c r="AY155" s="14" t="s">
        <v>179</v>
      </c>
      <c r="BE155" s="166">
        <f>IF(N155="základná",J155,0)</f>
        <v>0</v>
      </c>
      <c r="BF155" s="166">
        <f>IF(N155="znížená",J155,0)</f>
        <v>0</v>
      </c>
      <c r="BG155" s="166">
        <f>IF(N155="zákl. prenesená",J155,0)</f>
        <v>0</v>
      </c>
      <c r="BH155" s="166">
        <f>IF(N155="zníž. prenesená",J155,0)</f>
        <v>0</v>
      </c>
      <c r="BI155" s="166">
        <f>IF(N155="nulová",J155,0)</f>
        <v>0</v>
      </c>
      <c r="BJ155" s="14" t="s">
        <v>82</v>
      </c>
      <c r="BK155" s="166">
        <f>ROUND(I155*H155,2)</f>
        <v>0</v>
      </c>
      <c r="BL155" s="14" t="s">
        <v>185</v>
      </c>
      <c r="BM155" s="165" t="s">
        <v>213</v>
      </c>
    </row>
    <row r="156" spans="1:65" s="2" customFormat="1" ht="49.15" customHeight="1">
      <c r="A156" s="29"/>
      <c r="B156" s="152"/>
      <c r="C156" s="153" t="s">
        <v>214</v>
      </c>
      <c r="D156" s="153" t="s">
        <v>181</v>
      </c>
      <c r="E156" s="154" t="s">
        <v>1399</v>
      </c>
      <c r="F156" s="155" t="s">
        <v>1400</v>
      </c>
      <c r="G156" s="156" t="s">
        <v>217</v>
      </c>
      <c r="H156" s="157">
        <v>1</v>
      </c>
      <c r="I156" s="158"/>
      <c r="J156" s="151">
        <v>0</v>
      </c>
      <c r="K156" s="160"/>
      <c r="L156" s="30"/>
      <c r="M156" s="161" t="s">
        <v>1</v>
      </c>
      <c r="N156" s="162" t="s">
        <v>35</v>
      </c>
      <c r="O156" s="58"/>
      <c r="P156" s="163">
        <f>O156*H156</f>
        <v>0</v>
      </c>
      <c r="Q156" s="163">
        <v>0</v>
      </c>
      <c r="R156" s="163">
        <f>Q156*H156</f>
        <v>0</v>
      </c>
      <c r="S156" s="163">
        <v>0</v>
      </c>
      <c r="T156" s="164">
        <f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5" t="s">
        <v>185</v>
      </c>
      <c r="AT156" s="165" t="s">
        <v>181</v>
      </c>
      <c r="AU156" s="165" t="s">
        <v>82</v>
      </c>
      <c r="AY156" s="14" t="s">
        <v>179</v>
      </c>
      <c r="BE156" s="166">
        <f>IF(N156="základná",J156,0)</f>
        <v>0</v>
      </c>
      <c r="BF156" s="166">
        <f>IF(N156="znížená",J156,0)</f>
        <v>0</v>
      </c>
      <c r="BG156" s="166">
        <f>IF(N156="zákl. prenesená",J156,0)</f>
        <v>0</v>
      </c>
      <c r="BH156" s="166">
        <f>IF(N156="zníž. prenesená",J156,0)</f>
        <v>0</v>
      </c>
      <c r="BI156" s="166">
        <f>IF(N156="nulová",J156,0)</f>
        <v>0</v>
      </c>
      <c r="BJ156" s="14" t="s">
        <v>82</v>
      </c>
      <c r="BK156" s="166">
        <f>ROUND(I156*H156,2)</f>
        <v>0</v>
      </c>
      <c r="BL156" s="14" t="s">
        <v>185</v>
      </c>
      <c r="BM156" s="165" t="s">
        <v>218</v>
      </c>
    </row>
    <row r="157" spans="1:65" s="2" customFormat="1" ht="55.5" customHeight="1">
      <c r="A157" s="29"/>
      <c r="B157" s="152"/>
      <c r="C157" s="153" t="s">
        <v>201</v>
      </c>
      <c r="D157" s="153" t="s">
        <v>181</v>
      </c>
      <c r="E157" s="154" t="s">
        <v>1401</v>
      </c>
      <c r="F157" s="155" t="s">
        <v>1402</v>
      </c>
      <c r="G157" s="156" t="s">
        <v>217</v>
      </c>
      <c r="H157" s="157">
        <v>1</v>
      </c>
      <c r="I157" s="158"/>
      <c r="J157" s="151">
        <v>0</v>
      </c>
      <c r="K157" s="160"/>
      <c r="L157" s="30"/>
      <c r="M157" s="161" t="s">
        <v>1</v>
      </c>
      <c r="N157" s="162" t="s">
        <v>35</v>
      </c>
      <c r="O157" s="58"/>
      <c r="P157" s="163">
        <f>O157*H157</f>
        <v>0</v>
      </c>
      <c r="Q157" s="163">
        <v>0</v>
      </c>
      <c r="R157" s="163">
        <f>Q157*H157</f>
        <v>0</v>
      </c>
      <c r="S157" s="163">
        <v>0</v>
      </c>
      <c r="T157" s="164">
        <f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5" t="s">
        <v>185</v>
      </c>
      <c r="AT157" s="165" t="s">
        <v>181</v>
      </c>
      <c r="AU157" s="165" t="s">
        <v>82</v>
      </c>
      <c r="AY157" s="14" t="s">
        <v>179</v>
      </c>
      <c r="BE157" s="166">
        <f>IF(N157="základná",J157,0)</f>
        <v>0</v>
      </c>
      <c r="BF157" s="166">
        <f>IF(N157="znížená",J157,0)</f>
        <v>0</v>
      </c>
      <c r="BG157" s="166">
        <f>IF(N157="zákl. prenesená",J157,0)</f>
        <v>0</v>
      </c>
      <c r="BH157" s="166">
        <f>IF(N157="zníž. prenesená",J157,0)</f>
        <v>0</v>
      </c>
      <c r="BI157" s="166">
        <f>IF(N157="nulová",J157,0)</f>
        <v>0</v>
      </c>
      <c r="BJ157" s="14" t="s">
        <v>82</v>
      </c>
      <c r="BK157" s="166">
        <f>ROUND(I157*H157,2)</f>
        <v>0</v>
      </c>
      <c r="BL157" s="14" t="s">
        <v>185</v>
      </c>
      <c r="BM157" s="165" t="s">
        <v>221</v>
      </c>
    </row>
    <row r="158" spans="1:65" s="2" customFormat="1" ht="55.5" customHeight="1">
      <c r="A158" s="29"/>
      <c r="B158" s="152"/>
      <c r="C158" s="153" t="s">
        <v>222</v>
      </c>
      <c r="D158" s="153" t="s">
        <v>181</v>
      </c>
      <c r="E158" s="154" t="s">
        <v>1403</v>
      </c>
      <c r="F158" s="155" t="s">
        <v>1404</v>
      </c>
      <c r="G158" s="156" t="s">
        <v>217</v>
      </c>
      <c r="H158" s="157">
        <v>1</v>
      </c>
      <c r="I158" s="158"/>
      <c r="J158" s="151">
        <v>0</v>
      </c>
      <c r="K158" s="160"/>
      <c r="L158" s="30"/>
      <c r="M158" s="161" t="s">
        <v>1</v>
      </c>
      <c r="N158" s="162" t="s">
        <v>35</v>
      </c>
      <c r="O158" s="58"/>
      <c r="P158" s="163">
        <f>O158*H158</f>
        <v>0</v>
      </c>
      <c r="Q158" s="163">
        <v>0</v>
      </c>
      <c r="R158" s="163">
        <f>Q158*H158</f>
        <v>0</v>
      </c>
      <c r="S158" s="163">
        <v>0</v>
      </c>
      <c r="T158" s="164">
        <f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5" t="s">
        <v>185</v>
      </c>
      <c r="AT158" s="165" t="s">
        <v>181</v>
      </c>
      <c r="AU158" s="165" t="s">
        <v>82</v>
      </c>
      <c r="AY158" s="14" t="s">
        <v>179</v>
      </c>
      <c r="BE158" s="166">
        <f>IF(N158="základná",J158,0)</f>
        <v>0</v>
      </c>
      <c r="BF158" s="166">
        <f>IF(N158="znížená",J158,0)</f>
        <v>0</v>
      </c>
      <c r="BG158" s="166">
        <f>IF(N158="zákl. prenesená",J158,0)</f>
        <v>0</v>
      </c>
      <c r="BH158" s="166">
        <f>IF(N158="zníž. prenesená",J158,0)</f>
        <v>0</v>
      </c>
      <c r="BI158" s="166">
        <f>IF(N158="nulová",J158,0)</f>
        <v>0</v>
      </c>
      <c r="BJ158" s="14" t="s">
        <v>82</v>
      </c>
      <c r="BK158" s="166">
        <f>ROUND(I158*H158,2)</f>
        <v>0</v>
      </c>
      <c r="BL158" s="14" t="s">
        <v>185</v>
      </c>
      <c r="BM158" s="165" t="s">
        <v>225</v>
      </c>
    </row>
    <row r="159" spans="1:65" s="12" customFormat="1" ht="22.9" customHeight="1">
      <c r="B159" s="139"/>
      <c r="D159" s="140" t="s">
        <v>68</v>
      </c>
      <c r="E159" s="150" t="s">
        <v>1405</v>
      </c>
      <c r="F159" s="150" t="s">
        <v>1406</v>
      </c>
      <c r="I159" s="142"/>
      <c r="J159" s="151">
        <v>0</v>
      </c>
      <c r="L159" s="139"/>
      <c r="M159" s="144"/>
      <c r="N159" s="145"/>
      <c r="O159" s="145"/>
      <c r="P159" s="146">
        <f>SUM(P160:P173)</f>
        <v>0</v>
      </c>
      <c r="Q159" s="145"/>
      <c r="R159" s="146">
        <f>SUM(R160:R173)</f>
        <v>0</v>
      </c>
      <c r="S159" s="145"/>
      <c r="T159" s="147">
        <f>SUM(T160:T173)</f>
        <v>0</v>
      </c>
      <c r="AR159" s="140" t="s">
        <v>76</v>
      </c>
      <c r="AT159" s="148" t="s">
        <v>68</v>
      </c>
      <c r="AU159" s="148" t="s">
        <v>76</v>
      </c>
      <c r="AY159" s="140" t="s">
        <v>179</v>
      </c>
      <c r="BK159" s="149">
        <f>SUM(BK160:BK173)</f>
        <v>0</v>
      </c>
    </row>
    <row r="160" spans="1:65" s="2" customFormat="1" ht="24.2" customHeight="1">
      <c r="A160" s="29"/>
      <c r="B160" s="152"/>
      <c r="C160" s="153" t="s">
        <v>205</v>
      </c>
      <c r="D160" s="153" t="s">
        <v>181</v>
      </c>
      <c r="E160" s="154" t="s">
        <v>1407</v>
      </c>
      <c r="F160" s="155" t="s">
        <v>1408</v>
      </c>
      <c r="G160" s="156" t="s">
        <v>217</v>
      </c>
      <c r="H160" s="157">
        <v>1</v>
      </c>
      <c r="I160" s="158"/>
      <c r="J160" s="151">
        <v>0</v>
      </c>
      <c r="K160" s="160"/>
      <c r="L160" s="30"/>
      <c r="M160" s="161" t="s">
        <v>1</v>
      </c>
      <c r="N160" s="162" t="s">
        <v>35</v>
      </c>
      <c r="O160" s="58"/>
      <c r="P160" s="163">
        <f t="shared" ref="P160:P173" si="9">O160*H160</f>
        <v>0</v>
      </c>
      <c r="Q160" s="163">
        <v>0</v>
      </c>
      <c r="R160" s="163">
        <f t="shared" ref="R160:R173" si="10">Q160*H160</f>
        <v>0</v>
      </c>
      <c r="S160" s="163">
        <v>0</v>
      </c>
      <c r="T160" s="164">
        <f t="shared" ref="T160:T173" si="11"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5" t="s">
        <v>185</v>
      </c>
      <c r="AT160" s="165" t="s">
        <v>181</v>
      </c>
      <c r="AU160" s="165" t="s">
        <v>82</v>
      </c>
      <c r="AY160" s="14" t="s">
        <v>179</v>
      </c>
      <c r="BE160" s="166">
        <f t="shared" ref="BE160:BE173" si="12">IF(N160="základná",J160,0)</f>
        <v>0</v>
      </c>
      <c r="BF160" s="166">
        <f t="shared" ref="BF160:BF173" si="13">IF(N160="znížená",J160,0)</f>
        <v>0</v>
      </c>
      <c r="BG160" s="166">
        <f t="shared" ref="BG160:BG173" si="14">IF(N160="zákl. prenesená",J160,0)</f>
        <v>0</v>
      </c>
      <c r="BH160" s="166">
        <f t="shared" ref="BH160:BH173" si="15">IF(N160="zníž. prenesená",J160,0)</f>
        <v>0</v>
      </c>
      <c r="BI160" s="166">
        <f t="shared" ref="BI160:BI173" si="16">IF(N160="nulová",J160,0)</f>
        <v>0</v>
      </c>
      <c r="BJ160" s="14" t="s">
        <v>82</v>
      </c>
      <c r="BK160" s="166">
        <f t="shared" ref="BK160:BK173" si="17">ROUND(I160*H160,2)</f>
        <v>0</v>
      </c>
      <c r="BL160" s="14" t="s">
        <v>185</v>
      </c>
      <c r="BM160" s="165" t="s">
        <v>228</v>
      </c>
    </row>
    <row r="161" spans="1:65" s="2" customFormat="1" ht="24.2" customHeight="1">
      <c r="A161" s="29"/>
      <c r="B161" s="152"/>
      <c r="C161" s="153" t="s">
        <v>229</v>
      </c>
      <c r="D161" s="153" t="s">
        <v>181</v>
      </c>
      <c r="E161" s="154" t="s">
        <v>1409</v>
      </c>
      <c r="F161" s="155" t="s">
        <v>1408</v>
      </c>
      <c r="G161" s="156" t="s">
        <v>217</v>
      </c>
      <c r="H161" s="157">
        <v>1</v>
      </c>
      <c r="I161" s="158"/>
      <c r="J161" s="151">
        <v>0</v>
      </c>
      <c r="K161" s="160"/>
      <c r="L161" s="30"/>
      <c r="M161" s="161" t="s">
        <v>1</v>
      </c>
      <c r="N161" s="162" t="s">
        <v>35</v>
      </c>
      <c r="O161" s="58"/>
      <c r="P161" s="163">
        <f t="shared" si="9"/>
        <v>0</v>
      </c>
      <c r="Q161" s="163">
        <v>0</v>
      </c>
      <c r="R161" s="163">
        <f t="shared" si="10"/>
        <v>0</v>
      </c>
      <c r="S161" s="163">
        <v>0</v>
      </c>
      <c r="T161" s="164">
        <f t="shared" si="11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5" t="s">
        <v>185</v>
      </c>
      <c r="AT161" s="165" t="s">
        <v>181</v>
      </c>
      <c r="AU161" s="165" t="s">
        <v>82</v>
      </c>
      <c r="AY161" s="14" t="s">
        <v>179</v>
      </c>
      <c r="BE161" s="166">
        <f t="shared" si="12"/>
        <v>0</v>
      </c>
      <c r="BF161" s="166">
        <f t="shared" si="13"/>
        <v>0</v>
      </c>
      <c r="BG161" s="166">
        <f t="shared" si="14"/>
        <v>0</v>
      </c>
      <c r="BH161" s="166">
        <f t="shared" si="15"/>
        <v>0</v>
      </c>
      <c r="BI161" s="166">
        <f t="shared" si="16"/>
        <v>0</v>
      </c>
      <c r="BJ161" s="14" t="s">
        <v>82</v>
      </c>
      <c r="BK161" s="166">
        <f t="shared" si="17"/>
        <v>0</v>
      </c>
      <c r="BL161" s="14" t="s">
        <v>185</v>
      </c>
      <c r="BM161" s="165" t="s">
        <v>232</v>
      </c>
    </row>
    <row r="162" spans="1:65" s="2" customFormat="1" ht="24.2" customHeight="1">
      <c r="A162" s="29"/>
      <c r="B162" s="152"/>
      <c r="C162" s="153" t="s">
        <v>210</v>
      </c>
      <c r="D162" s="153" t="s">
        <v>181</v>
      </c>
      <c r="E162" s="154" t="s">
        <v>1410</v>
      </c>
      <c r="F162" s="155" t="s">
        <v>1408</v>
      </c>
      <c r="G162" s="156" t="s">
        <v>217</v>
      </c>
      <c r="H162" s="157">
        <v>1</v>
      </c>
      <c r="I162" s="158"/>
      <c r="J162" s="151">
        <v>0</v>
      </c>
      <c r="K162" s="160"/>
      <c r="L162" s="30"/>
      <c r="M162" s="161" t="s">
        <v>1</v>
      </c>
      <c r="N162" s="162" t="s">
        <v>35</v>
      </c>
      <c r="O162" s="58"/>
      <c r="P162" s="163">
        <f t="shared" si="9"/>
        <v>0</v>
      </c>
      <c r="Q162" s="163">
        <v>0</v>
      </c>
      <c r="R162" s="163">
        <f t="shared" si="10"/>
        <v>0</v>
      </c>
      <c r="S162" s="163">
        <v>0</v>
      </c>
      <c r="T162" s="164">
        <f t="shared" si="11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5" t="s">
        <v>185</v>
      </c>
      <c r="AT162" s="165" t="s">
        <v>181</v>
      </c>
      <c r="AU162" s="165" t="s">
        <v>82</v>
      </c>
      <c r="AY162" s="14" t="s">
        <v>179</v>
      </c>
      <c r="BE162" s="166">
        <f t="shared" si="12"/>
        <v>0</v>
      </c>
      <c r="BF162" s="166">
        <f t="shared" si="13"/>
        <v>0</v>
      </c>
      <c r="BG162" s="166">
        <f t="shared" si="14"/>
        <v>0</v>
      </c>
      <c r="BH162" s="166">
        <f t="shared" si="15"/>
        <v>0</v>
      </c>
      <c r="BI162" s="166">
        <f t="shared" si="16"/>
        <v>0</v>
      </c>
      <c r="BJ162" s="14" t="s">
        <v>82</v>
      </c>
      <c r="BK162" s="166">
        <f t="shared" si="17"/>
        <v>0</v>
      </c>
      <c r="BL162" s="14" t="s">
        <v>185</v>
      </c>
      <c r="BM162" s="165" t="s">
        <v>235</v>
      </c>
    </row>
    <row r="163" spans="1:65" s="2" customFormat="1" ht="24.2" customHeight="1">
      <c r="A163" s="29"/>
      <c r="B163" s="152"/>
      <c r="C163" s="153" t="s">
        <v>236</v>
      </c>
      <c r="D163" s="153" t="s">
        <v>181</v>
      </c>
      <c r="E163" s="154" t="s">
        <v>1411</v>
      </c>
      <c r="F163" s="155" t="s">
        <v>1408</v>
      </c>
      <c r="G163" s="156" t="s">
        <v>217</v>
      </c>
      <c r="H163" s="157">
        <v>1</v>
      </c>
      <c r="I163" s="158"/>
      <c r="J163" s="151">
        <v>0</v>
      </c>
      <c r="K163" s="160"/>
      <c r="L163" s="30"/>
      <c r="M163" s="161" t="s">
        <v>1</v>
      </c>
      <c r="N163" s="162" t="s">
        <v>35</v>
      </c>
      <c r="O163" s="58"/>
      <c r="P163" s="163">
        <f t="shared" si="9"/>
        <v>0</v>
      </c>
      <c r="Q163" s="163">
        <v>0</v>
      </c>
      <c r="R163" s="163">
        <f t="shared" si="10"/>
        <v>0</v>
      </c>
      <c r="S163" s="163">
        <v>0</v>
      </c>
      <c r="T163" s="164">
        <f t="shared" si="11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5" t="s">
        <v>185</v>
      </c>
      <c r="AT163" s="165" t="s">
        <v>181</v>
      </c>
      <c r="AU163" s="165" t="s">
        <v>82</v>
      </c>
      <c r="AY163" s="14" t="s">
        <v>179</v>
      </c>
      <c r="BE163" s="166">
        <f t="shared" si="12"/>
        <v>0</v>
      </c>
      <c r="BF163" s="166">
        <f t="shared" si="13"/>
        <v>0</v>
      </c>
      <c r="BG163" s="166">
        <f t="shared" si="14"/>
        <v>0</v>
      </c>
      <c r="BH163" s="166">
        <f t="shared" si="15"/>
        <v>0</v>
      </c>
      <c r="BI163" s="166">
        <f t="shared" si="16"/>
        <v>0</v>
      </c>
      <c r="BJ163" s="14" t="s">
        <v>82</v>
      </c>
      <c r="BK163" s="166">
        <f t="shared" si="17"/>
        <v>0</v>
      </c>
      <c r="BL163" s="14" t="s">
        <v>185</v>
      </c>
      <c r="BM163" s="165" t="s">
        <v>239</v>
      </c>
    </row>
    <row r="164" spans="1:65" s="2" customFormat="1" ht="24.2" customHeight="1">
      <c r="A164" s="29"/>
      <c r="B164" s="152"/>
      <c r="C164" s="153" t="s">
        <v>213</v>
      </c>
      <c r="D164" s="153" t="s">
        <v>181</v>
      </c>
      <c r="E164" s="154" t="s">
        <v>1412</v>
      </c>
      <c r="F164" s="155" t="s">
        <v>1413</v>
      </c>
      <c r="G164" s="156" t="s">
        <v>217</v>
      </c>
      <c r="H164" s="157">
        <v>1</v>
      </c>
      <c r="I164" s="158"/>
      <c r="J164" s="151">
        <v>0</v>
      </c>
      <c r="K164" s="160"/>
      <c r="L164" s="30"/>
      <c r="M164" s="161" t="s">
        <v>1</v>
      </c>
      <c r="N164" s="162" t="s">
        <v>35</v>
      </c>
      <c r="O164" s="58"/>
      <c r="P164" s="163">
        <f t="shared" si="9"/>
        <v>0</v>
      </c>
      <c r="Q164" s="163">
        <v>0</v>
      </c>
      <c r="R164" s="163">
        <f t="shared" si="10"/>
        <v>0</v>
      </c>
      <c r="S164" s="163">
        <v>0</v>
      </c>
      <c r="T164" s="164">
        <f t="shared" si="11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5" t="s">
        <v>185</v>
      </c>
      <c r="AT164" s="165" t="s">
        <v>181</v>
      </c>
      <c r="AU164" s="165" t="s">
        <v>82</v>
      </c>
      <c r="AY164" s="14" t="s">
        <v>179</v>
      </c>
      <c r="BE164" s="166">
        <f t="shared" si="12"/>
        <v>0</v>
      </c>
      <c r="BF164" s="166">
        <f t="shared" si="13"/>
        <v>0</v>
      </c>
      <c r="BG164" s="166">
        <f t="shared" si="14"/>
        <v>0</v>
      </c>
      <c r="BH164" s="166">
        <f t="shared" si="15"/>
        <v>0</v>
      </c>
      <c r="BI164" s="166">
        <f t="shared" si="16"/>
        <v>0</v>
      </c>
      <c r="BJ164" s="14" t="s">
        <v>82</v>
      </c>
      <c r="BK164" s="166">
        <f t="shared" si="17"/>
        <v>0</v>
      </c>
      <c r="BL164" s="14" t="s">
        <v>185</v>
      </c>
      <c r="BM164" s="165" t="s">
        <v>242</v>
      </c>
    </row>
    <row r="165" spans="1:65" s="2" customFormat="1" ht="37.9" customHeight="1">
      <c r="A165" s="29"/>
      <c r="B165" s="152"/>
      <c r="C165" s="153" t="s">
        <v>243</v>
      </c>
      <c r="D165" s="153" t="s">
        <v>181</v>
      </c>
      <c r="E165" s="154" t="s">
        <v>1414</v>
      </c>
      <c r="F165" s="155" t="s">
        <v>1415</v>
      </c>
      <c r="G165" s="156" t="s">
        <v>217</v>
      </c>
      <c r="H165" s="157">
        <v>1</v>
      </c>
      <c r="I165" s="158"/>
      <c r="J165" s="151">
        <v>0</v>
      </c>
      <c r="K165" s="160"/>
      <c r="L165" s="30"/>
      <c r="M165" s="161" t="s">
        <v>1</v>
      </c>
      <c r="N165" s="162" t="s">
        <v>35</v>
      </c>
      <c r="O165" s="58"/>
      <c r="P165" s="163">
        <f t="shared" si="9"/>
        <v>0</v>
      </c>
      <c r="Q165" s="163">
        <v>0</v>
      </c>
      <c r="R165" s="163">
        <f t="shared" si="10"/>
        <v>0</v>
      </c>
      <c r="S165" s="163">
        <v>0</v>
      </c>
      <c r="T165" s="164">
        <f t="shared" si="11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5" t="s">
        <v>185</v>
      </c>
      <c r="AT165" s="165" t="s">
        <v>181</v>
      </c>
      <c r="AU165" s="165" t="s">
        <v>82</v>
      </c>
      <c r="AY165" s="14" t="s">
        <v>179</v>
      </c>
      <c r="BE165" s="166">
        <f t="shared" si="12"/>
        <v>0</v>
      </c>
      <c r="BF165" s="166">
        <f t="shared" si="13"/>
        <v>0</v>
      </c>
      <c r="BG165" s="166">
        <f t="shared" si="14"/>
        <v>0</v>
      </c>
      <c r="BH165" s="166">
        <f t="shared" si="15"/>
        <v>0</v>
      </c>
      <c r="BI165" s="166">
        <f t="shared" si="16"/>
        <v>0</v>
      </c>
      <c r="BJ165" s="14" t="s">
        <v>82</v>
      </c>
      <c r="BK165" s="166">
        <f t="shared" si="17"/>
        <v>0</v>
      </c>
      <c r="BL165" s="14" t="s">
        <v>185</v>
      </c>
      <c r="BM165" s="165" t="s">
        <v>246</v>
      </c>
    </row>
    <row r="166" spans="1:65" s="2" customFormat="1" ht="24.2" customHeight="1">
      <c r="A166" s="29"/>
      <c r="B166" s="152"/>
      <c r="C166" s="153" t="s">
        <v>218</v>
      </c>
      <c r="D166" s="153" t="s">
        <v>181</v>
      </c>
      <c r="E166" s="154" t="s">
        <v>1416</v>
      </c>
      <c r="F166" s="155" t="s">
        <v>1417</v>
      </c>
      <c r="G166" s="156" t="s">
        <v>217</v>
      </c>
      <c r="H166" s="157">
        <v>1</v>
      </c>
      <c r="I166" s="158"/>
      <c r="J166" s="151">
        <v>0</v>
      </c>
      <c r="K166" s="160"/>
      <c r="L166" s="30"/>
      <c r="M166" s="161" t="s">
        <v>1</v>
      </c>
      <c r="N166" s="162" t="s">
        <v>35</v>
      </c>
      <c r="O166" s="58"/>
      <c r="P166" s="163">
        <f t="shared" si="9"/>
        <v>0</v>
      </c>
      <c r="Q166" s="163">
        <v>0</v>
      </c>
      <c r="R166" s="163">
        <f t="shared" si="10"/>
        <v>0</v>
      </c>
      <c r="S166" s="163">
        <v>0</v>
      </c>
      <c r="T166" s="164">
        <f t="shared" si="11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5" t="s">
        <v>185</v>
      </c>
      <c r="AT166" s="165" t="s">
        <v>181</v>
      </c>
      <c r="AU166" s="165" t="s">
        <v>82</v>
      </c>
      <c r="AY166" s="14" t="s">
        <v>179</v>
      </c>
      <c r="BE166" s="166">
        <f t="shared" si="12"/>
        <v>0</v>
      </c>
      <c r="BF166" s="166">
        <f t="shared" si="13"/>
        <v>0</v>
      </c>
      <c r="BG166" s="166">
        <f t="shared" si="14"/>
        <v>0</v>
      </c>
      <c r="BH166" s="166">
        <f t="shared" si="15"/>
        <v>0</v>
      </c>
      <c r="BI166" s="166">
        <f t="shared" si="16"/>
        <v>0</v>
      </c>
      <c r="BJ166" s="14" t="s">
        <v>82</v>
      </c>
      <c r="BK166" s="166">
        <f t="shared" si="17"/>
        <v>0</v>
      </c>
      <c r="BL166" s="14" t="s">
        <v>185</v>
      </c>
      <c r="BM166" s="165" t="s">
        <v>250</v>
      </c>
    </row>
    <row r="167" spans="1:65" s="2" customFormat="1" ht="37.9" customHeight="1">
      <c r="A167" s="29"/>
      <c r="B167" s="152"/>
      <c r="C167" s="153" t="s">
        <v>251</v>
      </c>
      <c r="D167" s="153" t="s">
        <v>181</v>
      </c>
      <c r="E167" s="154" t="s">
        <v>1418</v>
      </c>
      <c r="F167" s="155" t="s">
        <v>1415</v>
      </c>
      <c r="G167" s="156" t="s">
        <v>217</v>
      </c>
      <c r="H167" s="157">
        <v>1</v>
      </c>
      <c r="I167" s="158"/>
      <c r="J167" s="151">
        <v>0</v>
      </c>
      <c r="K167" s="160"/>
      <c r="L167" s="30"/>
      <c r="M167" s="161" t="s">
        <v>1</v>
      </c>
      <c r="N167" s="162" t="s">
        <v>35</v>
      </c>
      <c r="O167" s="58"/>
      <c r="P167" s="163">
        <f t="shared" si="9"/>
        <v>0</v>
      </c>
      <c r="Q167" s="163">
        <v>0</v>
      </c>
      <c r="R167" s="163">
        <f t="shared" si="10"/>
        <v>0</v>
      </c>
      <c r="S167" s="163">
        <v>0</v>
      </c>
      <c r="T167" s="164">
        <f t="shared" si="11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5" t="s">
        <v>185</v>
      </c>
      <c r="AT167" s="165" t="s">
        <v>181</v>
      </c>
      <c r="AU167" s="165" t="s">
        <v>82</v>
      </c>
      <c r="AY167" s="14" t="s">
        <v>179</v>
      </c>
      <c r="BE167" s="166">
        <f t="shared" si="12"/>
        <v>0</v>
      </c>
      <c r="BF167" s="166">
        <f t="shared" si="13"/>
        <v>0</v>
      </c>
      <c r="BG167" s="166">
        <f t="shared" si="14"/>
        <v>0</v>
      </c>
      <c r="BH167" s="166">
        <f t="shared" si="15"/>
        <v>0</v>
      </c>
      <c r="BI167" s="166">
        <f t="shared" si="16"/>
        <v>0</v>
      </c>
      <c r="BJ167" s="14" t="s">
        <v>82</v>
      </c>
      <c r="BK167" s="166">
        <f t="shared" si="17"/>
        <v>0</v>
      </c>
      <c r="BL167" s="14" t="s">
        <v>185</v>
      </c>
      <c r="BM167" s="165" t="s">
        <v>254</v>
      </c>
    </row>
    <row r="168" spans="1:65" s="2" customFormat="1" ht="24.2" customHeight="1">
      <c r="A168" s="29"/>
      <c r="B168" s="152"/>
      <c r="C168" s="153" t="s">
        <v>221</v>
      </c>
      <c r="D168" s="153" t="s">
        <v>181</v>
      </c>
      <c r="E168" s="154" t="s">
        <v>1419</v>
      </c>
      <c r="F168" s="155" t="s">
        <v>1417</v>
      </c>
      <c r="G168" s="156" t="s">
        <v>217</v>
      </c>
      <c r="H168" s="157">
        <v>1</v>
      </c>
      <c r="I168" s="158"/>
      <c r="J168" s="151">
        <v>0</v>
      </c>
      <c r="K168" s="160"/>
      <c r="L168" s="30"/>
      <c r="M168" s="161" t="s">
        <v>1</v>
      </c>
      <c r="N168" s="162" t="s">
        <v>35</v>
      </c>
      <c r="O168" s="58"/>
      <c r="P168" s="163">
        <f t="shared" si="9"/>
        <v>0</v>
      </c>
      <c r="Q168" s="163">
        <v>0</v>
      </c>
      <c r="R168" s="163">
        <f t="shared" si="10"/>
        <v>0</v>
      </c>
      <c r="S168" s="163">
        <v>0</v>
      </c>
      <c r="T168" s="164">
        <f t="shared" si="11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5" t="s">
        <v>185</v>
      </c>
      <c r="AT168" s="165" t="s">
        <v>181</v>
      </c>
      <c r="AU168" s="165" t="s">
        <v>82</v>
      </c>
      <c r="AY168" s="14" t="s">
        <v>179</v>
      </c>
      <c r="BE168" s="166">
        <f t="shared" si="12"/>
        <v>0</v>
      </c>
      <c r="BF168" s="166">
        <f t="shared" si="13"/>
        <v>0</v>
      </c>
      <c r="BG168" s="166">
        <f t="shared" si="14"/>
        <v>0</v>
      </c>
      <c r="BH168" s="166">
        <f t="shared" si="15"/>
        <v>0</v>
      </c>
      <c r="BI168" s="166">
        <f t="shared" si="16"/>
        <v>0</v>
      </c>
      <c r="BJ168" s="14" t="s">
        <v>82</v>
      </c>
      <c r="BK168" s="166">
        <f t="shared" si="17"/>
        <v>0</v>
      </c>
      <c r="BL168" s="14" t="s">
        <v>185</v>
      </c>
      <c r="BM168" s="165" t="s">
        <v>257</v>
      </c>
    </row>
    <row r="169" spans="1:65" s="2" customFormat="1" ht="37.9" customHeight="1">
      <c r="A169" s="29"/>
      <c r="B169" s="152"/>
      <c r="C169" s="153" t="s">
        <v>258</v>
      </c>
      <c r="D169" s="153" t="s">
        <v>181</v>
      </c>
      <c r="E169" s="154" t="s">
        <v>1420</v>
      </c>
      <c r="F169" s="155" t="s">
        <v>1415</v>
      </c>
      <c r="G169" s="156" t="s">
        <v>217</v>
      </c>
      <c r="H169" s="157">
        <v>1</v>
      </c>
      <c r="I169" s="158"/>
      <c r="J169" s="151">
        <v>0</v>
      </c>
      <c r="K169" s="160"/>
      <c r="L169" s="30"/>
      <c r="M169" s="161" t="s">
        <v>1</v>
      </c>
      <c r="N169" s="162" t="s">
        <v>35</v>
      </c>
      <c r="O169" s="58"/>
      <c r="P169" s="163">
        <f t="shared" si="9"/>
        <v>0</v>
      </c>
      <c r="Q169" s="163">
        <v>0</v>
      </c>
      <c r="R169" s="163">
        <f t="shared" si="10"/>
        <v>0</v>
      </c>
      <c r="S169" s="163">
        <v>0</v>
      </c>
      <c r="T169" s="164">
        <f t="shared" si="11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5" t="s">
        <v>185</v>
      </c>
      <c r="AT169" s="165" t="s">
        <v>181</v>
      </c>
      <c r="AU169" s="165" t="s">
        <v>82</v>
      </c>
      <c r="AY169" s="14" t="s">
        <v>179</v>
      </c>
      <c r="BE169" s="166">
        <f t="shared" si="12"/>
        <v>0</v>
      </c>
      <c r="BF169" s="166">
        <f t="shared" si="13"/>
        <v>0</v>
      </c>
      <c r="BG169" s="166">
        <f t="shared" si="14"/>
        <v>0</v>
      </c>
      <c r="BH169" s="166">
        <f t="shared" si="15"/>
        <v>0</v>
      </c>
      <c r="BI169" s="166">
        <f t="shared" si="16"/>
        <v>0</v>
      </c>
      <c r="BJ169" s="14" t="s">
        <v>82</v>
      </c>
      <c r="BK169" s="166">
        <f t="shared" si="17"/>
        <v>0</v>
      </c>
      <c r="BL169" s="14" t="s">
        <v>185</v>
      </c>
      <c r="BM169" s="165" t="s">
        <v>261</v>
      </c>
    </row>
    <row r="170" spans="1:65" s="2" customFormat="1" ht="24.2" customHeight="1">
      <c r="A170" s="29"/>
      <c r="B170" s="152"/>
      <c r="C170" s="153" t="s">
        <v>225</v>
      </c>
      <c r="D170" s="153" t="s">
        <v>181</v>
      </c>
      <c r="E170" s="154" t="s">
        <v>1421</v>
      </c>
      <c r="F170" s="155" t="s">
        <v>1422</v>
      </c>
      <c r="G170" s="156" t="s">
        <v>217</v>
      </c>
      <c r="H170" s="157">
        <v>1</v>
      </c>
      <c r="I170" s="158"/>
      <c r="J170" s="151">
        <v>0</v>
      </c>
      <c r="K170" s="160"/>
      <c r="L170" s="30"/>
      <c r="M170" s="161" t="s">
        <v>1</v>
      </c>
      <c r="N170" s="162" t="s">
        <v>35</v>
      </c>
      <c r="O170" s="58"/>
      <c r="P170" s="163">
        <f t="shared" si="9"/>
        <v>0</v>
      </c>
      <c r="Q170" s="163">
        <v>0</v>
      </c>
      <c r="R170" s="163">
        <f t="shared" si="10"/>
        <v>0</v>
      </c>
      <c r="S170" s="163">
        <v>0</v>
      </c>
      <c r="T170" s="164">
        <f t="shared" si="11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5" t="s">
        <v>185</v>
      </c>
      <c r="AT170" s="165" t="s">
        <v>181</v>
      </c>
      <c r="AU170" s="165" t="s">
        <v>82</v>
      </c>
      <c r="AY170" s="14" t="s">
        <v>179</v>
      </c>
      <c r="BE170" s="166">
        <f t="shared" si="12"/>
        <v>0</v>
      </c>
      <c r="BF170" s="166">
        <f t="shared" si="13"/>
        <v>0</v>
      </c>
      <c r="BG170" s="166">
        <f t="shared" si="14"/>
        <v>0</v>
      </c>
      <c r="BH170" s="166">
        <f t="shared" si="15"/>
        <v>0</v>
      </c>
      <c r="BI170" s="166">
        <f t="shared" si="16"/>
        <v>0</v>
      </c>
      <c r="BJ170" s="14" t="s">
        <v>82</v>
      </c>
      <c r="BK170" s="166">
        <f t="shared" si="17"/>
        <v>0</v>
      </c>
      <c r="BL170" s="14" t="s">
        <v>185</v>
      </c>
      <c r="BM170" s="165" t="s">
        <v>265</v>
      </c>
    </row>
    <row r="171" spans="1:65" s="2" customFormat="1" ht="24.2" customHeight="1">
      <c r="A171" s="29"/>
      <c r="B171" s="152"/>
      <c r="C171" s="153" t="s">
        <v>7</v>
      </c>
      <c r="D171" s="153" t="s">
        <v>181</v>
      </c>
      <c r="E171" s="154" t="s">
        <v>1423</v>
      </c>
      <c r="F171" s="155" t="s">
        <v>1422</v>
      </c>
      <c r="G171" s="156" t="s">
        <v>217</v>
      </c>
      <c r="H171" s="157">
        <v>1</v>
      </c>
      <c r="I171" s="158"/>
      <c r="J171" s="151">
        <v>0</v>
      </c>
      <c r="K171" s="160"/>
      <c r="L171" s="30"/>
      <c r="M171" s="161" t="s">
        <v>1</v>
      </c>
      <c r="N171" s="162" t="s">
        <v>35</v>
      </c>
      <c r="O171" s="58"/>
      <c r="P171" s="163">
        <f t="shared" si="9"/>
        <v>0</v>
      </c>
      <c r="Q171" s="163">
        <v>0</v>
      </c>
      <c r="R171" s="163">
        <f t="shared" si="10"/>
        <v>0</v>
      </c>
      <c r="S171" s="163">
        <v>0</v>
      </c>
      <c r="T171" s="164">
        <f t="shared" si="11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5" t="s">
        <v>185</v>
      </c>
      <c r="AT171" s="165" t="s">
        <v>181</v>
      </c>
      <c r="AU171" s="165" t="s">
        <v>82</v>
      </c>
      <c r="AY171" s="14" t="s">
        <v>179</v>
      </c>
      <c r="BE171" s="166">
        <f t="shared" si="12"/>
        <v>0</v>
      </c>
      <c r="BF171" s="166">
        <f t="shared" si="13"/>
        <v>0</v>
      </c>
      <c r="BG171" s="166">
        <f t="shared" si="14"/>
        <v>0</v>
      </c>
      <c r="BH171" s="166">
        <f t="shared" si="15"/>
        <v>0</v>
      </c>
      <c r="BI171" s="166">
        <f t="shared" si="16"/>
        <v>0</v>
      </c>
      <c r="BJ171" s="14" t="s">
        <v>82</v>
      </c>
      <c r="BK171" s="166">
        <f t="shared" si="17"/>
        <v>0</v>
      </c>
      <c r="BL171" s="14" t="s">
        <v>185</v>
      </c>
      <c r="BM171" s="165" t="s">
        <v>268</v>
      </c>
    </row>
    <row r="172" spans="1:65" s="2" customFormat="1" ht="24.2" customHeight="1">
      <c r="A172" s="29"/>
      <c r="B172" s="152"/>
      <c r="C172" s="153" t="s">
        <v>228</v>
      </c>
      <c r="D172" s="153" t="s">
        <v>181</v>
      </c>
      <c r="E172" s="154" t="s">
        <v>1424</v>
      </c>
      <c r="F172" s="155" t="s">
        <v>1422</v>
      </c>
      <c r="G172" s="156" t="s">
        <v>217</v>
      </c>
      <c r="H172" s="157">
        <v>1</v>
      </c>
      <c r="I172" s="158"/>
      <c r="J172" s="151">
        <v>0</v>
      </c>
      <c r="K172" s="160"/>
      <c r="L172" s="30"/>
      <c r="M172" s="161" t="s">
        <v>1</v>
      </c>
      <c r="N172" s="162" t="s">
        <v>35</v>
      </c>
      <c r="O172" s="58"/>
      <c r="P172" s="163">
        <f t="shared" si="9"/>
        <v>0</v>
      </c>
      <c r="Q172" s="163">
        <v>0</v>
      </c>
      <c r="R172" s="163">
        <f t="shared" si="10"/>
        <v>0</v>
      </c>
      <c r="S172" s="163">
        <v>0</v>
      </c>
      <c r="T172" s="164">
        <f t="shared" si="11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5" t="s">
        <v>185</v>
      </c>
      <c r="AT172" s="165" t="s">
        <v>181</v>
      </c>
      <c r="AU172" s="165" t="s">
        <v>82</v>
      </c>
      <c r="AY172" s="14" t="s">
        <v>179</v>
      </c>
      <c r="BE172" s="166">
        <f t="shared" si="12"/>
        <v>0</v>
      </c>
      <c r="BF172" s="166">
        <f t="shared" si="13"/>
        <v>0</v>
      </c>
      <c r="BG172" s="166">
        <f t="shared" si="14"/>
        <v>0</v>
      </c>
      <c r="BH172" s="166">
        <f t="shared" si="15"/>
        <v>0</v>
      </c>
      <c r="BI172" s="166">
        <f t="shared" si="16"/>
        <v>0</v>
      </c>
      <c r="BJ172" s="14" t="s">
        <v>82</v>
      </c>
      <c r="BK172" s="166">
        <f t="shared" si="17"/>
        <v>0</v>
      </c>
      <c r="BL172" s="14" t="s">
        <v>185</v>
      </c>
      <c r="BM172" s="165" t="s">
        <v>271</v>
      </c>
    </row>
    <row r="173" spans="1:65" s="2" customFormat="1" ht="24.2" customHeight="1">
      <c r="A173" s="29"/>
      <c r="B173" s="152"/>
      <c r="C173" s="153" t="s">
        <v>272</v>
      </c>
      <c r="D173" s="153" t="s">
        <v>181</v>
      </c>
      <c r="E173" s="154" t="s">
        <v>1425</v>
      </c>
      <c r="F173" s="155" t="s">
        <v>1422</v>
      </c>
      <c r="G173" s="156" t="s">
        <v>217</v>
      </c>
      <c r="H173" s="157">
        <v>1</v>
      </c>
      <c r="I173" s="158"/>
      <c r="J173" s="151">
        <v>0</v>
      </c>
      <c r="K173" s="160"/>
      <c r="L173" s="30"/>
      <c r="M173" s="161" t="s">
        <v>1</v>
      </c>
      <c r="N173" s="162" t="s">
        <v>35</v>
      </c>
      <c r="O173" s="58"/>
      <c r="P173" s="163">
        <f t="shared" si="9"/>
        <v>0</v>
      </c>
      <c r="Q173" s="163">
        <v>0</v>
      </c>
      <c r="R173" s="163">
        <f t="shared" si="10"/>
        <v>0</v>
      </c>
      <c r="S173" s="163">
        <v>0</v>
      </c>
      <c r="T173" s="164">
        <f t="shared" si="11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5" t="s">
        <v>185</v>
      </c>
      <c r="AT173" s="165" t="s">
        <v>181</v>
      </c>
      <c r="AU173" s="165" t="s">
        <v>82</v>
      </c>
      <c r="AY173" s="14" t="s">
        <v>179</v>
      </c>
      <c r="BE173" s="166">
        <f t="shared" si="12"/>
        <v>0</v>
      </c>
      <c r="BF173" s="166">
        <f t="shared" si="13"/>
        <v>0</v>
      </c>
      <c r="BG173" s="166">
        <f t="shared" si="14"/>
        <v>0</v>
      </c>
      <c r="BH173" s="166">
        <f t="shared" si="15"/>
        <v>0</v>
      </c>
      <c r="BI173" s="166">
        <f t="shared" si="16"/>
        <v>0</v>
      </c>
      <c r="BJ173" s="14" t="s">
        <v>82</v>
      </c>
      <c r="BK173" s="166">
        <f t="shared" si="17"/>
        <v>0</v>
      </c>
      <c r="BL173" s="14" t="s">
        <v>185</v>
      </c>
      <c r="BM173" s="165" t="s">
        <v>275</v>
      </c>
    </row>
    <row r="174" spans="1:65" s="12" customFormat="1" ht="22.9" customHeight="1">
      <c r="B174" s="139"/>
      <c r="D174" s="140" t="s">
        <v>68</v>
      </c>
      <c r="E174" s="150" t="s">
        <v>1426</v>
      </c>
      <c r="F174" s="150" t="s">
        <v>1427</v>
      </c>
      <c r="I174" s="142"/>
      <c r="J174" s="151">
        <v>0</v>
      </c>
      <c r="L174" s="139"/>
      <c r="M174" s="144"/>
      <c r="N174" s="145"/>
      <c r="O174" s="145"/>
      <c r="P174" s="146">
        <f>SUM(P175:P177)</f>
        <v>0</v>
      </c>
      <c r="Q174" s="145"/>
      <c r="R174" s="146">
        <f>SUM(R175:R177)</f>
        <v>0</v>
      </c>
      <c r="S174" s="145"/>
      <c r="T174" s="147">
        <f>SUM(T175:T177)</f>
        <v>0</v>
      </c>
      <c r="AR174" s="140" t="s">
        <v>76</v>
      </c>
      <c r="AT174" s="148" t="s">
        <v>68</v>
      </c>
      <c r="AU174" s="148" t="s">
        <v>76</v>
      </c>
      <c r="AY174" s="140" t="s">
        <v>179</v>
      </c>
      <c r="BK174" s="149">
        <f>SUM(BK175:BK177)</f>
        <v>0</v>
      </c>
    </row>
    <row r="175" spans="1:65" s="2" customFormat="1" ht="21.75" customHeight="1">
      <c r="A175" s="29"/>
      <c r="B175" s="152"/>
      <c r="C175" s="153" t="s">
        <v>232</v>
      </c>
      <c r="D175" s="153" t="s">
        <v>181</v>
      </c>
      <c r="E175" s="154" t="s">
        <v>1428</v>
      </c>
      <c r="F175" s="155" t="s">
        <v>1429</v>
      </c>
      <c r="G175" s="156" t="s">
        <v>217</v>
      </c>
      <c r="H175" s="157">
        <v>1</v>
      </c>
      <c r="I175" s="158"/>
      <c r="J175" s="151">
        <v>0</v>
      </c>
      <c r="K175" s="160"/>
      <c r="L175" s="30"/>
      <c r="M175" s="161" t="s">
        <v>1</v>
      </c>
      <c r="N175" s="162" t="s">
        <v>35</v>
      </c>
      <c r="O175" s="58"/>
      <c r="P175" s="163">
        <f>O175*H175</f>
        <v>0</v>
      </c>
      <c r="Q175" s="163">
        <v>0</v>
      </c>
      <c r="R175" s="163">
        <f>Q175*H175</f>
        <v>0</v>
      </c>
      <c r="S175" s="163">
        <v>0</v>
      </c>
      <c r="T175" s="164">
        <f>S175*H175</f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5" t="s">
        <v>185</v>
      </c>
      <c r="AT175" s="165" t="s">
        <v>181</v>
      </c>
      <c r="AU175" s="165" t="s">
        <v>82</v>
      </c>
      <c r="AY175" s="14" t="s">
        <v>179</v>
      </c>
      <c r="BE175" s="166">
        <f>IF(N175="základná",J175,0)</f>
        <v>0</v>
      </c>
      <c r="BF175" s="166">
        <f>IF(N175="znížená",J175,0)</f>
        <v>0</v>
      </c>
      <c r="BG175" s="166">
        <f>IF(N175="zákl. prenesená",J175,0)</f>
        <v>0</v>
      </c>
      <c r="BH175" s="166">
        <f>IF(N175="zníž. prenesená",J175,0)</f>
        <v>0</v>
      </c>
      <c r="BI175" s="166">
        <f>IF(N175="nulová",J175,0)</f>
        <v>0</v>
      </c>
      <c r="BJ175" s="14" t="s">
        <v>82</v>
      </c>
      <c r="BK175" s="166">
        <f>ROUND(I175*H175,2)</f>
        <v>0</v>
      </c>
      <c r="BL175" s="14" t="s">
        <v>185</v>
      </c>
      <c r="BM175" s="165" t="s">
        <v>279</v>
      </c>
    </row>
    <row r="176" spans="1:65" s="2" customFormat="1" ht="21.75" customHeight="1">
      <c r="A176" s="29"/>
      <c r="B176" s="152"/>
      <c r="C176" s="153" t="s">
        <v>280</v>
      </c>
      <c r="D176" s="153" t="s">
        <v>181</v>
      </c>
      <c r="E176" s="154" t="s">
        <v>1430</v>
      </c>
      <c r="F176" s="155" t="s">
        <v>1429</v>
      </c>
      <c r="G176" s="156" t="s">
        <v>217</v>
      </c>
      <c r="H176" s="157">
        <v>1</v>
      </c>
      <c r="I176" s="158"/>
      <c r="J176" s="151">
        <v>0</v>
      </c>
      <c r="K176" s="160"/>
      <c r="L176" s="30"/>
      <c r="M176" s="161" t="s">
        <v>1</v>
      </c>
      <c r="N176" s="162" t="s">
        <v>35</v>
      </c>
      <c r="O176" s="58"/>
      <c r="P176" s="163">
        <f>O176*H176</f>
        <v>0</v>
      </c>
      <c r="Q176" s="163">
        <v>0</v>
      </c>
      <c r="R176" s="163">
        <f>Q176*H176</f>
        <v>0</v>
      </c>
      <c r="S176" s="163">
        <v>0</v>
      </c>
      <c r="T176" s="164">
        <f>S176*H176</f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5" t="s">
        <v>185</v>
      </c>
      <c r="AT176" s="165" t="s">
        <v>181</v>
      </c>
      <c r="AU176" s="165" t="s">
        <v>82</v>
      </c>
      <c r="AY176" s="14" t="s">
        <v>179</v>
      </c>
      <c r="BE176" s="166">
        <f>IF(N176="základná",J176,0)</f>
        <v>0</v>
      </c>
      <c r="BF176" s="166">
        <f>IF(N176="znížená",J176,0)</f>
        <v>0</v>
      </c>
      <c r="BG176" s="166">
        <f>IF(N176="zákl. prenesená",J176,0)</f>
        <v>0</v>
      </c>
      <c r="BH176" s="166">
        <f>IF(N176="zníž. prenesená",J176,0)</f>
        <v>0</v>
      </c>
      <c r="BI176" s="166">
        <f>IF(N176="nulová",J176,0)</f>
        <v>0</v>
      </c>
      <c r="BJ176" s="14" t="s">
        <v>82</v>
      </c>
      <c r="BK176" s="166">
        <f>ROUND(I176*H176,2)</f>
        <v>0</v>
      </c>
      <c r="BL176" s="14" t="s">
        <v>185</v>
      </c>
      <c r="BM176" s="165" t="s">
        <v>283</v>
      </c>
    </row>
    <row r="177" spans="1:65" s="2" customFormat="1" ht="21.75" customHeight="1">
      <c r="A177" s="29"/>
      <c r="B177" s="152"/>
      <c r="C177" s="153" t="s">
        <v>235</v>
      </c>
      <c r="D177" s="153" t="s">
        <v>181</v>
      </c>
      <c r="E177" s="154" t="s">
        <v>1431</v>
      </c>
      <c r="F177" s="155" t="s">
        <v>1429</v>
      </c>
      <c r="G177" s="156" t="s">
        <v>217</v>
      </c>
      <c r="H177" s="157">
        <v>1</v>
      </c>
      <c r="I177" s="158"/>
      <c r="J177" s="151">
        <v>0</v>
      </c>
      <c r="K177" s="160"/>
      <c r="L177" s="30"/>
      <c r="M177" s="161" t="s">
        <v>1</v>
      </c>
      <c r="N177" s="162" t="s">
        <v>35</v>
      </c>
      <c r="O177" s="58"/>
      <c r="P177" s="163">
        <f>O177*H177</f>
        <v>0</v>
      </c>
      <c r="Q177" s="163">
        <v>0</v>
      </c>
      <c r="R177" s="163">
        <f>Q177*H177</f>
        <v>0</v>
      </c>
      <c r="S177" s="163">
        <v>0</v>
      </c>
      <c r="T177" s="164">
        <f>S177*H177</f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5" t="s">
        <v>185</v>
      </c>
      <c r="AT177" s="165" t="s">
        <v>181</v>
      </c>
      <c r="AU177" s="165" t="s">
        <v>82</v>
      </c>
      <c r="AY177" s="14" t="s">
        <v>179</v>
      </c>
      <c r="BE177" s="166">
        <f>IF(N177="základná",J177,0)</f>
        <v>0</v>
      </c>
      <c r="BF177" s="166">
        <f>IF(N177="znížená",J177,0)</f>
        <v>0</v>
      </c>
      <c r="BG177" s="166">
        <f>IF(N177="zákl. prenesená",J177,0)</f>
        <v>0</v>
      </c>
      <c r="BH177" s="166">
        <f>IF(N177="zníž. prenesená",J177,0)</f>
        <v>0</v>
      </c>
      <c r="BI177" s="166">
        <f>IF(N177="nulová",J177,0)</f>
        <v>0</v>
      </c>
      <c r="BJ177" s="14" t="s">
        <v>82</v>
      </c>
      <c r="BK177" s="166">
        <f>ROUND(I177*H177,2)</f>
        <v>0</v>
      </c>
      <c r="BL177" s="14" t="s">
        <v>185</v>
      </c>
      <c r="BM177" s="165" t="s">
        <v>286</v>
      </c>
    </row>
    <row r="178" spans="1:65" s="12" customFormat="1" ht="22.9" customHeight="1">
      <c r="B178" s="139"/>
      <c r="D178" s="140" t="s">
        <v>68</v>
      </c>
      <c r="E178" s="150" t="s">
        <v>1432</v>
      </c>
      <c r="F178" s="150" t="s">
        <v>1433</v>
      </c>
      <c r="I178" s="142"/>
      <c r="J178" s="151">
        <v>0</v>
      </c>
      <c r="L178" s="139"/>
      <c r="M178" s="144"/>
      <c r="N178" s="145"/>
      <c r="O178" s="145"/>
      <c r="P178" s="146">
        <f>SUM(P179:P197)</f>
        <v>0</v>
      </c>
      <c r="Q178" s="145"/>
      <c r="R178" s="146">
        <f>SUM(R179:R197)</f>
        <v>0</v>
      </c>
      <c r="S178" s="145"/>
      <c r="T178" s="147">
        <f>SUM(T179:T197)</f>
        <v>0</v>
      </c>
      <c r="AR178" s="140" t="s">
        <v>76</v>
      </c>
      <c r="AT178" s="148" t="s">
        <v>68</v>
      </c>
      <c r="AU178" s="148" t="s">
        <v>76</v>
      </c>
      <c r="AY178" s="140" t="s">
        <v>179</v>
      </c>
      <c r="BK178" s="149">
        <f>SUM(BK179:BK197)</f>
        <v>0</v>
      </c>
    </row>
    <row r="179" spans="1:65" s="2" customFormat="1" ht="24.2" customHeight="1">
      <c r="A179" s="29"/>
      <c r="B179" s="152"/>
      <c r="C179" s="153" t="s">
        <v>287</v>
      </c>
      <c r="D179" s="153" t="s">
        <v>181</v>
      </c>
      <c r="E179" s="154" t="s">
        <v>1434</v>
      </c>
      <c r="F179" s="155" t="s">
        <v>1435</v>
      </c>
      <c r="G179" s="156" t="s">
        <v>217</v>
      </c>
      <c r="H179" s="157">
        <v>1</v>
      </c>
      <c r="I179" s="158"/>
      <c r="J179" s="151">
        <v>0</v>
      </c>
      <c r="K179" s="160"/>
      <c r="L179" s="30"/>
      <c r="M179" s="161" t="s">
        <v>1</v>
      </c>
      <c r="N179" s="162" t="s">
        <v>35</v>
      </c>
      <c r="O179" s="58"/>
      <c r="P179" s="163">
        <f t="shared" ref="P179:P197" si="18">O179*H179</f>
        <v>0</v>
      </c>
      <c r="Q179" s="163">
        <v>0</v>
      </c>
      <c r="R179" s="163">
        <f t="shared" ref="R179:R197" si="19">Q179*H179</f>
        <v>0</v>
      </c>
      <c r="S179" s="163">
        <v>0</v>
      </c>
      <c r="T179" s="164">
        <f t="shared" ref="T179:T197" si="20">S179*H179</f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5" t="s">
        <v>185</v>
      </c>
      <c r="AT179" s="165" t="s">
        <v>181</v>
      </c>
      <c r="AU179" s="165" t="s">
        <v>82</v>
      </c>
      <c r="AY179" s="14" t="s">
        <v>179</v>
      </c>
      <c r="BE179" s="166">
        <f t="shared" ref="BE179:BE197" si="21">IF(N179="základná",J179,0)</f>
        <v>0</v>
      </c>
      <c r="BF179" s="166">
        <f t="shared" ref="BF179:BF197" si="22">IF(N179="znížená",J179,0)</f>
        <v>0</v>
      </c>
      <c r="BG179" s="166">
        <f t="shared" ref="BG179:BG197" si="23">IF(N179="zákl. prenesená",J179,0)</f>
        <v>0</v>
      </c>
      <c r="BH179" s="166">
        <f t="shared" ref="BH179:BH197" si="24">IF(N179="zníž. prenesená",J179,0)</f>
        <v>0</v>
      </c>
      <c r="BI179" s="166">
        <f t="shared" ref="BI179:BI197" si="25">IF(N179="nulová",J179,0)</f>
        <v>0</v>
      </c>
      <c r="BJ179" s="14" t="s">
        <v>82</v>
      </c>
      <c r="BK179" s="166">
        <f t="shared" ref="BK179:BK197" si="26">ROUND(I179*H179,2)</f>
        <v>0</v>
      </c>
      <c r="BL179" s="14" t="s">
        <v>185</v>
      </c>
      <c r="BM179" s="165" t="s">
        <v>290</v>
      </c>
    </row>
    <row r="180" spans="1:65" s="2" customFormat="1" ht="24.2" customHeight="1">
      <c r="A180" s="29"/>
      <c r="B180" s="152"/>
      <c r="C180" s="153" t="s">
        <v>239</v>
      </c>
      <c r="D180" s="153" t="s">
        <v>181</v>
      </c>
      <c r="E180" s="154" t="s">
        <v>1436</v>
      </c>
      <c r="F180" s="155" t="s">
        <v>1435</v>
      </c>
      <c r="G180" s="156" t="s">
        <v>217</v>
      </c>
      <c r="H180" s="157">
        <v>1</v>
      </c>
      <c r="I180" s="158"/>
      <c r="J180" s="151">
        <v>0</v>
      </c>
      <c r="K180" s="160"/>
      <c r="L180" s="30"/>
      <c r="M180" s="161" t="s">
        <v>1</v>
      </c>
      <c r="N180" s="162" t="s">
        <v>35</v>
      </c>
      <c r="O180" s="58"/>
      <c r="P180" s="163">
        <f t="shared" si="18"/>
        <v>0</v>
      </c>
      <c r="Q180" s="163">
        <v>0</v>
      </c>
      <c r="R180" s="163">
        <f t="shared" si="19"/>
        <v>0</v>
      </c>
      <c r="S180" s="163">
        <v>0</v>
      </c>
      <c r="T180" s="164">
        <f t="shared" si="20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5" t="s">
        <v>185</v>
      </c>
      <c r="AT180" s="165" t="s">
        <v>181</v>
      </c>
      <c r="AU180" s="165" t="s">
        <v>82</v>
      </c>
      <c r="AY180" s="14" t="s">
        <v>179</v>
      </c>
      <c r="BE180" s="166">
        <f t="shared" si="21"/>
        <v>0</v>
      </c>
      <c r="BF180" s="166">
        <f t="shared" si="22"/>
        <v>0</v>
      </c>
      <c r="BG180" s="166">
        <f t="shared" si="23"/>
        <v>0</v>
      </c>
      <c r="BH180" s="166">
        <f t="shared" si="24"/>
        <v>0</v>
      </c>
      <c r="BI180" s="166">
        <f t="shared" si="25"/>
        <v>0</v>
      </c>
      <c r="BJ180" s="14" t="s">
        <v>82</v>
      </c>
      <c r="BK180" s="166">
        <f t="shared" si="26"/>
        <v>0</v>
      </c>
      <c r="BL180" s="14" t="s">
        <v>185</v>
      </c>
      <c r="BM180" s="165" t="s">
        <v>294</v>
      </c>
    </row>
    <row r="181" spans="1:65" s="2" customFormat="1" ht="24.2" customHeight="1">
      <c r="A181" s="29"/>
      <c r="B181" s="152"/>
      <c r="C181" s="153" t="s">
        <v>295</v>
      </c>
      <c r="D181" s="153" t="s">
        <v>181</v>
      </c>
      <c r="E181" s="154" t="s">
        <v>1437</v>
      </c>
      <c r="F181" s="155" t="s">
        <v>1438</v>
      </c>
      <c r="G181" s="156" t="s">
        <v>217</v>
      </c>
      <c r="H181" s="157">
        <v>1</v>
      </c>
      <c r="I181" s="158"/>
      <c r="J181" s="151">
        <v>0</v>
      </c>
      <c r="K181" s="160"/>
      <c r="L181" s="30"/>
      <c r="M181" s="161" t="s">
        <v>1</v>
      </c>
      <c r="N181" s="162" t="s">
        <v>35</v>
      </c>
      <c r="O181" s="58"/>
      <c r="P181" s="163">
        <f t="shared" si="18"/>
        <v>0</v>
      </c>
      <c r="Q181" s="163">
        <v>0</v>
      </c>
      <c r="R181" s="163">
        <f t="shared" si="19"/>
        <v>0</v>
      </c>
      <c r="S181" s="163">
        <v>0</v>
      </c>
      <c r="T181" s="164">
        <f t="shared" si="20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5" t="s">
        <v>185</v>
      </c>
      <c r="AT181" s="165" t="s">
        <v>181</v>
      </c>
      <c r="AU181" s="165" t="s">
        <v>82</v>
      </c>
      <c r="AY181" s="14" t="s">
        <v>179</v>
      </c>
      <c r="BE181" s="166">
        <f t="shared" si="21"/>
        <v>0</v>
      </c>
      <c r="BF181" s="166">
        <f t="shared" si="22"/>
        <v>0</v>
      </c>
      <c r="BG181" s="166">
        <f t="shared" si="23"/>
        <v>0</v>
      </c>
      <c r="BH181" s="166">
        <f t="shared" si="24"/>
        <v>0</v>
      </c>
      <c r="BI181" s="166">
        <f t="shared" si="25"/>
        <v>0</v>
      </c>
      <c r="BJ181" s="14" t="s">
        <v>82</v>
      </c>
      <c r="BK181" s="166">
        <f t="shared" si="26"/>
        <v>0</v>
      </c>
      <c r="BL181" s="14" t="s">
        <v>185</v>
      </c>
      <c r="BM181" s="165" t="s">
        <v>298</v>
      </c>
    </row>
    <row r="182" spans="1:65" s="2" customFormat="1" ht="44.25" customHeight="1">
      <c r="A182" s="29"/>
      <c r="B182" s="152"/>
      <c r="C182" s="153" t="s">
        <v>242</v>
      </c>
      <c r="D182" s="153" t="s">
        <v>181</v>
      </c>
      <c r="E182" s="154" t="s">
        <v>1439</v>
      </c>
      <c r="F182" s="155" t="s">
        <v>1440</v>
      </c>
      <c r="G182" s="156" t="s">
        <v>217</v>
      </c>
      <c r="H182" s="157">
        <v>1</v>
      </c>
      <c r="I182" s="158"/>
      <c r="J182" s="151">
        <v>0</v>
      </c>
      <c r="K182" s="160"/>
      <c r="L182" s="30"/>
      <c r="M182" s="161" t="s">
        <v>1</v>
      </c>
      <c r="N182" s="162" t="s">
        <v>35</v>
      </c>
      <c r="O182" s="58"/>
      <c r="P182" s="163">
        <f t="shared" si="18"/>
        <v>0</v>
      </c>
      <c r="Q182" s="163">
        <v>0</v>
      </c>
      <c r="R182" s="163">
        <f t="shared" si="19"/>
        <v>0</v>
      </c>
      <c r="S182" s="163">
        <v>0</v>
      </c>
      <c r="T182" s="164">
        <f t="shared" si="20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65" t="s">
        <v>185</v>
      </c>
      <c r="AT182" s="165" t="s">
        <v>181</v>
      </c>
      <c r="AU182" s="165" t="s">
        <v>82</v>
      </c>
      <c r="AY182" s="14" t="s">
        <v>179</v>
      </c>
      <c r="BE182" s="166">
        <f t="shared" si="21"/>
        <v>0</v>
      </c>
      <c r="BF182" s="166">
        <f t="shared" si="22"/>
        <v>0</v>
      </c>
      <c r="BG182" s="166">
        <f t="shared" si="23"/>
        <v>0</v>
      </c>
      <c r="BH182" s="166">
        <f t="shared" si="24"/>
        <v>0</v>
      </c>
      <c r="BI182" s="166">
        <f t="shared" si="25"/>
        <v>0</v>
      </c>
      <c r="BJ182" s="14" t="s">
        <v>82</v>
      </c>
      <c r="BK182" s="166">
        <f t="shared" si="26"/>
        <v>0</v>
      </c>
      <c r="BL182" s="14" t="s">
        <v>185</v>
      </c>
      <c r="BM182" s="165" t="s">
        <v>301</v>
      </c>
    </row>
    <row r="183" spans="1:65" s="2" customFormat="1" ht="24.2" customHeight="1">
      <c r="A183" s="29"/>
      <c r="B183" s="152"/>
      <c r="C183" s="153" t="s">
        <v>302</v>
      </c>
      <c r="D183" s="153" t="s">
        <v>181</v>
      </c>
      <c r="E183" s="154" t="s">
        <v>1441</v>
      </c>
      <c r="F183" s="155" t="s">
        <v>1438</v>
      </c>
      <c r="G183" s="156" t="s">
        <v>217</v>
      </c>
      <c r="H183" s="157">
        <v>1</v>
      </c>
      <c r="I183" s="158"/>
      <c r="J183" s="151">
        <v>0</v>
      </c>
      <c r="K183" s="160"/>
      <c r="L183" s="30"/>
      <c r="M183" s="161" t="s">
        <v>1</v>
      </c>
      <c r="N183" s="162" t="s">
        <v>35</v>
      </c>
      <c r="O183" s="58"/>
      <c r="P183" s="163">
        <f t="shared" si="18"/>
        <v>0</v>
      </c>
      <c r="Q183" s="163">
        <v>0</v>
      </c>
      <c r="R183" s="163">
        <f t="shared" si="19"/>
        <v>0</v>
      </c>
      <c r="S183" s="163">
        <v>0</v>
      </c>
      <c r="T183" s="164">
        <f t="shared" si="20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5" t="s">
        <v>185</v>
      </c>
      <c r="AT183" s="165" t="s">
        <v>181</v>
      </c>
      <c r="AU183" s="165" t="s">
        <v>82</v>
      </c>
      <c r="AY183" s="14" t="s">
        <v>179</v>
      </c>
      <c r="BE183" s="166">
        <f t="shared" si="21"/>
        <v>0</v>
      </c>
      <c r="BF183" s="166">
        <f t="shared" si="22"/>
        <v>0</v>
      </c>
      <c r="BG183" s="166">
        <f t="shared" si="23"/>
        <v>0</v>
      </c>
      <c r="BH183" s="166">
        <f t="shared" si="24"/>
        <v>0</v>
      </c>
      <c r="BI183" s="166">
        <f t="shared" si="25"/>
        <v>0</v>
      </c>
      <c r="BJ183" s="14" t="s">
        <v>82</v>
      </c>
      <c r="BK183" s="166">
        <f t="shared" si="26"/>
        <v>0</v>
      </c>
      <c r="BL183" s="14" t="s">
        <v>185</v>
      </c>
      <c r="BM183" s="165" t="s">
        <v>305</v>
      </c>
    </row>
    <row r="184" spans="1:65" s="2" customFormat="1" ht="44.25" customHeight="1">
      <c r="A184" s="29"/>
      <c r="B184" s="152"/>
      <c r="C184" s="153" t="s">
        <v>246</v>
      </c>
      <c r="D184" s="153" t="s">
        <v>181</v>
      </c>
      <c r="E184" s="154" t="s">
        <v>1442</v>
      </c>
      <c r="F184" s="155" t="s">
        <v>1440</v>
      </c>
      <c r="G184" s="156" t="s">
        <v>217</v>
      </c>
      <c r="H184" s="157">
        <v>1</v>
      </c>
      <c r="I184" s="158"/>
      <c r="J184" s="151">
        <v>0</v>
      </c>
      <c r="K184" s="160"/>
      <c r="L184" s="30"/>
      <c r="M184" s="161" t="s">
        <v>1</v>
      </c>
      <c r="N184" s="162" t="s">
        <v>35</v>
      </c>
      <c r="O184" s="58"/>
      <c r="P184" s="163">
        <f t="shared" si="18"/>
        <v>0</v>
      </c>
      <c r="Q184" s="163">
        <v>0</v>
      </c>
      <c r="R184" s="163">
        <f t="shared" si="19"/>
        <v>0</v>
      </c>
      <c r="S184" s="163">
        <v>0</v>
      </c>
      <c r="T184" s="164">
        <f t="shared" si="20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5" t="s">
        <v>185</v>
      </c>
      <c r="AT184" s="165" t="s">
        <v>181</v>
      </c>
      <c r="AU184" s="165" t="s">
        <v>82</v>
      </c>
      <c r="AY184" s="14" t="s">
        <v>179</v>
      </c>
      <c r="BE184" s="166">
        <f t="shared" si="21"/>
        <v>0</v>
      </c>
      <c r="BF184" s="166">
        <f t="shared" si="22"/>
        <v>0</v>
      </c>
      <c r="BG184" s="166">
        <f t="shared" si="23"/>
        <v>0</v>
      </c>
      <c r="BH184" s="166">
        <f t="shared" si="24"/>
        <v>0</v>
      </c>
      <c r="BI184" s="166">
        <f t="shared" si="25"/>
        <v>0</v>
      </c>
      <c r="BJ184" s="14" t="s">
        <v>82</v>
      </c>
      <c r="BK184" s="166">
        <f t="shared" si="26"/>
        <v>0</v>
      </c>
      <c r="BL184" s="14" t="s">
        <v>185</v>
      </c>
      <c r="BM184" s="165" t="s">
        <v>308</v>
      </c>
    </row>
    <row r="185" spans="1:65" s="2" customFormat="1" ht="55.5" customHeight="1">
      <c r="A185" s="29"/>
      <c r="B185" s="152"/>
      <c r="C185" s="153" t="s">
        <v>309</v>
      </c>
      <c r="D185" s="153" t="s">
        <v>181</v>
      </c>
      <c r="E185" s="154" t="s">
        <v>1443</v>
      </c>
      <c r="F185" s="155" t="s">
        <v>1444</v>
      </c>
      <c r="G185" s="156" t="s">
        <v>217</v>
      </c>
      <c r="H185" s="157">
        <v>3</v>
      </c>
      <c r="I185" s="158"/>
      <c r="J185" s="151">
        <v>0</v>
      </c>
      <c r="K185" s="160"/>
      <c r="L185" s="30"/>
      <c r="M185" s="161" t="s">
        <v>1</v>
      </c>
      <c r="N185" s="162" t="s">
        <v>35</v>
      </c>
      <c r="O185" s="58"/>
      <c r="P185" s="163">
        <f t="shared" si="18"/>
        <v>0</v>
      </c>
      <c r="Q185" s="163">
        <v>0</v>
      </c>
      <c r="R185" s="163">
        <f t="shared" si="19"/>
        <v>0</v>
      </c>
      <c r="S185" s="163">
        <v>0</v>
      </c>
      <c r="T185" s="164">
        <f t="shared" si="20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5" t="s">
        <v>185</v>
      </c>
      <c r="AT185" s="165" t="s">
        <v>181</v>
      </c>
      <c r="AU185" s="165" t="s">
        <v>82</v>
      </c>
      <c r="AY185" s="14" t="s">
        <v>179</v>
      </c>
      <c r="BE185" s="166">
        <f t="shared" si="21"/>
        <v>0</v>
      </c>
      <c r="BF185" s="166">
        <f t="shared" si="22"/>
        <v>0</v>
      </c>
      <c r="BG185" s="166">
        <f t="shared" si="23"/>
        <v>0</v>
      </c>
      <c r="BH185" s="166">
        <f t="shared" si="24"/>
        <v>0</v>
      </c>
      <c r="BI185" s="166">
        <f t="shared" si="25"/>
        <v>0</v>
      </c>
      <c r="BJ185" s="14" t="s">
        <v>82</v>
      </c>
      <c r="BK185" s="166">
        <f t="shared" si="26"/>
        <v>0</v>
      </c>
      <c r="BL185" s="14" t="s">
        <v>185</v>
      </c>
      <c r="BM185" s="165" t="s">
        <v>312</v>
      </c>
    </row>
    <row r="186" spans="1:65" s="2" customFormat="1" ht="44.25" customHeight="1">
      <c r="A186" s="29"/>
      <c r="B186" s="152"/>
      <c r="C186" s="153" t="s">
        <v>250</v>
      </c>
      <c r="D186" s="153" t="s">
        <v>181</v>
      </c>
      <c r="E186" s="154" t="s">
        <v>1445</v>
      </c>
      <c r="F186" s="155" t="s">
        <v>1446</v>
      </c>
      <c r="G186" s="156" t="s">
        <v>217</v>
      </c>
      <c r="H186" s="157">
        <v>2</v>
      </c>
      <c r="I186" s="158"/>
      <c r="J186" s="151">
        <v>0</v>
      </c>
      <c r="K186" s="160"/>
      <c r="L186" s="30"/>
      <c r="M186" s="161" t="s">
        <v>1</v>
      </c>
      <c r="N186" s="162" t="s">
        <v>35</v>
      </c>
      <c r="O186" s="58"/>
      <c r="P186" s="163">
        <f t="shared" si="18"/>
        <v>0</v>
      </c>
      <c r="Q186" s="163">
        <v>0</v>
      </c>
      <c r="R186" s="163">
        <f t="shared" si="19"/>
        <v>0</v>
      </c>
      <c r="S186" s="163">
        <v>0</v>
      </c>
      <c r="T186" s="164">
        <f t="shared" si="20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5" t="s">
        <v>185</v>
      </c>
      <c r="AT186" s="165" t="s">
        <v>181</v>
      </c>
      <c r="AU186" s="165" t="s">
        <v>82</v>
      </c>
      <c r="AY186" s="14" t="s">
        <v>179</v>
      </c>
      <c r="BE186" s="166">
        <f t="shared" si="21"/>
        <v>0</v>
      </c>
      <c r="BF186" s="166">
        <f t="shared" si="22"/>
        <v>0</v>
      </c>
      <c r="BG186" s="166">
        <f t="shared" si="23"/>
        <v>0</v>
      </c>
      <c r="BH186" s="166">
        <f t="shared" si="24"/>
        <v>0</v>
      </c>
      <c r="BI186" s="166">
        <f t="shared" si="25"/>
        <v>0</v>
      </c>
      <c r="BJ186" s="14" t="s">
        <v>82</v>
      </c>
      <c r="BK186" s="166">
        <f t="shared" si="26"/>
        <v>0</v>
      </c>
      <c r="BL186" s="14" t="s">
        <v>185</v>
      </c>
      <c r="BM186" s="165" t="s">
        <v>315</v>
      </c>
    </row>
    <row r="187" spans="1:65" s="2" customFormat="1" ht="44.25" customHeight="1">
      <c r="A187" s="29"/>
      <c r="B187" s="152"/>
      <c r="C187" s="153" t="s">
        <v>316</v>
      </c>
      <c r="D187" s="153" t="s">
        <v>181</v>
      </c>
      <c r="E187" s="154" t="s">
        <v>1447</v>
      </c>
      <c r="F187" s="155" t="s">
        <v>1446</v>
      </c>
      <c r="G187" s="156" t="s">
        <v>217</v>
      </c>
      <c r="H187" s="157">
        <v>2</v>
      </c>
      <c r="I187" s="158"/>
      <c r="J187" s="151">
        <v>0</v>
      </c>
      <c r="K187" s="160"/>
      <c r="L187" s="30"/>
      <c r="M187" s="161" t="s">
        <v>1</v>
      </c>
      <c r="N187" s="162" t="s">
        <v>35</v>
      </c>
      <c r="O187" s="58"/>
      <c r="P187" s="163">
        <f t="shared" si="18"/>
        <v>0</v>
      </c>
      <c r="Q187" s="163">
        <v>0</v>
      </c>
      <c r="R187" s="163">
        <f t="shared" si="19"/>
        <v>0</v>
      </c>
      <c r="S187" s="163">
        <v>0</v>
      </c>
      <c r="T187" s="164">
        <f t="shared" si="20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5" t="s">
        <v>185</v>
      </c>
      <c r="AT187" s="165" t="s">
        <v>181</v>
      </c>
      <c r="AU187" s="165" t="s">
        <v>82</v>
      </c>
      <c r="AY187" s="14" t="s">
        <v>179</v>
      </c>
      <c r="BE187" s="166">
        <f t="shared" si="21"/>
        <v>0</v>
      </c>
      <c r="BF187" s="166">
        <f t="shared" si="22"/>
        <v>0</v>
      </c>
      <c r="BG187" s="166">
        <f t="shared" si="23"/>
        <v>0</v>
      </c>
      <c r="BH187" s="166">
        <f t="shared" si="24"/>
        <v>0</v>
      </c>
      <c r="BI187" s="166">
        <f t="shared" si="25"/>
        <v>0</v>
      </c>
      <c r="BJ187" s="14" t="s">
        <v>82</v>
      </c>
      <c r="BK187" s="166">
        <f t="shared" si="26"/>
        <v>0</v>
      </c>
      <c r="BL187" s="14" t="s">
        <v>185</v>
      </c>
      <c r="BM187" s="165" t="s">
        <v>319</v>
      </c>
    </row>
    <row r="188" spans="1:65" s="2" customFormat="1" ht="24.2" customHeight="1">
      <c r="A188" s="29"/>
      <c r="B188" s="152"/>
      <c r="C188" s="153" t="s">
        <v>254</v>
      </c>
      <c r="D188" s="153" t="s">
        <v>181</v>
      </c>
      <c r="E188" s="154" t="s">
        <v>1448</v>
      </c>
      <c r="F188" s="155" t="s">
        <v>1449</v>
      </c>
      <c r="G188" s="156" t="s">
        <v>217</v>
      </c>
      <c r="H188" s="157">
        <v>1</v>
      </c>
      <c r="I188" s="158"/>
      <c r="J188" s="151">
        <v>0</v>
      </c>
      <c r="K188" s="160"/>
      <c r="L188" s="30"/>
      <c r="M188" s="161" t="s">
        <v>1</v>
      </c>
      <c r="N188" s="162" t="s">
        <v>35</v>
      </c>
      <c r="O188" s="58"/>
      <c r="P188" s="163">
        <f t="shared" si="18"/>
        <v>0</v>
      </c>
      <c r="Q188" s="163">
        <v>0</v>
      </c>
      <c r="R188" s="163">
        <f t="shared" si="19"/>
        <v>0</v>
      </c>
      <c r="S188" s="163">
        <v>0</v>
      </c>
      <c r="T188" s="164">
        <f t="shared" si="20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5" t="s">
        <v>185</v>
      </c>
      <c r="AT188" s="165" t="s">
        <v>181</v>
      </c>
      <c r="AU188" s="165" t="s">
        <v>82</v>
      </c>
      <c r="AY188" s="14" t="s">
        <v>179</v>
      </c>
      <c r="BE188" s="166">
        <f t="shared" si="21"/>
        <v>0</v>
      </c>
      <c r="BF188" s="166">
        <f t="shared" si="22"/>
        <v>0</v>
      </c>
      <c r="BG188" s="166">
        <f t="shared" si="23"/>
        <v>0</v>
      </c>
      <c r="BH188" s="166">
        <f t="shared" si="24"/>
        <v>0</v>
      </c>
      <c r="BI188" s="166">
        <f t="shared" si="25"/>
        <v>0</v>
      </c>
      <c r="BJ188" s="14" t="s">
        <v>82</v>
      </c>
      <c r="BK188" s="166">
        <f t="shared" si="26"/>
        <v>0</v>
      </c>
      <c r="BL188" s="14" t="s">
        <v>185</v>
      </c>
      <c r="BM188" s="165" t="s">
        <v>322</v>
      </c>
    </row>
    <row r="189" spans="1:65" s="2" customFormat="1" ht="24.2" customHeight="1">
      <c r="A189" s="29"/>
      <c r="B189" s="152"/>
      <c r="C189" s="153" t="s">
        <v>323</v>
      </c>
      <c r="D189" s="153" t="s">
        <v>181</v>
      </c>
      <c r="E189" s="154" t="s">
        <v>1450</v>
      </c>
      <c r="F189" s="155" t="s">
        <v>1449</v>
      </c>
      <c r="G189" s="156" t="s">
        <v>217</v>
      </c>
      <c r="H189" s="157">
        <v>1</v>
      </c>
      <c r="I189" s="158"/>
      <c r="J189" s="151">
        <v>0</v>
      </c>
      <c r="K189" s="160"/>
      <c r="L189" s="30"/>
      <c r="M189" s="161" t="s">
        <v>1</v>
      </c>
      <c r="N189" s="162" t="s">
        <v>35</v>
      </c>
      <c r="O189" s="58"/>
      <c r="P189" s="163">
        <f t="shared" si="18"/>
        <v>0</v>
      </c>
      <c r="Q189" s="163">
        <v>0</v>
      </c>
      <c r="R189" s="163">
        <f t="shared" si="19"/>
        <v>0</v>
      </c>
      <c r="S189" s="163">
        <v>0</v>
      </c>
      <c r="T189" s="164">
        <f t="shared" si="20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65" t="s">
        <v>185</v>
      </c>
      <c r="AT189" s="165" t="s">
        <v>181</v>
      </c>
      <c r="AU189" s="165" t="s">
        <v>82</v>
      </c>
      <c r="AY189" s="14" t="s">
        <v>179</v>
      </c>
      <c r="BE189" s="166">
        <f t="shared" si="21"/>
        <v>0</v>
      </c>
      <c r="BF189" s="166">
        <f t="shared" si="22"/>
        <v>0</v>
      </c>
      <c r="BG189" s="166">
        <f t="shared" si="23"/>
        <v>0</v>
      </c>
      <c r="BH189" s="166">
        <f t="shared" si="24"/>
        <v>0</v>
      </c>
      <c r="BI189" s="166">
        <f t="shared" si="25"/>
        <v>0</v>
      </c>
      <c r="BJ189" s="14" t="s">
        <v>82</v>
      </c>
      <c r="BK189" s="166">
        <f t="shared" si="26"/>
        <v>0</v>
      </c>
      <c r="BL189" s="14" t="s">
        <v>185</v>
      </c>
      <c r="BM189" s="165" t="s">
        <v>326</v>
      </c>
    </row>
    <row r="190" spans="1:65" s="2" customFormat="1" ht="16.5" customHeight="1">
      <c r="A190" s="29"/>
      <c r="B190" s="152"/>
      <c r="C190" s="153" t="s">
        <v>257</v>
      </c>
      <c r="D190" s="153" t="s">
        <v>181</v>
      </c>
      <c r="E190" s="154" t="s">
        <v>1451</v>
      </c>
      <c r="F190" s="155" t="s">
        <v>1452</v>
      </c>
      <c r="G190" s="156" t="s">
        <v>217</v>
      </c>
      <c r="H190" s="157">
        <v>1</v>
      </c>
      <c r="I190" s="158"/>
      <c r="J190" s="151">
        <v>0</v>
      </c>
      <c r="K190" s="160"/>
      <c r="L190" s="30"/>
      <c r="M190" s="161" t="s">
        <v>1</v>
      </c>
      <c r="N190" s="162" t="s">
        <v>35</v>
      </c>
      <c r="O190" s="58"/>
      <c r="P190" s="163">
        <f t="shared" si="18"/>
        <v>0</v>
      </c>
      <c r="Q190" s="163">
        <v>0</v>
      </c>
      <c r="R190" s="163">
        <f t="shared" si="19"/>
        <v>0</v>
      </c>
      <c r="S190" s="163">
        <v>0</v>
      </c>
      <c r="T190" s="164">
        <f t="shared" si="20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65" t="s">
        <v>185</v>
      </c>
      <c r="AT190" s="165" t="s">
        <v>181</v>
      </c>
      <c r="AU190" s="165" t="s">
        <v>82</v>
      </c>
      <c r="AY190" s="14" t="s">
        <v>179</v>
      </c>
      <c r="BE190" s="166">
        <f t="shared" si="21"/>
        <v>0</v>
      </c>
      <c r="BF190" s="166">
        <f t="shared" si="22"/>
        <v>0</v>
      </c>
      <c r="BG190" s="166">
        <f t="shared" si="23"/>
        <v>0</v>
      </c>
      <c r="BH190" s="166">
        <f t="shared" si="24"/>
        <v>0</v>
      </c>
      <c r="BI190" s="166">
        <f t="shared" si="25"/>
        <v>0</v>
      </c>
      <c r="BJ190" s="14" t="s">
        <v>82</v>
      </c>
      <c r="BK190" s="166">
        <f t="shared" si="26"/>
        <v>0</v>
      </c>
      <c r="BL190" s="14" t="s">
        <v>185</v>
      </c>
      <c r="BM190" s="165" t="s">
        <v>329</v>
      </c>
    </row>
    <row r="191" spans="1:65" s="2" customFormat="1" ht="16.5" customHeight="1">
      <c r="A191" s="29"/>
      <c r="B191" s="152"/>
      <c r="C191" s="153" t="s">
        <v>330</v>
      </c>
      <c r="D191" s="153" t="s">
        <v>181</v>
      </c>
      <c r="E191" s="154" t="s">
        <v>1453</v>
      </c>
      <c r="F191" s="155" t="s">
        <v>1452</v>
      </c>
      <c r="G191" s="156" t="s">
        <v>217</v>
      </c>
      <c r="H191" s="157">
        <v>1</v>
      </c>
      <c r="I191" s="158"/>
      <c r="J191" s="151">
        <v>0</v>
      </c>
      <c r="K191" s="160"/>
      <c r="L191" s="30"/>
      <c r="M191" s="161" t="s">
        <v>1</v>
      </c>
      <c r="N191" s="162" t="s">
        <v>35</v>
      </c>
      <c r="O191" s="58"/>
      <c r="P191" s="163">
        <f t="shared" si="18"/>
        <v>0</v>
      </c>
      <c r="Q191" s="163">
        <v>0</v>
      </c>
      <c r="R191" s="163">
        <f t="shared" si="19"/>
        <v>0</v>
      </c>
      <c r="S191" s="163">
        <v>0</v>
      </c>
      <c r="T191" s="164">
        <f t="shared" si="20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65" t="s">
        <v>185</v>
      </c>
      <c r="AT191" s="165" t="s">
        <v>181</v>
      </c>
      <c r="AU191" s="165" t="s">
        <v>82</v>
      </c>
      <c r="AY191" s="14" t="s">
        <v>179</v>
      </c>
      <c r="BE191" s="166">
        <f t="shared" si="21"/>
        <v>0</v>
      </c>
      <c r="BF191" s="166">
        <f t="shared" si="22"/>
        <v>0</v>
      </c>
      <c r="BG191" s="166">
        <f t="shared" si="23"/>
        <v>0</v>
      </c>
      <c r="BH191" s="166">
        <f t="shared" si="24"/>
        <v>0</v>
      </c>
      <c r="BI191" s="166">
        <f t="shared" si="25"/>
        <v>0</v>
      </c>
      <c r="BJ191" s="14" t="s">
        <v>82</v>
      </c>
      <c r="BK191" s="166">
        <f t="shared" si="26"/>
        <v>0</v>
      </c>
      <c r="BL191" s="14" t="s">
        <v>185</v>
      </c>
      <c r="BM191" s="165" t="s">
        <v>333</v>
      </c>
    </row>
    <row r="192" spans="1:65" s="2" customFormat="1" ht="24.2" customHeight="1">
      <c r="A192" s="29"/>
      <c r="B192" s="152"/>
      <c r="C192" s="153" t="s">
        <v>261</v>
      </c>
      <c r="D192" s="153" t="s">
        <v>181</v>
      </c>
      <c r="E192" s="154" t="s">
        <v>1454</v>
      </c>
      <c r="F192" s="155" t="s">
        <v>1455</v>
      </c>
      <c r="G192" s="156" t="s">
        <v>217</v>
      </c>
      <c r="H192" s="157">
        <v>1</v>
      </c>
      <c r="I192" s="158"/>
      <c r="J192" s="151">
        <v>0</v>
      </c>
      <c r="K192" s="160"/>
      <c r="L192" s="30"/>
      <c r="M192" s="161" t="s">
        <v>1</v>
      </c>
      <c r="N192" s="162" t="s">
        <v>35</v>
      </c>
      <c r="O192" s="58"/>
      <c r="P192" s="163">
        <f t="shared" si="18"/>
        <v>0</v>
      </c>
      <c r="Q192" s="163">
        <v>0</v>
      </c>
      <c r="R192" s="163">
        <f t="shared" si="19"/>
        <v>0</v>
      </c>
      <c r="S192" s="163">
        <v>0</v>
      </c>
      <c r="T192" s="164">
        <f t="shared" si="20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65" t="s">
        <v>185</v>
      </c>
      <c r="AT192" s="165" t="s">
        <v>181</v>
      </c>
      <c r="AU192" s="165" t="s">
        <v>82</v>
      </c>
      <c r="AY192" s="14" t="s">
        <v>179</v>
      </c>
      <c r="BE192" s="166">
        <f t="shared" si="21"/>
        <v>0</v>
      </c>
      <c r="BF192" s="166">
        <f t="shared" si="22"/>
        <v>0</v>
      </c>
      <c r="BG192" s="166">
        <f t="shared" si="23"/>
        <v>0</v>
      </c>
      <c r="BH192" s="166">
        <f t="shared" si="24"/>
        <v>0</v>
      </c>
      <c r="BI192" s="166">
        <f t="shared" si="25"/>
        <v>0</v>
      </c>
      <c r="BJ192" s="14" t="s">
        <v>82</v>
      </c>
      <c r="BK192" s="166">
        <f t="shared" si="26"/>
        <v>0</v>
      </c>
      <c r="BL192" s="14" t="s">
        <v>185</v>
      </c>
      <c r="BM192" s="165" t="s">
        <v>336</v>
      </c>
    </row>
    <row r="193" spans="1:65" s="2" customFormat="1" ht="21.75" customHeight="1">
      <c r="A193" s="29"/>
      <c r="B193" s="152"/>
      <c r="C193" s="153" t="s">
        <v>337</v>
      </c>
      <c r="D193" s="153" t="s">
        <v>181</v>
      </c>
      <c r="E193" s="154" t="s">
        <v>1456</v>
      </c>
      <c r="F193" s="155" t="s">
        <v>1457</v>
      </c>
      <c r="G193" s="156" t="s">
        <v>217</v>
      </c>
      <c r="H193" s="157">
        <v>1</v>
      </c>
      <c r="I193" s="158"/>
      <c r="J193" s="151">
        <v>0</v>
      </c>
      <c r="K193" s="160"/>
      <c r="L193" s="30"/>
      <c r="M193" s="161" t="s">
        <v>1</v>
      </c>
      <c r="N193" s="162" t="s">
        <v>35</v>
      </c>
      <c r="O193" s="58"/>
      <c r="P193" s="163">
        <f t="shared" si="18"/>
        <v>0</v>
      </c>
      <c r="Q193" s="163">
        <v>0</v>
      </c>
      <c r="R193" s="163">
        <f t="shared" si="19"/>
        <v>0</v>
      </c>
      <c r="S193" s="163">
        <v>0</v>
      </c>
      <c r="T193" s="164">
        <f t="shared" si="20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65" t="s">
        <v>185</v>
      </c>
      <c r="AT193" s="165" t="s">
        <v>181</v>
      </c>
      <c r="AU193" s="165" t="s">
        <v>82</v>
      </c>
      <c r="AY193" s="14" t="s">
        <v>179</v>
      </c>
      <c r="BE193" s="166">
        <f t="shared" si="21"/>
        <v>0</v>
      </c>
      <c r="BF193" s="166">
        <f t="shared" si="22"/>
        <v>0</v>
      </c>
      <c r="BG193" s="166">
        <f t="shared" si="23"/>
        <v>0</v>
      </c>
      <c r="BH193" s="166">
        <f t="shared" si="24"/>
        <v>0</v>
      </c>
      <c r="BI193" s="166">
        <f t="shared" si="25"/>
        <v>0</v>
      </c>
      <c r="BJ193" s="14" t="s">
        <v>82</v>
      </c>
      <c r="BK193" s="166">
        <f t="shared" si="26"/>
        <v>0</v>
      </c>
      <c r="BL193" s="14" t="s">
        <v>185</v>
      </c>
      <c r="BM193" s="165" t="s">
        <v>340</v>
      </c>
    </row>
    <row r="194" spans="1:65" s="2" customFormat="1" ht="16.5" customHeight="1">
      <c r="A194" s="29"/>
      <c r="B194" s="152"/>
      <c r="C194" s="153" t="s">
        <v>265</v>
      </c>
      <c r="D194" s="153" t="s">
        <v>181</v>
      </c>
      <c r="E194" s="154" t="s">
        <v>1458</v>
      </c>
      <c r="F194" s="155" t="s">
        <v>1459</v>
      </c>
      <c r="G194" s="156" t="s">
        <v>217</v>
      </c>
      <c r="H194" s="157">
        <v>1</v>
      </c>
      <c r="I194" s="158"/>
      <c r="J194" s="151">
        <v>0</v>
      </c>
      <c r="K194" s="160"/>
      <c r="L194" s="30"/>
      <c r="M194" s="161" t="s">
        <v>1</v>
      </c>
      <c r="N194" s="162" t="s">
        <v>35</v>
      </c>
      <c r="O194" s="58"/>
      <c r="P194" s="163">
        <f t="shared" si="18"/>
        <v>0</v>
      </c>
      <c r="Q194" s="163">
        <v>0</v>
      </c>
      <c r="R194" s="163">
        <f t="shared" si="19"/>
        <v>0</v>
      </c>
      <c r="S194" s="163">
        <v>0</v>
      </c>
      <c r="T194" s="164">
        <f t="shared" si="20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65" t="s">
        <v>185</v>
      </c>
      <c r="AT194" s="165" t="s">
        <v>181</v>
      </c>
      <c r="AU194" s="165" t="s">
        <v>82</v>
      </c>
      <c r="AY194" s="14" t="s">
        <v>179</v>
      </c>
      <c r="BE194" s="166">
        <f t="shared" si="21"/>
        <v>0</v>
      </c>
      <c r="BF194" s="166">
        <f t="shared" si="22"/>
        <v>0</v>
      </c>
      <c r="BG194" s="166">
        <f t="shared" si="23"/>
        <v>0</v>
      </c>
      <c r="BH194" s="166">
        <f t="shared" si="24"/>
        <v>0</v>
      </c>
      <c r="BI194" s="166">
        <f t="shared" si="25"/>
        <v>0</v>
      </c>
      <c r="BJ194" s="14" t="s">
        <v>82</v>
      </c>
      <c r="BK194" s="166">
        <f t="shared" si="26"/>
        <v>0</v>
      </c>
      <c r="BL194" s="14" t="s">
        <v>185</v>
      </c>
      <c r="BM194" s="165" t="s">
        <v>343</v>
      </c>
    </row>
    <row r="195" spans="1:65" s="2" customFormat="1" ht="21.75" customHeight="1">
      <c r="A195" s="29"/>
      <c r="B195" s="152"/>
      <c r="C195" s="153" t="s">
        <v>344</v>
      </c>
      <c r="D195" s="153" t="s">
        <v>181</v>
      </c>
      <c r="E195" s="154" t="s">
        <v>1460</v>
      </c>
      <c r="F195" s="155" t="s">
        <v>1461</v>
      </c>
      <c r="G195" s="156" t="s">
        <v>217</v>
      </c>
      <c r="H195" s="157">
        <v>1</v>
      </c>
      <c r="I195" s="158"/>
      <c r="J195" s="151">
        <v>0</v>
      </c>
      <c r="K195" s="160"/>
      <c r="L195" s="30"/>
      <c r="M195" s="161" t="s">
        <v>1</v>
      </c>
      <c r="N195" s="162" t="s">
        <v>35</v>
      </c>
      <c r="O195" s="58"/>
      <c r="P195" s="163">
        <f t="shared" si="18"/>
        <v>0</v>
      </c>
      <c r="Q195" s="163">
        <v>0</v>
      </c>
      <c r="R195" s="163">
        <f t="shared" si="19"/>
        <v>0</v>
      </c>
      <c r="S195" s="163">
        <v>0</v>
      </c>
      <c r="T195" s="164">
        <f t="shared" si="20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65" t="s">
        <v>185</v>
      </c>
      <c r="AT195" s="165" t="s">
        <v>181</v>
      </c>
      <c r="AU195" s="165" t="s">
        <v>82</v>
      </c>
      <c r="AY195" s="14" t="s">
        <v>179</v>
      </c>
      <c r="BE195" s="166">
        <f t="shared" si="21"/>
        <v>0</v>
      </c>
      <c r="BF195" s="166">
        <f t="shared" si="22"/>
        <v>0</v>
      </c>
      <c r="BG195" s="166">
        <f t="shared" si="23"/>
        <v>0</v>
      </c>
      <c r="BH195" s="166">
        <f t="shared" si="24"/>
        <v>0</v>
      </c>
      <c r="BI195" s="166">
        <f t="shared" si="25"/>
        <v>0</v>
      </c>
      <c r="BJ195" s="14" t="s">
        <v>82</v>
      </c>
      <c r="BK195" s="166">
        <f t="shared" si="26"/>
        <v>0</v>
      </c>
      <c r="BL195" s="14" t="s">
        <v>185</v>
      </c>
      <c r="BM195" s="165" t="s">
        <v>354</v>
      </c>
    </row>
    <row r="196" spans="1:65" s="2" customFormat="1" ht="37.9" customHeight="1">
      <c r="A196" s="29"/>
      <c r="B196" s="152"/>
      <c r="C196" s="153" t="s">
        <v>268</v>
      </c>
      <c r="D196" s="153" t="s">
        <v>181</v>
      </c>
      <c r="E196" s="154" t="s">
        <v>1462</v>
      </c>
      <c r="F196" s="155" t="s">
        <v>1463</v>
      </c>
      <c r="G196" s="156" t="s">
        <v>217</v>
      </c>
      <c r="H196" s="157">
        <v>1</v>
      </c>
      <c r="I196" s="158"/>
      <c r="J196" s="151">
        <v>0</v>
      </c>
      <c r="K196" s="160"/>
      <c r="L196" s="30"/>
      <c r="M196" s="161" t="s">
        <v>1</v>
      </c>
      <c r="N196" s="162" t="s">
        <v>35</v>
      </c>
      <c r="O196" s="58"/>
      <c r="P196" s="163">
        <f t="shared" si="18"/>
        <v>0</v>
      </c>
      <c r="Q196" s="163">
        <v>0</v>
      </c>
      <c r="R196" s="163">
        <f t="shared" si="19"/>
        <v>0</v>
      </c>
      <c r="S196" s="163">
        <v>0</v>
      </c>
      <c r="T196" s="164">
        <f t="shared" si="20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65" t="s">
        <v>185</v>
      </c>
      <c r="AT196" s="165" t="s">
        <v>181</v>
      </c>
      <c r="AU196" s="165" t="s">
        <v>82</v>
      </c>
      <c r="AY196" s="14" t="s">
        <v>179</v>
      </c>
      <c r="BE196" s="166">
        <f t="shared" si="21"/>
        <v>0</v>
      </c>
      <c r="BF196" s="166">
        <f t="shared" si="22"/>
        <v>0</v>
      </c>
      <c r="BG196" s="166">
        <f t="shared" si="23"/>
        <v>0</v>
      </c>
      <c r="BH196" s="166">
        <f t="shared" si="24"/>
        <v>0</v>
      </c>
      <c r="BI196" s="166">
        <f t="shared" si="25"/>
        <v>0</v>
      </c>
      <c r="BJ196" s="14" t="s">
        <v>82</v>
      </c>
      <c r="BK196" s="166">
        <f t="shared" si="26"/>
        <v>0</v>
      </c>
      <c r="BL196" s="14" t="s">
        <v>185</v>
      </c>
      <c r="BM196" s="165" t="s">
        <v>357</v>
      </c>
    </row>
    <row r="197" spans="1:65" s="2" customFormat="1" ht="21.75" customHeight="1">
      <c r="A197" s="29"/>
      <c r="B197" s="152"/>
      <c r="C197" s="153" t="s">
        <v>351</v>
      </c>
      <c r="D197" s="153" t="s">
        <v>181</v>
      </c>
      <c r="E197" s="154" t="s">
        <v>1464</v>
      </c>
      <c r="F197" s="155" t="s">
        <v>1388</v>
      </c>
      <c r="G197" s="156" t="s">
        <v>217</v>
      </c>
      <c r="H197" s="157">
        <v>1</v>
      </c>
      <c r="I197" s="158"/>
      <c r="J197" s="151">
        <v>0</v>
      </c>
      <c r="K197" s="160"/>
      <c r="L197" s="30"/>
      <c r="M197" s="161" t="s">
        <v>1</v>
      </c>
      <c r="N197" s="162" t="s">
        <v>35</v>
      </c>
      <c r="O197" s="58"/>
      <c r="P197" s="163">
        <f t="shared" si="18"/>
        <v>0</v>
      </c>
      <c r="Q197" s="163">
        <v>0</v>
      </c>
      <c r="R197" s="163">
        <f t="shared" si="19"/>
        <v>0</v>
      </c>
      <c r="S197" s="163">
        <v>0</v>
      </c>
      <c r="T197" s="164">
        <f t="shared" si="20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65" t="s">
        <v>185</v>
      </c>
      <c r="AT197" s="165" t="s">
        <v>181</v>
      </c>
      <c r="AU197" s="165" t="s">
        <v>82</v>
      </c>
      <c r="AY197" s="14" t="s">
        <v>179</v>
      </c>
      <c r="BE197" s="166">
        <f t="shared" si="21"/>
        <v>0</v>
      </c>
      <c r="BF197" s="166">
        <f t="shared" si="22"/>
        <v>0</v>
      </c>
      <c r="BG197" s="166">
        <f t="shared" si="23"/>
        <v>0</v>
      </c>
      <c r="BH197" s="166">
        <f t="shared" si="24"/>
        <v>0</v>
      </c>
      <c r="BI197" s="166">
        <f t="shared" si="25"/>
        <v>0</v>
      </c>
      <c r="BJ197" s="14" t="s">
        <v>82</v>
      </c>
      <c r="BK197" s="166">
        <f t="shared" si="26"/>
        <v>0</v>
      </c>
      <c r="BL197" s="14" t="s">
        <v>185</v>
      </c>
      <c r="BM197" s="165" t="s">
        <v>361</v>
      </c>
    </row>
    <row r="198" spans="1:65" s="12" customFormat="1" ht="22.9" customHeight="1">
      <c r="B198" s="139"/>
      <c r="D198" s="140" t="s">
        <v>68</v>
      </c>
      <c r="E198" s="150" t="s">
        <v>1465</v>
      </c>
      <c r="F198" s="150" t="s">
        <v>1466</v>
      </c>
      <c r="I198" s="142"/>
      <c r="J198" s="151">
        <v>0</v>
      </c>
      <c r="L198" s="139"/>
      <c r="M198" s="144"/>
      <c r="N198" s="145"/>
      <c r="O198" s="145"/>
      <c r="P198" s="146">
        <v>0</v>
      </c>
      <c r="Q198" s="145"/>
      <c r="R198" s="146">
        <v>0</v>
      </c>
      <c r="S198" s="145"/>
      <c r="T198" s="147">
        <v>0</v>
      </c>
      <c r="AR198" s="140" t="s">
        <v>76</v>
      </c>
      <c r="AT198" s="148" t="s">
        <v>68</v>
      </c>
      <c r="AU198" s="148" t="s">
        <v>76</v>
      </c>
      <c r="AY198" s="140" t="s">
        <v>179</v>
      </c>
      <c r="BK198" s="149">
        <v>0</v>
      </c>
    </row>
    <row r="199" spans="1:65" s="12" customFormat="1" ht="22.9" customHeight="1">
      <c r="B199" s="139"/>
      <c r="D199" s="140" t="s">
        <v>68</v>
      </c>
      <c r="E199" s="150" t="s">
        <v>1467</v>
      </c>
      <c r="F199" s="150" t="s">
        <v>1468</v>
      </c>
      <c r="I199" s="142"/>
      <c r="J199" s="151">
        <v>0</v>
      </c>
      <c r="L199" s="139"/>
      <c r="M199" s="144"/>
      <c r="N199" s="145"/>
      <c r="O199" s="145"/>
      <c r="P199" s="146">
        <f>SUM(P200:P209)</f>
        <v>0</v>
      </c>
      <c r="Q199" s="145"/>
      <c r="R199" s="146">
        <f>SUM(R200:R209)</f>
        <v>0</v>
      </c>
      <c r="S199" s="145"/>
      <c r="T199" s="147">
        <f>SUM(T200:T209)</f>
        <v>0</v>
      </c>
      <c r="AR199" s="140" t="s">
        <v>76</v>
      </c>
      <c r="AT199" s="148" t="s">
        <v>68</v>
      </c>
      <c r="AU199" s="148" t="s">
        <v>76</v>
      </c>
      <c r="AY199" s="140" t="s">
        <v>179</v>
      </c>
      <c r="BK199" s="149">
        <f>SUM(BK200:BK209)</f>
        <v>0</v>
      </c>
    </row>
    <row r="200" spans="1:65" s="2" customFormat="1" ht="24.2" customHeight="1">
      <c r="A200" s="29"/>
      <c r="B200" s="152"/>
      <c r="C200" s="153" t="s">
        <v>271</v>
      </c>
      <c r="D200" s="153" t="s">
        <v>181</v>
      </c>
      <c r="E200" s="154" t="s">
        <v>1469</v>
      </c>
      <c r="F200" s="155" t="s">
        <v>1470</v>
      </c>
      <c r="G200" s="156" t="s">
        <v>217</v>
      </c>
      <c r="H200" s="157">
        <v>1</v>
      </c>
      <c r="I200" s="158"/>
      <c r="J200" s="151">
        <v>0</v>
      </c>
      <c r="K200" s="160"/>
      <c r="L200" s="30"/>
      <c r="M200" s="161" t="s">
        <v>1</v>
      </c>
      <c r="N200" s="162" t="s">
        <v>35</v>
      </c>
      <c r="O200" s="58"/>
      <c r="P200" s="163">
        <f t="shared" ref="P200:P209" si="27">O200*H200</f>
        <v>0</v>
      </c>
      <c r="Q200" s="163">
        <v>0</v>
      </c>
      <c r="R200" s="163">
        <f t="shared" ref="R200:R209" si="28">Q200*H200</f>
        <v>0</v>
      </c>
      <c r="S200" s="163">
        <v>0</v>
      </c>
      <c r="T200" s="164">
        <f t="shared" ref="T200:T209" si="29">S200*H200</f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65" t="s">
        <v>185</v>
      </c>
      <c r="AT200" s="165" t="s">
        <v>181</v>
      </c>
      <c r="AU200" s="165" t="s">
        <v>82</v>
      </c>
      <c r="AY200" s="14" t="s">
        <v>179</v>
      </c>
      <c r="BE200" s="166">
        <f t="shared" ref="BE200:BE209" si="30">IF(N200="základná",J200,0)</f>
        <v>0</v>
      </c>
      <c r="BF200" s="166">
        <f t="shared" ref="BF200:BF209" si="31">IF(N200="znížená",J200,0)</f>
        <v>0</v>
      </c>
      <c r="BG200" s="166">
        <f t="shared" ref="BG200:BG209" si="32">IF(N200="zákl. prenesená",J200,0)</f>
        <v>0</v>
      </c>
      <c r="BH200" s="166">
        <f t="shared" ref="BH200:BH209" si="33">IF(N200="zníž. prenesená",J200,0)</f>
        <v>0</v>
      </c>
      <c r="BI200" s="166">
        <f t="shared" ref="BI200:BI209" si="34">IF(N200="nulová",J200,0)</f>
        <v>0</v>
      </c>
      <c r="BJ200" s="14" t="s">
        <v>82</v>
      </c>
      <c r="BK200" s="166">
        <f t="shared" ref="BK200:BK209" si="35">ROUND(I200*H200,2)</f>
        <v>0</v>
      </c>
      <c r="BL200" s="14" t="s">
        <v>185</v>
      </c>
      <c r="BM200" s="165" t="s">
        <v>364</v>
      </c>
    </row>
    <row r="201" spans="1:65" s="2" customFormat="1" ht="24.2" customHeight="1">
      <c r="A201" s="29"/>
      <c r="B201" s="152"/>
      <c r="C201" s="153" t="s">
        <v>358</v>
      </c>
      <c r="D201" s="153" t="s">
        <v>181</v>
      </c>
      <c r="E201" s="154" t="s">
        <v>1471</v>
      </c>
      <c r="F201" s="155" t="s">
        <v>1470</v>
      </c>
      <c r="G201" s="156" t="s">
        <v>217</v>
      </c>
      <c r="H201" s="157">
        <v>1</v>
      </c>
      <c r="I201" s="158"/>
      <c r="J201" s="151">
        <v>0</v>
      </c>
      <c r="K201" s="160"/>
      <c r="L201" s="30"/>
      <c r="M201" s="161" t="s">
        <v>1</v>
      </c>
      <c r="N201" s="162" t="s">
        <v>35</v>
      </c>
      <c r="O201" s="58"/>
      <c r="P201" s="163">
        <f t="shared" si="27"/>
        <v>0</v>
      </c>
      <c r="Q201" s="163">
        <v>0</v>
      </c>
      <c r="R201" s="163">
        <f t="shared" si="28"/>
        <v>0</v>
      </c>
      <c r="S201" s="163">
        <v>0</v>
      </c>
      <c r="T201" s="164">
        <f t="shared" si="29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65" t="s">
        <v>185</v>
      </c>
      <c r="AT201" s="165" t="s">
        <v>181</v>
      </c>
      <c r="AU201" s="165" t="s">
        <v>82</v>
      </c>
      <c r="AY201" s="14" t="s">
        <v>179</v>
      </c>
      <c r="BE201" s="166">
        <f t="shared" si="30"/>
        <v>0</v>
      </c>
      <c r="BF201" s="166">
        <f t="shared" si="31"/>
        <v>0</v>
      </c>
      <c r="BG201" s="166">
        <f t="shared" si="32"/>
        <v>0</v>
      </c>
      <c r="BH201" s="166">
        <f t="shared" si="33"/>
        <v>0</v>
      </c>
      <c r="BI201" s="166">
        <f t="shared" si="34"/>
        <v>0</v>
      </c>
      <c r="BJ201" s="14" t="s">
        <v>82</v>
      </c>
      <c r="BK201" s="166">
        <f t="shared" si="35"/>
        <v>0</v>
      </c>
      <c r="BL201" s="14" t="s">
        <v>185</v>
      </c>
      <c r="BM201" s="165" t="s">
        <v>368</v>
      </c>
    </row>
    <row r="202" spans="1:65" s="2" customFormat="1" ht="24.2" customHeight="1">
      <c r="A202" s="29"/>
      <c r="B202" s="152"/>
      <c r="C202" s="153" t="s">
        <v>275</v>
      </c>
      <c r="D202" s="153" t="s">
        <v>181</v>
      </c>
      <c r="E202" s="154" t="s">
        <v>1472</v>
      </c>
      <c r="F202" s="155" t="s">
        <v>1473</v>
      </c>
      <c r="G202" s="156" t="s">
        <v>217</v>
      </c>
      <c r="H202" s="157">
        <v>1</v>
      </c>
      <c r="I202" s="158"/>
      <c r="J202" s="151">
        <v>0</v>
      </c>
      <c r="K202" s="160"/>
      <c r="L202" s="30"/>
      <c r="M202" s="161" t="s">
        <v>1</v>
      </c>
      <c r="N202" s="162" t="s">
        <v>35</v>
      </c>
      <c r="O202" s="58"/>
      <c r="P202" s="163">
        <f t="shared" si="27"/>
        <v>0</v>
      </c>
      <c r="Q202" s="163">
        <v>0</v>
      </c>
      <c r="R202" s="163">
        <f t="shared" si="28"/>
        <v>0</v>
      </c>
      <c r="S202" s="163">
        <v>0</v>
      </c>
      <c r="T202" s="164">
        <f t="shared" si="29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65" t="s">
        <v>185</v>
      </c>
      <c r="AT202" s="165" t="s">
        <v>181</v>
      </c>
      <c r="AU202" s="165" t="s">
        <v>82</v>
      </c>
      <c r="AY202" s="14" t="s">
        <v>179</v>
      </c>
      <c r="BE202" s="166">
        <f t="shared" si="30"/>
        <v>0</v>
      </c>
      <c r="BF202" s="166">
        <f t="shared" si="31"/>
        <v>0</v>
      </c>
      <c r="BG202" s="166">
        <f t="shared" si="32"/>
        <v>0</v>
      </c>
      <c r="BH202" s="166">
        <f t="shared" si="33"/>
        <v>0</v>
      </c>
      <c r="BI202" s="166">
        <f t="shared" si="34"/>
        <v>0</v>
      </c>
      <c r="BJ202" s="14" t="s">
        <v>82</v>
      </c>
      <c r="BK202" s="166">
        <f t="shared" si="35"/>
        <v>0</v>
      </c>
      <c r="BL202" s="14" t="s">
        <v>185</v>
      </c>
      <c r="BM202" s="165" t="s">
        <v>371</v>
      </c>
    </row>
    <row r="203" spans="1:65" s="2" customFormat="1" ht="24.2" customHeight="1">
      <c r="A203" s="29"/>
      <c r="B203" s="152"/>
      <c r="C203" s="153" t="s">
        <v>365</v>
      </c>
      <c r="D203" s="153" t="s">
        <v>181</v>
      </c>
      <c r="E203" s="154" t="s">
        <v>1474</v>
      </c>
      <c r="F203" s="155" t="s">
        <v>1473</v>
      </c>
      <c r="G203" s="156" t="s">
        <v>217</v>
      </c>
      <c r="H203" s="157">
        <v>1</v>
      </c>
      <c r="I203" s="158"/>
      <c r="J203" s="151">
        <v>0</v>
      </c>
      <c r="K203" s="160"/>
      <c r="L203" s="30"/>
      <c r="M203" s="161" t="s">
        <v>1</v>
      </c>
      <c r="N203" s="162" t="s">
        <v>35</v>
      </c>
      <c r="O203" s="58"/>
      <c r="P203" s="163">
        <f t="shared" si="27"/>
        <v>0</v>
      </c>
      <c r="Q203" s="163">
        <v>0</v>
      </c>
      <c r="R203" s="163">
        <f t="shared" si="28"/>
        <v>0</v>
      </c>
      <c r="S203" s="163">
        <v>0</v>
      </c>
      <c r="T203" s="164">
        <f t="shared" si="29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65" t="s">
        <v>185</v>
      </c>
      <c r="AT203" s="165" t="s">
        <v>181</v>
      </c>
      <c r="AU203" s="165" t="s">
        <v>82</v>
      </c>
      <c r="AY203" s="14" t="s">
        <v>179</v>
      </c>
      <c r="BE203" s="166">
        <f t="shared" si="30"/>
        <v>0</v>
      </c>
      <c r="BF203" s="166">
        <f t="shared" si="31"/>
        <v>0</v>
      </c>
      <c r="BG203" s="166">
        <f t="shared" si="32"/>
        <v>0</v>
      </c>
      <c r="BH203" s="166">
        <f t="shared" si="33"/>
        <v>0</v>
      </c>
      <c r="BI203" s="166">
        <f t="shared" si="34"/>
        <v>0</v>
      </c>
      <c r="BJ203" s="14" t="s">
        <v>82</v>
      </c>
      <c r="BK203" s="166">
        <f t="shared" si="35"/>
        <v>0</v>
      </c>
      <c r="BL203" s="14" t="s">
        <v>185</v>
      </c>
      <c r="BM203" s="165" t="s">
        <v>375</v>
      </c>
    </row>
    <row r="204" spans="1:65" s="2" customFormat="1" ht="24.2" customHeight="1">
      <c r="A204" s="29"/>
      <c r="B204" s="152"/>
      <c r="C204" s="153" t="s">
        <v>279</v>
      </c>
      <c r="D204" s="153" t="s">
        <v>181</v>
      </c>
      <c r="E204" s="154" t="s">
        <v>1475</v>
      </c>
      <c r="F204" s="155" t="s">
        <v>1476</v>
      </c>
      <c r="G204" s="156" t="s">
        <v>217</v>
      </c>
      <c r="H204" s="157">
        <v>1</v>
      </c>
      <c r="I204" s="158"/>
      <c r="J204" s="151">
        <v>0</v>
      </c>
      <c r="K204" s="160"/>
      <c r="L204" s="30"/>
      <c r="M204" s="161" t="s">
        <v>1</v>
      </c>
      <c r="N204" s="162" t="s">
        <v>35</v>
      </c>
      <c r="O204" s="58"/>
      <c r="P204" s="163">
        <f t="shared" si="27"/>
        <v>0</v>
      </c>
      <c r="Q204" s="163">
        <v>0</v>
      </c>
      <c r="R204" s="163">
        <f t="shared" si="28"/>
        <v>0</v>
      </c>
      <c r="S204" s="163">
        <v>0</v>
      </c>
      <c r="T204" s="164">
        <f t="shared" si="29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65" t="s">
        <v>185</v>
      </c>
      <c r="AT204" s="165" t="s">
        <v>181</v>
      </c>
      <c r="AU204" s="165" t="s">
        <v>82</v>
      </c>
      <c r="AY204" s="14" t="s">
        <v>179</v>
      </c>
      <c r="BE204" s="166">
        <f t="shared" si="30"/>
        <v>0</v>
      </c>
      <c r="BF204" s="166">
        <f t="shared" si="31"/>
        <v>0</v>
      </c>
      <c r="BG204" s="166">
        <f t="shared" si="32"/>
        <v>0</v>
      </c>
      <c r="BH204" s="166">
        <f t="shared" si="33"/>
        <v>0</v>
      </c>
      <c r="BI204" s="166">
        <f t="shared" si="34"/>
        <v>0</v>
      </c>
      <c r="BJ204" s="14" t="s">
        <v>82</v>
      </c>
      <c r="BK204" s="166">
        <f t="shared" si="35"/>
        <v>0</v>
      </c>
      <c r="BL204" s="14" t="s">
        <v>185</v>
      </c>
      <c r="BM204" s="165" t="s">
        <v>378</v>
      </c>
    </row>
    <row r="205" spans="1:65" s="2" customFormat="1" ht="24.2" customHeight="1">
      <c r="A205" s="29"/>
      <c r="B205" s="152"/>
      <c r="C205" s="153" t="s">
        <v>372</v>
      </c>
      <c r="D205" s="153" t="s">
        <v>181</v>
      </c>
      <c r="E205" s="154" t="s">
        <v>1477</v>
      </c>
      <c r="F205" s="155" t="s">
        <v>1476</v>
      </c>
      <c r="G205" s="156" t="s">
        <v>217</v>
      </c>
      <c r="H205" s="157">
        <v>1</v>
      </c>
      <c r="I205" s="158"/>
      <c r="J205" s="151">
        <v>0</v>
      </c>
      <c r="K205" s="160"/>
      <c r="L205" s="30"/>
      <c r="M205" s="161" t="s">
        <v>1</v>
      </c>
      <c r="N205" s="162" t="s">
        <v>35</v>
      </c>
      <c r="O205" s="58"/>
      <c r="P205" s="163">
        <f t="shared" si="27"/>
        <v>0</v>
      </c>
      <c r="Q205" s="163">
        <v>0</v>
      </c>
      <c r="R205" s="163">
        <f t="shared" si="28"/>
        <v>0</v>
      </c>
      <c r="S205" s="163">
        <v>0</v>
      </c>
      <c r="T205" s="164">
        <f t="shared" si="29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65" t="s">
        <v>185</v>
      </c>
      <c r="AT205" s="165" t="s">
        <v>181</v>
      </c>
      <c r="AU205" s="165" t="s">
        <v>82</v>
      </c>
      <c r="AY205" s="14" t="s">
        <v>179</v>
      </c>
      <c r="BE205" s="166">
        <f t="shared" si="30"/>
        <v>0</v>
      </c>
      <c r="BF205" s="166">
        <f t="shared" si="31"/>
        <v>0</v>
      </c>
      <c r="BG205" s="166">
        <f t="shared" si="32"/>
        <v>0</v>
      </c>
      <c r="BH205" s="166">
        <f t="shared" si="33"/>
        <v>0</v>
      </c>
      <c r="BI205" s="166">
        <f t="shared" si="34"/>
        <v>0</v>
      </c>
      <c r="BJ205" s="14" t="s">
        <v>82</v>
      </c>
      <c r="BK205" s="166">
        <f t="shared" si="35"/>
        <v>0</v>
      </c>
      <c r="BL205" s="14" t="s">
        <v>185</v>
      </c>
      <c r="BM205" s="165" t="s">
        <v>382</v>
      </c>
    </row>
    <row r="206" spans="1:65" s="2" customFormat="1" ht="24.2" customHeight="1">
      <c r="A206" s="29"/>
      <c r="B206" s="152"/>
      <c r="C206" s="153" t="s">
        <v>283</v>
      </c>
      <c r="D206" s="153" t="s">
        <v>181</v>
      </c>
      <c r="E206" s="154" t="s">
        <v>1478</v>
      </c>
      <c r="F206" s="155" t="s">
        <v>1479</v>
      </c>
      <c r="G206" s="156" t="s">
        <v>217</v>
      </c>
      <c r="H206" s="157">
        <v>1</v>
      </c>
      <c r="I206" s="158"/>
      <c r="J206" s="151">
        <v>0</v>
      </c>
      <c r="K206" s="160"/>
      <c r="L206" s="30"/>
      <c r="M206" s="161" t="s">
        <v>1</v>
      </c>
      <c r="N206" s="162" t="s">
        <v>35</v>
      </c>
      <c r="O206" s="58"/>
      <c r="P206" s="163">
        <f t="shared" si="27"/>
        <v>0</v>
      </c>
      <c r="Q206" s="163">
        <v>0</v>
      </c>
      <c r="R206" s="163">
        <f t="shared" si="28"/>
        <v>0</v>
      </c>
      <c r="S206" s="163">
        <v>0</v>
      </c>
      <c r="T206" s="164">
        <f t="shared" si="29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65" t="s">
        <v>185</v>
      </c>
      <c r="AT206" s="165" t="s">
        <v>181</v>
      </c>
      <c r="AU206" s="165" t="s">
        <v>82</v>
      </c>
      <c r="AY206" s="14" t="s">
        <v>179</v>
      </c>
      <c r="BE206" s="166">
        <f t="shared" si="30"/>
        <v>0</v>
      </c>
      <c r="BF206" s="166">
        <f t="shared" si="31"/>
        <v>0</v>
      </c>
      <c r="BG206" s="166">
        <f t="shared" si="32"/>
        <v>0</v>
      </c>
      <c r="BH206" s="166">
        <f t="shared" si="33"/>
        <v>0</v>
      </c>
      <c r="BI206" s="166">
        <f t="shared" si="34"/>
        <v>0</v>
      </c>
      <c r="BJ206" s="14" t="s">
        <v>82</v>
      </c>
      <c r="BK206" s="166">
        <f t="shared" si="35"/>
        <v>0</v>
      </c>
      <c r="BL206" s="14" t="s">
        <v>185</v>
      </c>
      <c r="BM206" s="165" t="s">
        <v>385</v>
      </c>
    </row>
    <row r="207" spans="1:65" s="2" customFormat="1" ht="16.5" customHeight="1">
      <c r="A207" s="29"/>
      <c r="B207" s="152"/>
      <c r="C207" s="153" t="s">
        <v>379</v>
      </c>
      <c r="D207" s="153" t="s">
        <v>181</v>
      </c>
      <c r="E207" s="154" t="s">
        <v>1480</v>
      </c>
      <c r="F207" s="155" t="s">
        <v>1481</v>
      </c>
      <c r="G207" s="156" t="s">
        <v>217</v>
      </c>
      <c r="H207" s="157">
        <v>1</v>
      </c>
      <c r="I207" s="158"/>
      <c r="J207" s="151">
        <v>0</v>
      </c>
      <c r="K207" s="160"/>
      <c r="L207" s="30"/>
      <c r="M207" s="161" t="s">
        <v>1</v>
      </c>
      <c r="N207" s="162" t="s">
        <v>35</v>
      </c>
      <c r="O207" s="58"/>
      <c r="P207" s="163">
        <f t="shared" si="27"/>
        <v>0</v>
      </c>
      <c r="Q207" s="163">
        <v>0</v>
      </c>
      <c r="R207" s="163">
        <f t="shared" si="28"/>
        <v>0</v>
      </c>
      <c r="S207" s="163">
        <v>0</v>
      </c>
      <c r="T207" s="164">
        <f t="shared" si="29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65" t="s">
        <v>185</v>
      </c>
      <c r="AT207" s="165" t="s">
        <v>181</v>
      </c>
      <c r="AU207" s="165" t="s">
        <v>82</v>
      </c>
      <c r="AY207" s="14" t="s">
        <v>179</v>
      </c>
      <c r="BE207" s="166">
        <f t="shared" si="30"/>
        <v>0</v>
      </c>
      <c r="BF207" s="166">
        <f t="shared" si="31"/>
        <v>0</v>
      </c>
      <c r="BG207" s="166">
        <f t="shared" si="32"/>
        <v>0</v>
      </c>
      <c r="BH207" s="166">
        <f t="shared" si="33"/>
        <v>0</v>
      </c>
      <c r="BI207" s="166">
        <f t="shared" si="34"/>
        <v>0</v>
      </c>
      <c r="BJ207" s="14" t="s">
        <v>82</v>
      </c>
      <c r="BK207" s="166">
        <f t="shared" si="35"/>
        <v>0</v>
      </c>
      <c r="BL207" s="14" t="s">
        <v>185</v>
      </c>
      <c r="BM207" s="165" t="s">
        <v>390</v>
      </c>
    </row>
    <row r="208" spans="1:65" s="2" customFormat="1" ht="16.5" customHeight="1">
      <c r="A208" s="29"/>
      <c r="B208" s="152"/>
      <c r="C208" s="153" t="s">
        <v>286</v>
      </c>
      <c r="D208" s="153" t="s">
        <v>181</v>
      </c>
      <c r="E208" s="154" t="s">
        <v>1482</v>
      </c>
      <c r="F208" s="155" t="s">
        <v>1481</v>
      </c>
      <c r="G208" s="156" t="s">
        <v>217</v>
      </c>
      <c r="H208" s="157">
        <v>1</v>
      </c>
      <c r="I208" s="158"/>
      <c r="J208" s="151">
        <v>0</v>
      </c>
      <c r="K208" s="160"/>
      <c r="L208" s="30"/>
      <c r="M208" s="161" t="s">
        <v>1</v>
      </c>
      <c r="N208" s="162" t="s">
        <v>35</v>
      </c>
      <c r="O208" s="58"/>
      <c r="P208" s="163">
        <f t="shared" si="27"/>
        <v>0</v>
      </c>
      <c r="Q208" s="163">
        <v>0</v>
      </c>
      <c r="R208" s="163">
        <f t="shared" si="28"/>
        <v>0</v>
      </c>
      <c r="S208" s="163">
        <v>0</v>
      </c>
      <c r="T208" s="164">
        <f t="shared" si="29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65" t="s">
        <v>185</v>
      </c>
      <c r="AT208" s="165" t="s">
        <v>181</v>
      </c>
      <c r="AU208" s="165" t="s">
        <v>82</v>
      </c>
      <c r="AY208" s="14" t="s">
        <v>179</v>
      </c>
      <c r="BE208" s="166">
        <f t="shared" si="30"/>
        <v>0</v>
      </c>
      <c r="BF208" s="166">
        <f t="shared" si="31"/>
        <v>0</v>
      </c>
      <c r="BG208" s="166">
        <f t="shared" si="32"/>
        <v>0</v>
      </c>
      <c r="BH208" s="166">
        <f t="shared" si="33"/>
        <v>0</v>
      </c>
      <c r="BI208" s="166">
        <f t="shared" si="34"/>
        <v>0</v>
      </c>
      <c r="BJ208" s="14" t="s">
        <v>82</v>
      </c>
      <c r="BK208" s="166">
        <f t="shared" si="35"/>
        <v>0</v>
      </c>
      <c r="BL208" s="14" t="s">
        <v>185</v>
      </c>
      <c r="BM208" s="165" t="s">
        <v>393</v>
      </c>
    </row>
    <row r="209" spans="1:65" s="2" customFormat="1" ht="24.2" customHeight="1">
      <c r="A209" s="29"/>
      <c r="B209" s="152"/>
      <c r="C209" s="153" t="s">
        <v>387</v>
      </c>
      <c r="D209" s="153" t="s">
        <v>181</v>
      </c>
      <c r="E209" s="154" t="s">
        <v>1483</v>
      </c>
      <c r="F209" s="155" t="s">
        <v>1484</v>
      </c>
      <c r="G209" s="156" t="s">
        <v>217</v>
      </c>
      <c r="H209" s="157">
        <v>1</v>
      </c>
      <c r="I209" s="158"/>
      <c r="J209" s="151">
        <v>0</v>
      </c>
      <c r="K209" s="160"/>
      <c r="L209" s="30"/>
      <c r="M209" s="161" t="s">
        <v>1</v>
      </c>
      <c r="N209" s="162" t="s">
        <v>35</v>
      </c>
      <c r="O209" s="58"/>
      <c r="P209" s="163">
        <f t="shared" si="27"/>
        <v>0</v>
      </c>
      <c r="Q209" s="163">
        <v>0</v>
      </c>
      <c r="R209" s="163">
        <f t="shared" si="28"/>
        <v>0</v>
      </c>
      <c r="S209" s="163">
        <v>0</v>
      </c>
      <c r="T209" s="164">
        <f t="shared" si="29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65" t="s">
        <v>185</v>
      </c>
      <c r="AT209" s="165" t="s">
        <v>181</v>
      </c>
      <c r="AU209" s="165" t="s">
        <v>82</v>
      </c>
      <c r="AY209" s="14" t="s">
        <v>179</v>
      </c>
      <c r="BE209" s="166">
        <f t="shared" si="30"/>
        <v>0</v>
      </c>
      <c r="BF209" s="166">
        <f t="shared" si="31"/>
        <v>0</v>
      </c>
      <c r="BG209" s="166">
        <f t="shared" si="32"/>
        <v>0</v>
      </c>
      <c r="BH209" s="166">
        <f t="shared" si="33"/>
        <v>0</v>
      </c>
      <c r="BI209" s="166">
        <f t="shared" si="34"/>
        <v>0</v>
      </c>
      <c r="BJ209" s="14" t="s">
        <v>82</v>
      </c>
      <c r="BK209" s="166">
        <f t="shared" si="35"/>
        <v>0</v>
      </c>
      <c r="BL209" s="14" t="s">
        <v>185</v>
      </c>
      <c r="BM209" s="165" t="s">
        <v>397</v>
      </c>
    </row>
    <row r="210" spans="1:65" s="12" customFormat="1" ht="25.9" customHeight="1">
      <c r="B210" s="139"/>
      <c r="D210" s="140" t="s">
        <v>68</v>
      </c>
      <c r="E210" s="141" t="s">
        <v>1485</v>
      </c>
      <c r="F210" s="141" t="s">
        <v>1485</v>
      </c>
      <c r="I210" s="142"/>
      <c r="J210" s="151">
        <v>0</v>
      </c>
      <c r="L210" s="139"/>
      <c r="M210" s="144"/>
      <c r="N210" s="145"/>
      <c r="O210" s="145"/>
      <c r="P210" s="146">
        <f>SUM(P211:P219)</f>
        <v>0</v>
      </c>
      <c r="Q210" s="145"/>
      <c r="R210" s="146">
        <f>SUM(R211:R219)</f>
        <v>0</v>
      </c>
      <c r="S210" s="145"/>
      <c r="T210" s="147">
        <f>SUM(T211:T219)</f>
        <v>0</v>
      </c>
      <c r="AR210" s="140" t="s">
        <v>76</v>
      </c>
      <c r="AT210" s="148" t="s">
        <v>68</v>
      </c>
      <c r="AU210" s="148" t="s">
        <v>69</v>
      </c>
      <c r="AY210" s="140" t="s">
        <v>179</v>
      </c>
      <c r="BK210" s="149">
        <f>SUM(BK211:BK219)</f>
        <v>0</v>
      </c>
    </row>
    <row r="211" spans="1:65" s="2" customFormat="1" ht="62.65" customHeight="1">
      <c r="A211" s="29"/>
      <c r="B211" s="152"/>
      <c r="C211" s="153" t="s">
        <v>290</v>
      </c>
      <c r="D211" s="153" t="s">
        <v>181</v>
      </c>
      <c r="E211" s="154" t="s">
        <v>1486</v>
      </c>
      <c r="F211" s="339" t="s">
        <v>3411</v>
      </c>
      <c r="G211" s="156" t="s">
        <v>217</v>
      </c>
      <c r="H211" s="157">
        <v>1</v>
      </c>
      <c r="I211" s="158"/>
      <c r="J211" s="151">
        <v>0</v>
      </c>
      <c r="K211" s="160"/>
      <c r="L211" s="30"/>
      <c r="M211" s="161" t="s">
        <v>1</v>
      </c>
      <c r="N211" s="162" t="s">
        <v>35</v>
      </c>
      <c r="O211" s="58"/>
      <c r="P211" s="163">
        <f t="shared" ref="P211:P219" si="36">O211*H211</f>
        <v>0</v>
      </c>
      <c r="Q211" s="163">
        <v>0</v>
      </c>
      <c r="R211" s="163">
        <f t="shared" ref="R211:R219" si="37">Q211*H211</f>
        <v>0</v>
      </c>
      <c r="S211" s="163">
        <v>0</v>
      </c>
      <c r="T211" s="164">
        <f t="shared" ref="T211:T219" si="38">S211*H211</f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65" t="s">
        <v>185</v>
      </c>
      <c r="AT211" s="165" t="s">
        <v>181</v>
      </c>
      <c r="AU211" s="165" t="s">
        <v>76</v>
      </c>
      <c r="AY211" s="14" t="s">
        <v>179</v>
      </c>
      <c r="BE211" s="166">
        <f t="shared" ref="BE211:BE219" si="39">IF(N211="základná",J211,0)</f>
        <v>0</v>
      </c>
      <c r="BF211" s="166">
        <f t="shared" ref="BF211:BF219" si="40">IF(N211="znížená",J211,0)</f>
        <v>0</v>
      </c>
      <c r="BG211" s="166">
        <f t="shared" ref="BG211:BG219" si="41">IF(N211="zákl. prenesená",J211,0)</f>
        <v>0</v>
      </c>
      <c r="BH211" s="166">
        <f t="shared" ref="BH211:BH219" si="42">IF(N211="zníž. prenesená",J211,0)</f>
        <v>0</v>
      </c>
      <c r="BI211" s="166">
        <f t="shared" ref="BI211:BI219" si="43">IF(N211="nulová",J211,0)</f>
        <v>0</v>
      </c>
      <c r="BJ211" s="14" t="s">
        <v>82</v>
      </c>
      <c r="BK211" s="166">
        <f t="shared" ref="BK211:BK219" si="44">ROUND(I211*H211,2)</f>
        <v>0</v>
      </c>
      <c r="BL211" s="14" t="s">
        <v>185</v>
      </c>
      <c r="BM211" s="165" t="s">
        <v>400</v>
      </c>
    </row>
    <row r="212" spans="1:65" s="2" customFormat="1" ht="24.2" customHeight="1">
      <c r="A212" s="29"/>
      <c r="B212" s="152"/>
      <c r="C212" s="153" t="s">
        <v>394</v>
      </c>
      <c r="D212" s="153" t="s">
        <v>181</v>
      </c>
      <c r="E212" s="154" t="s">
        <v>1487</v>
      </c>
      <c r="F212" s="155" t="s">
        <v>1488</v>
      </c>
      <c r="G212" s="156" t="s">
        <v>217</v>
      </c>
      <c r="H212" s="157">
        <v>1</v>
      </c>
      <c r="I212" s="158"/>
      <c r="J212" s="151">
        <v>0</v>
      </c>
      <c r="K212" s="160"/>
      <c r="L212" s="30"/>
      <c r="M212" s="161" t="s">
        <v>1</v>
      </c>
      <c r="N212" s="162" t="s">
        <v>35</v>
      </c>
      <c r="O212" s="58"/>
      <c r="P212" s="163">
        <f t="shared" si="36"/>
        <v>0</v>
      </c>
      <c r="Q212" s="163">
        <v>0</v>
      </c>
      <c r="R212" s="163">
        <f t="shared" si="37"/>
        <v>0</v>
      </c>
      <c r="S212" s="163">
        <v>0</v>
      </c>
      <c r="T212" s="164">
        <f t="shared" si="38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65" t="s">
        <v>185</v>
      </c>
      <c r="AT212" s="165" t="s">
        <v>181</v>
      </c>
      <c r="AU212" s="165" t="s">
        <v>76</v>
      </c>
      <c r="AY212" s="14" t="s">
        <v>179</v>
      </c>
      <c r="BE212" s="166">
        <f t="shared" si="39"/>
        <v>0</v>
      </c>
      <c r="BF212" s="166">
        <f t="shared" si="40"/>
        <v>0</v>
      </c>
      <c r="BG212" s="166">
        <f t="shared" si="41"/>
        <v>0</v>
      </c>
      <c r="BH212" s="166">
        <f t="shared" si="42"/>
        <v>0</v>
      </c>
      <c r="BI212" s="166">
        <f t="shared" si="43"/>
        <v>0</v>
      </c>
      <c r="BJ212" s="14" t="s">
        <v>82</v>
      </c>
      <c r="BK212" s="166">
        <f t="shared" si="44"/>
        <v>0</v>
      </c>
      <c r="BL212" s="14" t="s">
        <v>185</v>
      </c>
      <c r="BM212" s="165" t="s">
        <v>404</v>
      </c>
    </row>
    <row r="213" spans="1:65" s="2" customFormat="1" ht="16.5" customHeight="1">
      <c r="A213" s="29"/>
      <c r="B213" s="152"/>
      <c r="C213" s="153" t="s">
        <v>294</v>
      </c>
      <c r="D213" s="153" t="s">
        <v>181</v>
      </c>
      <c r="E213" s="154" t="s">
        <v>1489</v>
      </c>
      <c r="F213" s="155" t="s">
        <v>1490</v>
      </c>
      <c r="G213" s="156" t="s">
        <v>217</v>
      </c>
      <c r="H213" s="157">
        <v>1</v>
      </c>
      <c r="I213" s="158"/>
      <c r="J213" s="151">
        <v>0</v>
      </c>
      <c r="K213" s="160"/>
      <c r="L213" s="30"/>
      <c r="M213" s="161" t="s">
        <v>1</v>
      </c>
      <c r="N213" s="162" t="s">
        <v>35</v>
      </c>
      <c r="O213" s="58"/>
      <c r="P213" s="163">
        <f t="shared" si="36"/>
        <v>0</v>
      </c>
      <c r="Q213" s="163">
        <v>0</v>
      </c>
      <c r="R213" s="163">
        <f t="shared" si="37"/>
        <v>0</v>
      </c>
      <c r="S213" s="163">
        <v>0</v>
      </c>
      <c r="T213" s="164">
        <f t="shared" si="38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65" t="s">
        <v>185</v>
      </c>
      <c r="AT213" s="165" t="s">
        <v>181</v>
      </c>
      <c r="AU213" s="165" t="s">
        <v>76</v>
      </c>
      <c r="AY213" s="14" t="s">
        <v>179</v>
      </c>
      <c r="BE213" s="166">
        <f t="shared" si="39"/>
        <v>0</v>
      </c>
      <c r="BF213" s="166">
        <f t="shared" si="40"/>
        <v>0</v>
      </c>
      <c r="BG213" s="166">
        <f t="shared" si="41"/>
        <v>0</v>
      </c>
      <c r="BH213" s="166">
        <f t="shared" si="42"/>
        <v>0</v>
      </c>
      <c r="BI213" s="166">
        <f t="shared" si="43"/>
        <v>0</v>
      </c>
      <c r="BJ213" s="14" t="s">
        <v>82</v>
      </c>
      <c r="BK213" s="166">
        <f t="shared" si="44"/>
        <v>0</v>
      </c>
      <c r="BL213" s="14" t="s">
        <v>185</v>
      </c>
      <c r="BM213" s="165" t="s">
        <v>407</v>
      </c>
    </row>
    <row r="214" spans="1:65" s="2" customFormat="1" ht="21.75" customHeight="1">
      <c r="A214" s="29"/>
      <c r="B214" s="152"/>
      <c r="C214" s="153" t="s">
        <v>401</v>
      </c>
      <c r="D214" s="153" t="s">
        <v>181</v>
      </c>
      <c r="E214" s="154" t="s">
        <v>1491</v>
      </c>
      <c r="F214" s="155" t="s">
        <v>1492</v>
      </c>
      <c r="G214" s="156" t="s">
        <v>217</v>
      </c>
      <c r="H214" s="157">
        <v>3</v>
      </c>
      <c r="I214" s="158"/>
      <c r="J214" s="151">
        <v>0</v>
      </c>
      <c r="K214" s="160"/>
      <c r="L214" s="30"/>
      <c r="M214" s="161" t="s">
        <v>1</v>
      </c>
      <c r="N214" s="162" t="s">
        <v>35</v>
      </c>
      <c r="O214" s="58"/>
      <c r="P214" s="163">
        <f t="shared" si="36"/>
        <v>0</v>
      </c>
      <c r="Q214" s="163">
        <v>0</v>
      </c>
      <c r="R214" s="163">
        <f t="shared" si="37"/>
        <v>0</v>
      </c>
      <c r="S214" s="163">
        <v>0</v>
      </c>
      <c r="T214" s="164">
        <f t="shared" si="38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65" t="s">
        <v>185</v>
      </c>
      <c r="AT214" s="165" t="s">
        <v>181</v>
      </c>
      <c r="AU214" s="165" t="s">
        <v>76</v>
      </c>
      <c r="AY214" s="14" t="s">
        <v>179</v>
      </c>
      <c r="BE214" s="166">
        <f t="shared" si="39"/>
        <v>0</v>
      </c>
      <c r="BF214" s="166">
        <f t="shared" si="40"/>
        <v>0</v>
      </c>
      <c r="BG214" s="166">
        <f t="shared" si="41"/>
        <v>0</v>
      </c>
      <c r="BH214" s="166">
        <f t="shared" si="42"/>
        <v>0</v>
      </c>
      <c r="BI214" s="166">
        <f t="shared" si="43"/>
        <v>0</v>
      </c>
      <c r="BJ214" s="14" t="s">
        <v>82</v>
      </c>
      <c r="BK214" s="166">
        <f t="shared" si="44"/>
        <v>0</v>
      </c>
      <c r="BL214" s="14" t="s">
        <v>185</v>
      </c>
      <c r="BM214" s="165" t="s">
        <v>411</v>
      </c>
    </row>
    <row r="215" spans="1:65" s="2" customFormat="1" ht="21.75" customHeight="1">
      <c r="A215" s="29"/>
      <c r="B215" s="152"/>
      <c r="C215" s="153" t="s">
        <v>298</v>
      </c>
      <c r="D215" s="153" t="s">
        <v>181</v>
      </c>
      <c r="E215" s="154" t="s">
        <v>1493</v>
      </c>
      <c r="F215" s="155" t="s">
        <v>1494</v>
      </c>
      <c r="G215" s="156" t="s">
        <v>217</v>
      </c>
      <c r="H215" s="157">
        <v>1</v>
      </c>
      <c r="I215" s="158"/>
      <c r="J215" s="151">
        <v>0</v>
      </c>
      <c r="K215" s="160"/>
      <c r="L215" s="30"/>
      <c r="M215" s="161" t="s">
        <v>1</v>
      </c>
      <c r="N215" s="162" t="s">
        <v>35</v>
      </c>
      <c r="O215" s="58"/>
      <c r="P215" s="163">
        <f t="shared" si="36"/>
        <v>0</v>
      </c>
      <c r="Q215" s="163">
        <v>0</v>
      </c>
      <c r="R215" s="163">
        <f t="shared" si="37"/>
        <v>0</v>
      </c>
      <c r="S215" s="163">
        <v>0</v>
      </c>
      <c r="T215" s="164">
        <f t="shared" si="38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65" t="s">
        <v>185</v>
      </c>
      <c r="AT215" s="165" t="s">
        <v>181</v>
      </c>
      <c r="AU215" s="165" t="s">
        <v>76</v>
      </c>
      <c r="AY215" s="14" t="s">
        <v>179</v>
      </c>
      <c r="BE215" s="166">
        <f t="shared" si="39"/>
        <v>0</v>
      </c>
      <c r="BF215" s="166">
        <f t="shared" si="40"/>
        <v>0</v>
      </c>
      <c r="BG215" s="166">
        <f t="shared" si="41"/>
        <v>0</v>
      </c>
      <c r="BH215" s="166">
        <f t="shared" si="42"/>
        <v>0</v>
      </c>
      <c r="BI215" s="166">
        <f t="shared" si="43"/>
        <v>0</v>
      </c>
      <c r="BJ215" s="14" t="s">
        <v>82</v>
      </c>
      <c r="BK215" s="166">
        <f t="shared" si="44"/>
        <v>0</v>
      </c>
      <c r="BL215" s="14" t="s">
        <v>185</v>
      </c>
      <c r="BM215" s="165" t="s">
        <v>414</v>
      </c>
    </row>
    <row r="216" spans="1:65" s="2" customFormat="1" ht="24.2" customHeight="1">
      <c r="A216" s="29"/>
      <c r="B216" s="152"/>
      <c r="C216" s="153" t="s">
        <v>408</v>
      </c>
      <c r="D216" s="153" t="s">
        <v>181</v>
      </c>
      <c r="E216" s="154" t="s">
        <v>1495</v>
      </c>
      <c r="F216" s="155" t="s">
        <v>1496</v>
      </c>
      <c r="G216" s="156" t="s">
        <v>217</v>
      </c>
      <c r="H216" s="157">
        <v>4</v>
      </c>
      <c r="I216" s="158"/>
      <c r="J216" s="151">
        <v>0</v>
      </c>
      <c r="K216" s="160"/>
      <c r="L216" s="30"/>
      <c r="M216" s="161" t="s">
        <v>1</v>
      </c>
      <c r="N216" s="162" t="s">
        <v>35</v>
      </c>
      <c r="O216" s="58"/>
      <c r="P216" s="163">
        <f t="shared" si="36"/>
        <v>0</v>
      </c>
      <c r="Q216" s="163">
        <v>0</v>
      </c>
      <c r="R216" s="163">
        <f t="shared" si="37"/>
        <v>0</v>
      </c>
      <c r="S216" s="163">
        <v>0</v>
      </c>
      <c r="T216" s="164">
        <f t="shared" si="38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65" t="s">
        <v>185</v>
      </c>
      <c r="AT216" s="165" t="s">
        <v>181</v>
      </c>
      <c r="AU216" s="165" t="s">
        <v>76</v>
      </c>
      <c r="AY216" s="14" t="s">
        <v>179</v>
      </c>
      <c r="BE216" s="166">
        <f t="shared" si="39"/>
        <v>0</v>
      </c>
      <c r="BF216" s="166">
        <f t="shared" si="40"/>
        <v>0</v>
      </c>
      <c r="BG216" s="166">
        <f t="shared" si="41"/>
        <v>0</v>
      </c>
      <c r="BH216" s="166">
        <f t="shared" si="42"/>
        <v>0</v>
      </c>
      <c r="BI216" s="166">
        <f t="shared" si="43"/>
        <v>0</v>
      </c>
      <c r="BJ216" s="14" t="s">
        <v>82</v>
      </c>
      <c r="BK216" s="166">
        <f t="shared" si="44"/>
        <v>0</v>
      </c>
      <c r="BL216" s="14" t="s">
        <v>185</v>
      </c>
      <c r="BM216" s="165" t="s">
        <v>418</v>
      </c>
    </row>
    <row r="217" spans="1:65" s="2" customFormat="1" ht="16.5" customHeight="1">
      <c r="A217" s="29"/>
      <c r="B217" s="152"/>
      <c r="C217" s="153" t="s">
        <v>301</v>
      </c>
      <c r="D217" s="153" t="s">
        <v>181</v>
      </c>
      <c r="E217" s="154" t="s">
        <v>1497</v>
      </c>
      <c r="F217" s="155" t="s">
        <v>1498</v>
      </c>
      <c r="G217" s="156" t="s">
        <v>217</v>
      </c>
      <c r="H217" s="157">
        <v>1</v>
      </c>
      <c r="I217" s="158"/>
      <c r="J217" s="151">
        <v>0</v>
      </c>
      <c r="K217" s="160"/>
      <c r="L217" s="30"/>
      <c r="M217" s="161" t="s">
        <v>1</v>
      </c>
      <c r="N217" s="162" t="s">
        <v>35</v>
      </c>
      <c r="O217" s="58"/>
      <c r="P217" s="163">
        <f t="shared" si="36"/>
        <v>0</v>
      </c>
      <c r="Q217" s="163">
        <v>0</v>
      </c>
      <c r="R217" s="163">
        <f t="shared" si="37"/>
        <v>0</v>
      </c>
      <c r="S217" s="163">
        <v>0</v>
      </c>
      <c r="T217" s="164">
        <f t="shared" si="38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65" t="s">
        <v>185</v>
      </c>
      <c r="AT217" s="165" t="s">
        <v>181</v>
      </c>
      <c r="AU217" s="165" t="s">
        <v>76</v>
      </c>
      <c r="AY217" s="14" t="s">
        <v>179</v>
      </c>
      <c r="BE217" s="166">
        <f t="shared" si="39"/>
        <v>0</v>
      </c>
      <c r="BF217" s="166">
        <f t="shared" si="40"/>
        <v>0</v>
      </c>
      <c r="BG217" s="166">
        <f t="shared" si="41"/>
        <v>0</v>
      </c>
      <c r="BH217" s="166">
        <f t="shared" si="42"/>
        <v>0</v>
      </c>
      <c r="BI217" s="166">
        <f t="shared" si="43"/>
        <v>0</v>
      </c>
      <c r="BJ217" s="14" t="s">
        <v>82</v>
      </c>
      <c r="BK217" s="166">
        <f t="shared" si="44"/>
        <v>0</v>
      </c>
      <c r="BL217" s="14" t="s">
        <v>185</v>
      </c>
      <c r="BM217" s="165" t="s">
        <v>421</v>
      </c>
    </row>
    <row r="218" spans="1:65" s="2" customFormat="1" ht="16.5" customHeight="1">
      <c r="A218" s="29"/>
      <c r="B218" s="152"/>
      <c r="C218" s="153" t="s">
        <v>415</v>
      </c>
      <c r="D218" s="153" t="s">
        <v>181</v>
      </c>
      <c r="E218" s="154" t="s">
        <v>1499</v>
      </c>
      <c r="F218" s="155" t="s">
        <v>1500</v>
      </c>
      <c r="G218" s="156" t="s">
        <v>217</v>
      </c>
      <c r="H218" s="157">
        <v>1</v>
      </c>
      <c r="I218" s="158"/>
      <c r="J218" s="151">
        <v>0</v>
      </c>
      <c r="K218" s="160"/>
      <c r="L218" s="30"/>
      <c r="M218" s="161" t="s">
        <v>1</v>
      </c>
      <c r="N218" s="162" t="s">
        <v>35</v>
      </c>
      <c r="O218" s="58"/>
      <c r="P218" s="163">
        <f t="shared" si="36"/>
        <v>0</v>
      </c>
      <c r="Q218" s="163">
        <v>0</v>
      </c>
      <c r="R218" s="163">
        <f t="shared" si="37"/>
        <v>0</v>
      </c>
      <c r="S218" s="163">
        <v>0</v>
      </c>
      <c r="T218" s="164">
        <f t="shared" si="38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65" t="s">
        <v>185</v>
      </c>
      <c r="AT218" s="165" t="s">
        <v>181</v>
      </c>
      <c r="AU218" s="165" t="s">
        <v>76</v>
      </c>
      <c r="AY218" s="14" t="s">
        <v>179</v>
      </c>
      <c r="BE218" s="166">
        <f t="shared" si="39"/>
        <v>0</v>
      </c>
      <c r="BF218" s="166">
        <f t="shared" si="40"/>
        <v>0</v>
      </c>
      <c r="BG218" s="166">
        <f t="shared" si="41"/>
        <v>0</v>
      </c>
      <c r="BH218" s="166">
        <f t="shared" si="42"/>
        <v>0</v>
      </c>
      <c r="BI218" s="166">
        <f t="shared" si="43"/>
        <v>0</v>
      </c>
      <c r="BJ218" s="14" t="s">
        <v>82</v>
      </c>
      <c r="BK218" s="166">
        <f t="shared" si="44"/>
        <v>0</v>
      </c>
      <c r="BL218" s="14" t="s">
        <v>185</v>
      </c>
      <c r="BM218" s="165" t="s">
        <v>425</v>
      </c>
    </row>
    <row r="219" spans="1:65" s="2" customFormat="1" ht="24.2" customHeight="1">
      <c r="A219" s="29"/>
      <c r="B219" s="152"/>
      <c r="C219" s="153" t="s">
        <v>305</v>
      </c>
      <c r="D219" s="153" t="s">
        <v>181</v>
      </c>
      <c r="E219" s="154" t="s">
        <v>1501</v>
      </c>
      <c r="F219" s="155" t="s">
        <v>1502</v>
      </c>
      <c r="G219" s="156" t="s">
        <v>217</v>
      </c>
      <c r="H219" s="157">
        <v>4</v>
      </c>
      <c r="I219" s="158"/>
      <c r="J219" s="151">
        <v>0</v>
      </c>
      <c r="K219" s="160"/>
      <c r="L219" s="30"/>
      <c r="M219" s="161" t="s">
        <v>1</v>
      </c>
      <c r="N219" s="162" t="s">
        <v>35</v>
      </c>
      <c r="O219" s="58"/>
      <c r="P219" s="163">
        <f t="shared" si="36"/>
        <v>0</v>
      </c>
      <c r="Q219" s="163">
        <v>0</v>
      </c>
      <c r="R219" s="163">
        <f t="shared" si="37"/>
        <v>0</v>
      </c>
      <c r="S219" s="163">
        <v>0</v>
      </c>
      <c r="T219" s="164">
        <f t="shared" si="38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65" t="s">
        <v>185</v>
      </c>
      <c r="AT219" s="165" t="s">
        <v>181</v>
      </c>
      <c r="AU219" s="165" t="s">
        <v>76</v>
      </c>
      <c r="AY219" s="14" t="s">
        <v>179</v>
      </c>
      <c r="BE219" s="166">
        <f t="shared" si="39"/>
        <v>0</v>
      </c>
      <c r="BF219" s="166">
        <f t="shared" si="40"/>
        <v>0</v>
      </c>
      <c r="BG219" s="166">
        <f t="shared" si="41"/>
        <v>0</v>
      </c>
      <c r="BH219" s="166">
        <f t="shared" si="42"/>
        <v>0</v>
      </c>
      <c r="BI219" s="166">
        <f t="shared" si="43"/>
        <v>0</v>
      </c>
      <c r="BJ219" s="14" t="s">
        <v>82</v>
      </c>
      <c r="BK219" s="166">
        <f t="shared" si="44"/>
        <v>0</v>
      </c>
      <c r="BL219" s="14" t="s">
        <v>185</v>
      </c>
      <c r="BM219" s="165" t="s">
        <v>428</v>
      </c>
    </row>
    <row r="220" spans="1:65" s="12" customFormat="1" ht="25.9" customHeight="1">
      <c r="B220" s="139"/>
      <c r="D220" s="140" t="s">
        <v>68</v>
      </c>
      <c r="E220" s="141" t="s">
        <v>1503</v>
      </c>
      <c r="F220" s="141" t="s">
        <v>1503</v>
      </c>
      <c r="I220" s="142"/>
      <c r="J220" s="151">
        <v>0</v>
      </c>
      <c r="L220" s="139"/>
      <c r="M220" s="144"/>
      <c r="N220" s="145"/>
      <c r="O220" s="145"/>
      <c r="P220" s="146">
        <f>P221+P223</f>
        <v>0</v>
      </c>
      <c r="Q220" s="145"/>
      <c r="R220" s="146">
        <f>R221+R223</f>
        <v>0</v>
      </c>
      <c r="S220" s="145"/>
      <c r="T220" s="147">
        <f>T221+T223</f>
        <v>0</v>
      </c>
      <c r="AR220" s="140" t="s">
        <v>76</v>
      </c>
      <c r="AT220" s="148" t="s">
        <v>68</v>
      </c>
      <c r="AU220" s="148" t="s">
        <v>69</v>
      </c>
      <c r="AY220" s="140" t="s">
        <v>179</v>
      </c>
      <c r="BK220" s="149">
        <f>BK221+BK223</f>
        <v>0</v>
      </c>
    </row>
    <row r="221" spans="1:65" s="12" customFormat="1" ht="22.9" customHeight="1">
      <c r="B221" s="139"/>
      <c r="D221" s="140" t="s">
        <v>68</v>
      </c>
      <c r="E221" s="150" t="s">
        <v>1504</v>
      </c>
      <c r="F221" s="150" t="s">
        <v>1505</v>
      </c>
      <c r="I221" s="142"/>
      <c r="J221" s="151">
        <v>0</v>
      </c>
      <c r="L221" s="139"/>
      <c r="M221" s="144"/>
      <c r="N221" s="145"/>
      <c r="O221" s="145"/>
      <c r="P221" s="146">
        <f>P222</f>
        <v>0</v>
      </c>
      <c r="Q221" s="145"/>
      <c r="R221" s="146">
        <f>R222</f>
        <v>0</v>
      </c>
      <c r="S221" s="145"/>
      <c r="T221" s="147">
        <f>T222</f>
        <v>0</v>
      </c>
      <c r="AR221" s="140" t="s">
        <v>76</v>
      </c>
      <c r="AT221" s="148" t="s">
        <v>68</v>
      </c>
      <c r="AU221" s="148" t="s">
        <v>76</v>
      </c>
      <c r="AY221" s="140" t="s">
        <v>179</v>
      </c>
      <c r="BK221" s="149">
        <f>BK222</f>
        <v>0</v>
      </c>
    </row>
    <row r="222" spans="1:65" s="2" customFormat="1" ht="49.15" customHeight="1">
      <c r="A222" s="29"/>
      <c r="B222" s="152"/>
      <c r="C222" s="153" t="s">
        <v>422</v>
      </c>
      <c r="D222" s="153" t="s">
        <v>181</v>
      </c>
      <c r="E222" s="154" t="s">
        <v>1506</v>
      </c>
      <c r="F222" s="155" t="s">
        <v>1507</v>
      </c>
      <c r="G222" s="156" t="s">
        <v>217</v>
      </c>
      <c r="H222" s="157">
        <v>1</v>
      </c>
      <c r="I222" s="158"/>
      <c r="J222" s="151">
        <v>0</v>
      </c>
      <c r="K222" s="160"/>
      <c r="L222" s="30"/>
      <c r="M222" s="161" t="s">
        <v>1</v>
      </c>
      <c r="N222" s="162" t="s">
        <v>35</v>
      </c>
      <c r="O222" s="58"/>
      <c r="P222" s="163">
        <f>O222*H222</f>
        <v>0</v>
      </c>
      <c r="Q222" s="163">
        <v>0</v>
      </c>
      <c r="R222" s="163">
        <f>Q222*H222</f>
        <v>0</v>
      </c>
      <c r="S222" s="163">
        <v>0</v>
      </c>
      <c r="T222" s="164">
        <f>S222*H222</f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65" t="s">
        <v>185</v>
      </c>
      <c r="AT222" s="165" t="s">
        <v>181</v>
      </c>
      <c r="AU222" s="165" t="s">
        <v>82</v>
      </c>
      <c r="AY222" s="14" t="s">
        <v>179</v>
      </c>
      <c r="BE222" s="166">
        <f>IF(N222="základná",J222,0)</f>
        <v>0</v>
      </c>
      <c r="BF222" s="166">
        <f>IF(N222="znížená",J222,0)</f>
        <v>0</v>
      </c>
      <c r="BG222" s="166">
        <f>IF(N222="zákl. prenesená",J222,0)</f>
        <v>0</v>
      </c>
      <c r="BH222" s="166">
        <f>IF(N222="zníž. prenesená",J222,0)</f>
        <v>0</v>
      </c>
      <c r="BI222" s="166">
        <f>IF(N222="nulová",J222,0)</f>
        <v>0</v>
      </c>
      <c r="BJ222" s="14" t="s">
        <v>82</v>
      </c>
      <c r="BK222" s="166">
        <f>ROUND(I222*H222,2)</f>
        <v>0</v>
      </c>
      <c r="BL222" s="14" t="s">
        <v>185</v>
      </c>
      <c r="BM222" s="165" t="s">
        <v>432</v>
      </c>
    </row>
    <row r="223" spans="1:65" s="12" customFormat="1" ht="22.9" customHeight="1">
      <c r="B223" s="139"/>
      <c r="D223" s="140" t="s">
        <v>68</v>
      </c>
      <c r="E223" s="150" t="s">
        <v>1508</v>
      </c>
      <c r="F223" s="150" t="s">
        <v>1509</v>
      </c>
      <c r="I223" s="142"/>
      <c r="J223" s="151">
        <v>0</v>
      </c>
      <c r="L223" s="139"/>
      <c r="M223" s="144"/>
      <c r="N223" s="145"/>
      <c r="O223" s="145"/>
      <c r="P223" s="146">
        <f>P224</f>
        <v>0</v>
      </c>
      <c r="Q223" s="145"/>
      <c r="R223" s="146">
        <f>R224</f>
        <v>0</v>
      </c>
      <c r="S223" s="145"/>
      <c r="T223" s="147">
        <f>T224</f>
        <v>0</v>
      </c>
      <c r="AR223" s="140" t="s">
        <v>76</v>
      </c>
      <c r="AT223" s="148" t="s">
        <v>68</v>
      </c>
      <c r="AU223" s="148" t="s">
        <v>76</v>
      </c>
      <c r="AY223" s="140" t="s">
        <v>179</v>
      </c>
      <c r="BK223" s="149">
        <f>BK224</f>
        <v>0</v>
      </c>
    </row>
    <row r="224" spans="1:65" s="2" customFormat="1" ht="16.5" customHeight="1">
      <c r="A224" s="29"/>
      <c r="B224" s="152"/>
      <c r="C224" s="153" t="s">
        <v>308</v>
      </c>
      <c r="D224" s="153" t="s">
        <v>181</v>
      </c>
      <c r="E224" s="154" t="s">
        <v>1510</v>
      </c>
      <c r="F224" s="155" t="s">
        <v>1511</v>
      </c>
      <c r="G224" s="156" t="s">
        <v>217</v>
      </c>
      <c r="H224" s="157">
        <v>1</v>
      </c>
      <c r="I224" s="158"/>
      <c r="J224" s="151">
        <v>0</v>
      </c>
      <c r="K224" s="160"/>
      <c r="L224" s="30"/>
      <c r="M224" s="161" t="s">
        <v>1</v>
      </c>
      <c r="N224" s="162" t="s">
        <v>35</v>
      </c>
      <c r="O224" s="58"/>
      <c r="P224" s="163">
        <f>O224*H224</f>
        <v>0</v>
      </c>
      <c r="Q224" s="163">
        <v>0</v>
      </c>
      <c r="R224" s="163">
        <f>Q224*H224</f>
        <v>0</v>
      </c>
      <c r="S224" s="163">
        <v>0</v>
      </c>
      <c r="T224" s="164">
        <f>S224*H224</f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65" t="s">
        <v>185</v>
      </c>
      <c r="AT224" s="165" t="s">
        <v>181</v>
      </c>
      <c r="AU224" s="165" t="s">
        <v>82</v>
      </c>
      <c r="AY224" s="14" t="s">
        <v>179</v>
      </c>
      <c r="BE224" s="166">
        <f>IF(N224="základná",J224,0)</f>
        <v>0</v>
      </c>
      <c r="BF224" s="166">
        <f>IF(N224="znížená",J224,0)</f>
        <v>0</v>
      </c>
      <c r="BG224" s="166">
        <f>IF(N224="zákl. prenesená",J224,0)</f>
        <v>0</v>
      </c>
      <c r="BH224" s="166">
        <f>IF(N224="zníž. prenesená",J224,0)</f>
        <v>0</v>
      </c>
      <c r="BI224" s="166">
        <f>IF(N224="nulová",J224,0)</f>
        <v>0</v>
      </c>
      <c r="BJ224" s="14" t="s">
        <v>82</v>
      </c>
      <c r="BK224" s="166">
        <f>ROUND(I224*H224,2)</f>
        <v>0</v>
      </c>
      <c r="BL224" s="14" t="s">
        <v>185</v>
      </c>
      <c r="BM224" s="165" t="s">
        <v>435</v>
      </c>
    </row>
    <row r="225" spans="1:65" s="12" customFormat="1" ht="25.9" customHeight="1">
      <c r="B225" s="139"/>
      <c r="D225" s="140" t="s">
        <v>68</v>
      </c>
      <c r="E225" s="141" t="s">
        <v>1512</v>
      </c>
      <c r="F225" s="141" t="s">
        <v>1512</v>
      </c>
      <c r="I225" s="142"/>
      <c r="J225" s="151">
        <v>0</v>
      </c>
      <c r="L225" s="139"/>
      <c r="M225" s="144"/>
      <c r="N225" s="145"/>
      <c r="O225" s="145"/>
      <c r="P225" s="146">
        <f>P226+SUM(P227:P302)+P310+P320+P336+P341+P346+P352</f>
        <v>0</v>
      </c>
      <c r="Q225" s="145"/>
      <c r="R225" s="146">
        <f>R226+SUM(R227:R302)+R310+R320+R336+R341+R346+R352</f>
        <v>0</v>
      </c>
      <c r="S225" s="145"/>
      <c r="T225" s="147">
        <f>T226+SUM(T227:T302)+T310+T320+T336+T341+T346+T352</f>
        <v>0</v>
      </c>
      <c r="AR225" s="140" t="s">
        <v>76</v>
      </c>
      <c r="AT225" s="148" t="s">
        <v>68</v>
      </c>
      <c r="AU225" s="148" t="s">
        <v>69</v>
      </c>
      <c r="AY225" s="140" t="s">
        <v>179</v>
      </c>
      <c r="BK225" s="149">
        <f>BK226+SUM(BK227:BK302)+BK310+BK320+BK336+BK341+BK346+BK352</f>
        <v>0</v>
      </c>
    </row>
    <row r="226" spans="1:65" s="2" customFormat="1" ht="16.5" customHeight="1">
      <c r="A226" s="29"/>
      <c r="B226" s="152"/>
      <c r="C226" s="153" t="s">
        <v>429</v>
      </c>
      <c r="D226" s="153" t="s">
        <v>181</v>
      </c>
      <c r="E226" s="154" t="s">
        <v>1513</v>
      </c>
      <c r="F226" s="155" t="s">
        <v>1514</v>
      </c>
      <c r="G226" s="156" t="s">
        <v>293</v>
      </c>
      <c r="H226" s="157">
        <v>648</v>
      </c>
      <c r="I226" s="158"/>
      <c r="J226" s="151">
        <v>0</v>
      </c>
      <c r="K226" s="160"/>
      <c r="L226" s="30"/>
      <c r="M226" s="161" t="s">
        <v>1</v>
      </c>
      <c r="N226" s="162" t="s">
        <v>35</v>
      </c>
      <c r="O226" s="58"/>
      <c r="P226" s="163">
        <f t="shared" ref="P226:P257" si="45">O226*H226</f>
        <v>0</v>
      </c>
      <c r="Q226" s="163">
        <v>0</v>
      </c>
      <c r="R226" s="163">
        <f t="shared" ref="R226:R257" si="46">Q226*H226</f>
        <v>0</v>
      </c>
      <c r="S226" s="163">
        <v>0</v>
      </c>
      <c r="T226" s="164">
        <f t="shared" ref="T226:T257" si="47">S226*H226</f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65" t="s">
        <v>185</v>
      </c>
      <c r="AT226" s="165" t="s">
        <v>181</v>
      </c>
      <c r="AU226" s="165" t="s">
        <v>76</v>
      </c>
      <c r="AY226" s="14" t="s">
        <v>179</v>
      </c>
      <c r="BE226" s="166">
        <f t="shared" ref="BE226:BE257" si="48">IF(N226="základná",J226,0)</f>
        <v>0</v>
      </c>
      <c r="BF226" s="166">
        <f t="shared" ref="BF226:BF257" si="49">IF(N226="znížená",J226,0)</f>
        <v>0</v>
      </c>
      <c r="BG226" s="166">
        <f t="shared" ref="BG226:BG257" si="50">IF(N226="zákl. prenesená",J226,0)</f>
        <v>0</v>
      </c>
      <c r="BH226" s="166">
        <f t="shared" ref="BH226:BH257" si="51">IF(N226="zníž. prenesená",J226,0)</f>
        <v>0</v>
      </c>
      <c r="BI226" s="166">
        <f t="shared" ref="BI226:BI257" si="52">IF(N226="nulová",J226,0)</f>
        <v>0</v>
      </c>
      <c r="BJ226" s="14" t="s">
        <v>82</v>
      </c>
      <c r="BK226" s="166">
        <f t="shared" ref="BK226:BK257" si="53">ROUND(I226*H226,2)</f>
        <v>0</v>
      </c>
      <c r="BL226" s="14" t="s">
        <v>185</v>
      </c>
      <c r="BM226" s="165" t="s">
        <v>439</v>
      </c>
    </row>
    <row r="227" spans="1:65" s="2" customFormat="1" ht="16.5" customHeight="1">
      <c r="A227" s="29"/>
      <c r="B227" s="152"/>
      <c r="C227" s="153" t="s">
        <v>312</v>
      </c>
      <c r="D227" s="153" t="s">
        <v>181</v>
      </c>
      <c r="E227" s="154" t="s">
        <v>1515</v>
      </c>
      <c r="F227" s="155" t="s">
        <v>1516</v>
      </c>
      <c r="G227" s="156" t="s">
        <v>293</v>
      </c>
      <c r="H227" s="157">
        <v>628</v>
      </c>
      <c r="I227" s="158"/>
      <c r="J227" s="151">
        <v>0</v>
      </c>
      <c r="K227" s="160"/>
      <c r="L227" s="30"/>
      <c r="M227" s="161" t="s">
        <v>1</v>
      </c>
      <c r="N227" s="162" t="s">
        <v>35</v>
      </c>
      <c r="O227" s="58"/>
      <c r="P227" s="163">
        <f t="shared" si="45"/>
        <v>0</v>
      </c>
      <c r="Q227" s="163">
        <v>0</v>
      </c>
      <c r="R227" s="163">
        <f t="shared" si="46"/>
        <v>0</v>
      </c>
      <c r="S227" s="163">
        <v>0</v>
      </c>
      <c r="T227" s="164">
        <f t="shared" si="47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65" t="s">
        <v>185</v>
      </c>
      <c r="AT227" s="165" t="s">
        <v>181</v>
      </c>
      <c r="AU227" s="165" t="s">
        <v>76</v>
      </c>
      <c r="AY227" s="14" t="s">
        <v>179</v>
      </c>
      <c r="BE227" s="166">
        <f t="shared" si="48"/>
        <v>0</v>
      </c>
      <c r="BF227" s="166">
        <f t="shared" si="49"/>
        <v>0</v>
      </c>
      <c r="BG227" s="166">
        <f t="shared" si="50"/>
        <v>0</v>
      </c>
      <c r="BH227" s="166">
        <f t="shared" si="51"/>
        <v>0</v>
      </c>
      <c r="BI227" s="166">
        <f t="shared" si="52"/>
        <v>0</v>
      </c>
      <c r="BJ227" s="14" t="s">
        <v>82</v>
      </c>
      <c r="BK227" s="166">
        <f t="shared" si="53"/>
        <v>0</v>
      </c>
      <c r="BL227" s="14" t="s">
        <v>185</v>
      </c>
      <c r="BM227" s="165" t="s">
        <v>442</v>
      </c>
    </row>
    <row r="228" spans="1:65" s="2" customFormat="1" ht="24.2" customHeight="1">
      <c r="A228" s="29"/>
      <c r="B228" s="152"/>
      <c r="C228" s="153" t="s">
        <v>436</v>
      </c>
      <c r="D228" s="153" t="s">
        <v>181</v>
      </c>
      <c r="E228" s="154" t="s">
        <v>1517</v>
      </c>
      <c r="F228" s="155" t="s">
        <v>1518</v>
      </c>
      <c r="G228" s="156" t="s">
        <v>293</v>
      </c>
      <c r="H228" s="157">
        <v>782</v>
      </c>
      <c r="I228" s="158"/>
      <c r="J228" s="151">
        <v>0</v>
      </c>
      <c r="K228" s="160"/>
      <c r="L228" s="30"/>
      <c r="M228" s="161" t="s">
        <v>1</v>
      </c>
      <c r="N228" s="162" t="s">
        <v>35</v>
      </c>
      <c r="O228" s="58"/>
      <c r="P228" s="163">
        <f t="shared" si="45"/>
        <v>0</v>
      </c>
      <c r="Q228" s="163">
        <v>0</v>
      </c>
      <c r="R228" s="163">
        <f t="shared" si="46"/>
        <v>0</v>
      </c>
      <c r="S228" s="163">
        <v>0</v>
      </c>
      <c r="T228" s="164">
        <f t="shared" si="47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65" t="s">
        <v>185</v>
      </c>
      <c r="AT228" s="165" t="s">
        <v>181</v>
      </c>
      <c r="AU228" s="165" t="s">
        <v>76</v>
      </c>
      <c r="AY228" s="14" t="s">
        <v>179</v>
      </c>
      <c r="BE228" s="166">
        <f t="shared" si="48"/>
        <v>0</v>
      </c>
      <c r="BF228" s="166">
        <f t="shared" si="49"/>
        <v>0</v>
      </c>
      <c r="BG228" s="166">
        <f t="shared" si="50"/>
        <v>0</v>
      </c>
      <c r="BH228" s="166">
        <f t="shared" si="51"/>
        <v>0</v>
      </c>
      <c r="BI228" s="166">
        <f t="shared" si="52"/>
        <v>0</v>
      </c>
      <c r="BJ228" s="14" t="s">
        <v>82</v>
      </c>
      <c r="BK228" s="166">
        <f t="shared" si="53"/>
        <v>0</v>
      </c>
      <c r="BL228" s="14" t="s">
        <v>185</v>
      </c>
      <c r="BM228" s="165" t="s">
        <v>446</v>
      </c>
    </row>
    <row r="229" spans="1:65" s="2" customFormat="1" ht="24.2" customHeight="1">
      <c r="A229" s="29"/>
      <c r="B229" s="152"/>
      <c r="C229" s="153" t="s">
        <v>315</v>
      </c>
      <c r="D229" s="153" t="s">
        <v>181</v>
      </c>
      <c r="E229" s="154" t="s">
        <v>1519</v>
      </c>
      <c r="F229" s="155" t="s">
        <v>1520</v>
      </c>
      <c r="G229" s="156" t="s">
        <v>293</v>
      </c>
      <c r="H229" s="157">
        <v>215</v>
      </c>
      <c r="I229" s="158"/>
      <c r="J229" s="151">
        <v>0</v>
      </c>
      <c r="K229" s="160"/>
      <c r="L229" s="30"/>
      <c r="M229" s="161" t="s">
        <v>1</v>
      </c>
      <c r="N229" s="162" t="s">
        <v>35</v>
      </c>
      <c r="O229" s="58"/>
      <c r="P229" s="163">
        <f t="shared" si="45"/>
        <v>0</v>
      </c>
      <c r="Q229" s="163">
        <v>0</v>
      </c>
      <c r="R229" s="163">
        <f t="shared" si="46"/>
        <v>0</v>
      </c>
      <c r="S229" s="163">
        <v>0</v>
      </c>
      <c r="T229" s="164">
        <f t="shared" si="47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65" t="s">
        <v>185</v>
      </c>
      <c r="AT229" s="165" t="s">
        <v>181</v>
      </c>
      <c r="AU229" s="165" t="s">
        <v>76</v>
      </c>
      <c r="AY229" s="14" t="s">
        <v>179</v>
      </c>
      <c r="BE229" s="166">
        <f t="shared" si="48"/>
        <v>0</v>
      </c>
      <c r="BF229" s="166">
        <f t="shared" si="49"/>
        <v>0</v>
      </c>
      <c r="BG229" s="166">
        <f t="shared" si="50"/>
        <v>0</v>
      </c>
      <c r="BH229" s="166">
        <f t="shared" si="51"/>
        <v>0</v>
      </c>
      <c r="BI229" s="166">
        <f t="shared" si="52"/>
        <v>0</v>
      </c>
      <c r="BJ229" s="14" t="s">
        <v>82</v>
      </c>
      <c r="BK229" s="166">
        <f t="shared" si="53"/>
        <v>0</v>
      </c>
      <c r="BL229" s="14" t="s">
        <v>185</v>
      </c>
      <c r="BM229" s="165" t="s">
        <v>449</v>
      </c>
    </row>
    <row r="230" spans="1:65" s="2" customFormat="1" ht="24.2" customHeight="1">
      <c r="A230" s="29"/>
      <c r="B230" s="152"/>
      <c r="C230" s="153" t="s">
        <v>443</v>
      </c>
      <c r="D230" s="153" t="s">
        <v>181</v>
      </c>
      <c r="E230" s="154" t="s">
        <v>1521</v>
      </c>
      <c r="F230" s="155" t="s">
        <v>1522</v>
      </c>
      <c r="G230" s="156" t="s">
        <v>293</v>
      </c>
      <c r="H230" s="157">
        <v>503</v>
      </c>
      <c r="I230" s="158"/>
      <c r="J230" s="151">
        <v>0</v>
      </c>
      <c r="K230" s="160"/>
      <c r="L230" s="30"/>
      <c r="M230" s="161" t="s">
        <v>1</v>
      </c>
      <c r="N230" s="162" t="s">
        <v>35</v>
      </c>
      <c r="O230" s="58"/>
      <c r="P230" s="163">
        <f t="shared" si="45"/>
        <v>0</v>
      </c>
      <c r="Q230" s="163">
        <v>0</v>
      </c>
      <c r="R230" s="163">
        <f t="shared" si="46"/>
        <v>0</v>
      </c>
      <c r="S230" s="163">
        <v>0</v>
      </c>
      <c r="T230" s="164">
        <f t="shared" si="47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65" t="s">
        <v>185</v>
      </c>
      <c r="AT230" s="165" t="s">
        <v>181</v>
      </c>
      <c r="AU230" s="165" t="s">
        <v>76</v>
      </c>
      <c r="AY230" s="14" t="s">
        <v>179</v>
      </c>
      <c r="BE230" s="166">
        <f t="shared" si="48"/>
        <v>0</v>
      </c>
      <c r="BF230" s="166">
        <f t="shared" si="49"/>
        <v>0</v>
      </c>
      <c r="BG230" s="166">
        <f t="shared" si="50"/>
        <v>0</v>
      </c>
      <c r="BH230" s="166">
        <f t="shared" si="51"/>
        <v>0</v>
      </c>
      <c r="BI230" s="166">
        <f t="shared" si="52"/>
        <v>0</v>
      </c>
      <c r="BJ230" s="14" t="s">
        <v>82</v>
      </c>
      <c r="BK230" s="166">
        <f t="shared" si="53"/>
        <v>0</v>
      </c>
      <c r="BL230" s="14" t="s">
        <v>185</v>
      </c>
      <c r="BM230" s="165" t="s">
        <v>453</v>
      </c>
    </row>
    <row r="231" spans="1:65" s="2" customFormat="1" ht="24.2" customHeight="1">
      <c r="A231" s="29"/>
      <c r="B231" s="152"/>
      <c r="C231" s="153" t="s">
        <v>319</v>
      </c>
      <c r="D231" s="153" t="s">
        <v>181</v>
      </c>
      <c r="E231" s="154" t="s">
        <v>1523</v>
      </c>
      <c r="F231" s="155" t="s">
        <v>1524</v>
      </c>
      <c r="G231" s="156" t="s">
        <v>293</v>
      </c>
      <c r="H231" s="157">
        <v>380</v>
      </c>
      <c r="I231" s="158"/>
      <c r="J231" s="151">
        <v>0</v>
      </c>
      <c r="K231" s="160"/>
      <c r="L231" s="30"/>
      <c r="M231" s="161" t="s">
        <v>1</v>
      </c>
      <c r="N231" s="162" t="s">
        <v>35</v>
      </c>
      <c r="O231" s="58"/>
      <c r="P231" s="163">
        <f t="shared" si="45"/>
        <v>0</v>
      </c>
      <c r="Q231" s="163">
        <v>0</v>
      </c>
      <c r="R231" s="163">
        <f t="shared" si="46"/>
        <v>0</v>
      </c>
      <c r="S231" s="163">
        <v>0</v>
      </c>
      <c r="T231" s="164">
        <f t="shared" si="47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65" t="s">
        <v>185</v>
      </c>
      <c r="AT231" s="165" t="s">
        <v>181</v>
      </c>
      <c r="AU231" s="165" t="s">
        <v>76</v>
      </c>
      <c r="AY231" s="14" t="s">
        <v>179</v>
      </c>
      <c r="BE231" s="166">
        <f t="shared" si="48"/>
        <v>0</v>
      </c>
      <c r="BF231" s="166">
        <f t="shared" si="49"/>
        <v>0</v>
      </c>
      <c r="BG231" s="166">
        <f t="shared" si="50"/>
        <v>0</v>
      </c>
      <c r="BH231" s="166">
        <f t="shared" si="51"/>
        <v>0</v>
      </c>
      <c r="BI231" s="166">
        <f t="shared" si="52"/>
        <v>0</v>
      </c>
      <c r="BJ231" s="14" t="s">
        <v>82</v>
      </c>
      <c r="BK231" s="166">
        <f t="shared" si="53"/>
        <v>0</v>
      </c>
      <c r="BL231" s="14" t="s">
        <v>185</v>
      </c>
      <c r="BM231" s="165" t="s">
        <v>456</v>
      </c>
    </row>
    <row r="232" spans="1:65" s="2" customFormat="1" ht="24.2" customHeight="1">
      <c r="A232" s="29"/>
      <c r="B232" s="152"/>
      <c r="C232" s="153" t="s">
        <v>450</v>
      </c>
      <c r="D232" s="153" t="s">
        <v>181</v>
      </c>
      <c r="E232" s="154" t="s">
        <v>1525</v>
      </c>
      <c r="F232" s="155" t="s">
        <v>1526</v>
      </c>
      <c r="G232" s="156" t="s">
        <v>293</v>
      </c>
      <c r="H232" s="157">
        <v>69</v>
      </c>
      <c r="I232" s="158"/>
      <c r="J232" s="151">
        <v>0</v>
      </c>
      <c r="K232" s="160"/>
      <c r="L232" s="30"/>
      <c r="M232" s="161" t="s">
        <v>1</v>
      </c>
      <c r="N232" s="162" t="s">
        <v>35</v>
      </c>
      <c r="O232" s="58"/>
      <c r="P232" s="163">
        <f t="shared" si="45"/>
        <v>0</v>
      </c>
      <c r="Q232" s="163">
        <v>0</v>
      </c>
      <c r="R232" s="163">
        <f t="shared" si="46"/>
        <v>0</v>
      </c>
      <c r="S232" s="163">
        <v>0</v>
      </c>
      <c r="T232" s="164">
        <f t="shared" si="47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65" t="s">
        <v>185</v>
      </c>
      <c r="AT232" s="165" t="s">
        <v>181</v>
      </c>
      <c r="AU232" s="165" t="s">
        <v>76</v>
      </c>
      <c r="AY232" s="14" t="s">
        <v>179</v>
      </c>
      <c r="BE232" s="166">
        <f t="shared" si="48"/>
        <v>0</v>
      </c>
      <c r="BF232" s="166">
        <f t="shared" si="49"/>
        <v>0</v>
      </c>
      <c r="BG232" s="166">
        <f t="shared" si="50"/>
        <v>0</v>
      </c>
      <c r="BH232" s="166">
        <f t="shared" si="51"/>
        <v>0</v>
      </c>
      <c r="BI232" s="166">
        <f t="shared" si="52"/>
        <v>0</v>
      </c>
      <c r="BJ232" s="14" t="s">
        <v>82</v>
      </c>
      <c r="BK232" s="166">
        <f t="shared" si="53"/>
        <v>0</v>
      </c>
      <c r="BL232" s="14" t="s">
        <v>185</v>
      </c>
      <c r="BM232" s="165" t="s">
        <v>460</v>
      </c>
    </row>
    <row r="233" spans="1:65" s="2" customFormat="1" ht="24.2" customHeight="1">
      <c r="A233" s="29"/>
      <c r="B233" s="152"/>
      <c r="C233" s="153" t="s">
        <v>322</v>
      </c>
      <c r="D233" s="153" t="s">
        <v>181</v>
      </c>
      <c r="E233" s="154" t="s">
        <v>1527</v>
      </c>
      <c r="F233" s="155" t="s">
        <v>1528</v>
      </c>
      <c r="G233" s="156" t="s">
        <v>293</v>
      </c>
      <c r="H233" s="157">
        <v>225</v>
      </c>
      <c r="I233" s="158"/>
      <c r="J233" s="151">
        <v>0</v>
      </c>
      <c r="K233" s="160"/>
      <c r="L233" s="30"/>
      <c r="M233" s="161" t="s">
        <v>1</v>
      </c>
      <c r="N233" s="162" t="s">
        <v>35</v>
      </c>
      <c r="O233" s="58"/>
      <c r="P233" s="163">
        <f t="shared" si="45"/>
        <v>0</v>
      </c>
      <c r="Q233" s="163">
        <v>0</v>
      </c>
      <c r="R233" s="163">
        <f t="shared" si="46"/>
        <v>0</v>
      </c>
      <c r="S233" s="163">
        <v>0</v>
      </c>
      <c r="T233" s="164">
        <f t="shared" si="47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65" t="s">
        <v>185</v>
      </c>
      <c r="AT233" s="165" t="s">
        <v>181</v>
      </c>
      <c r="AU233" s="165" t="s">
        <v>76</v>
      </c>
      <c r="AY233" s="14" t="s">
        <v>179</v>
      </c>
      <c r="BE233" s="166">
        <f t="shared" si="48"/>
        <v>0</v>
      </c>
      <c r="BF233" s="166">
        <f t="shared" si="49"/>
        <v>0</v>
      </c>
      <c r="BG233" s="166">
        <f t="shared" si="50"/>
        <v>0</v>
      </c>
      <c r="BH233" s="166">
        <f t="shared" si="51"/>
        <v>0</v>
      </c>
      <c r="BI233" s="166">
        <f t="shared" si="52"/>
        <v>0</v>
      </c>
      <c r="BJ233" s="14" t="s">
        <v>82</v>
      </c>
      <c r="BK233" s="166">
        <f t="shared" si="53"/>
        <v>0</v>
      </c>
      <c r="BL233" s="14" t="s">
        <v>185</v>
      </c>
      <c r="BM233" s="165" t="s">
        <v>463</v>
      </c>
    </row>
    <row r="234" spans="1:65" s="2" customFormat="1" ht="24.2" customHeight="1">
      <c r="A234" s="29"/>
      <c r="B234" s="152"/>
      <c r="C234" s="153" t="s">
        <v>457</v>
      </c>
      <c r="D234" s="153" t="s">
        <v>181</v>
      </c>
      <c r="E234" s="154" t="s">
        <v>1529</v>
      </c>
      <c r="F234" s="155" t="s">
        <v>1530</v>
      </c>
      <c r="G234" s="156" t="s">
        <v>293</v>
      </c>
      <c r="H234" s="157">
        <v>120</v>
      </c>
      <c r="I234" s="158"/>
      <c r="J234" s="151">
        <v>0</v>
      </c>
      <c r="K234" s="160"/>
      <c r="L234" s="30"/>
      <c r="M234" s="161" t="s">
        <v>1</v>
      </c>
      <c r="N234" s="162" t="s">
        <v>35</v>
      </c>
      <c r="O234" s="58"/>
      <c r="P234" s="163">
        <f t="shared" si="45"/>
        <v>0</v>
      </c>
      <c r="Q234" s="163">
        <v>0</v>
      </c>
      <c r="R234" s="163">
        <f t="shared" si="46"/>
        <v>0</v>
      </c>
      <c r="S234" s="163">
        <v>0</v>
      </c>
      <c r="T234" s="164">
        <f t="shared" si="47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65" t="s">
        <v>185</v>
      </c>
      <c r="AT234" s="165" t="s">
        <v>181</v>
      </c>
      <c r="AU234" s="165" t="s">
        <v>76</v>
      </c>
      <c r="AY234" s="14" t="s">
        <v>179</v>
      </c>
      <c r="BE234" s="166">
        <f t="shared" si="48"/>
        <v>0</v>
      </c>
      <c r="BF234" s="166">
        <f t="shared" si="49"/>
        <v>0</v>
      </c>
      <c r="BG234" s="166">
        <f t="shared" si="50"/>
        <v>0</v>
      </c>
      <c r="BH234" s="166">
        <f t="shared" si="51"/>
        <v>0</v>
      </c>
      <c r="BI234" s="166">
        <f t="shared" si="52"/>
        <v>0</v>
      </c>
      <c r="BJ234" s="14" t="s">
        <v>82</v>
      </c>
      <c r="BK234" s="166">
        <f t="shared" si="53"/>
        <v>0</v>
      </c>
      <c r="BL234" s="14" t="s">
        <v>185</v>
      </c>
      <c r="BM234" s="165" t="s">
        <v>467</v>
      </c>
    </row>
    <row r="235" spans="1:65" s="2" customFormat="1" ht="24.2" customHeight="1">
      <c r="A235" s="29"/>
      <c r="B235" s="152"/>
      <c r="C235" s="153" t="s">
        <v>326</v>
      </c>
      <c r="D235" s="153" t="s">
        <v>181</v>
      </c>
      <c r="E235" s="154" t="s">
        <v>1531</v>
      </c>
      <c r="F235" s="155" t="s">
        <v>1532</v>
      </c>
      <c r="G235" s="156" t="s">
        <v>293</v>
      </c>
      <c r="H235" s="157">
        <v>65</v>
      </c>
      <c r="I235" s="158"/>
      <c r="J235" s="151">
        <v>0</v>
      </c>
      <c r="K235" s="160"/>
      <c r="L235" s="30"/>
      <c r="M235" s="161" t="s">
        <v>1</v>
      </c>
      <c r="N235" s="162" t="s">
        <v>35</v>
      </c>
      <c r="O235" s="58"/>
      <c r="P235" s="163">
        <f t="shared" si="45"/>
        <v>0</v>
      </c>
      <c r="Q235" s="163">
        <v>0</v>
      </c>
      <c r="R235" s="163">
        <f t="shared" si="46"/>
        <v>0</v>
      </c>
      <c r="S235" s="163">
        <v>0</v>
      </c>
      <c r="T235" s="164">
        <f t="shared" si="47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65" t="s">
        <v>185</v>
      </c>
      <c r="AT235" s="165" t="s">
        <v>181</v>
      </c>
      <c r="AU235" s="165" t="s">
        <v>76</v>
      </c>
      <c r="AY235" s="14" t="s">
        <v>179</v>
      </c>
      <c r="BE235" s="166">
        <f t="shared" si="48"/>
        <v>0</v>
      </c>
      <c r="BF235" s="166">
        <f t="shared" si="49"/>
        <v>0</v>
      </c>
      <c r="BG235" s="166">
        <f t="shared" si="50"/>
        <v>0</v>
      </c>
      <c r="BH235" s="166">
        <f t="shared" si="51"/>
        <v>0</v>
      </c>
      <c r="BI235" s="166">
        <f t="shared" si="52"/>
        <v>0</v>
      </c>
      <c r="BJ235" s="14" t="s">
        <v>82</v>
      </c>
      <c r="BK235" s="166">
        <f t="shared" si="53"/>
        <v>0</v>
      </c>
      <c r="BL235" s="14" t="s">
        <v>185</v>
      </c>
      <c r="BM235" s="165" t="s">
        <v>470</v>
      </c>
    </row>
    <row r="236" spans="1:65" s="2" customFormat="1" ht="21.75" customHeight="1">
      <c r="A236" s="29"/>
      <c r="B236" s="152"/>
      <c r="C236" s="153" t="s">
        <v>464</v>
      </c>
      <c r="D236" s="153" t="s">
        <v>181</v>
      </c>
      <c r="E236" s="154" t="s">
        <v>1533</v>
      </c>
      <c r="F236" s="155" t="s">
        <v>1534</v>
      </c>
      <c r="G236" s="156" t="s">
        <v>293</v>
      </c>
      <c r="H236" s="157">
        <v>55</v>
      </c>
      <c r="I236" s="158"/>
      <c r="J236" s="151">
        <v>0</v>
      </c>
      <c r="K236" s="160"/>
      <c r="L236" s="30"/>
      <c r="M236" s="161" t="s">
        <v>1</v>
      </c>
      <c r="N236" s="162" t="s">
        <v>35</v>
      </c>
      <c r="O236" s="58"/>
      <c r="P236" s="163">
        <f t="shared" si="45"/>
        <v>0</v>
      </c>
      <c r="Q236" s="163">
        <v>0</v>
      </c>
      <c r="R236" s="163">
        <f t="shared" si="46"/>
        <v>0</v>
      </c>
      <c r="S236" s="163">
        <v>0</v>
      </c>
      <c r="T236" s="164">
        <f t="shared" si="47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65" t="s">
        <v>185</v>
      </c>
      <c r="AT236" s="165" t="s">
        <v>181</v>
      </c>
      <c r="AU236" s="165" t="s">
        <v>76</v>
      </c>
      <c r="AY236" s="14" t="s">
        <v>179</v>
      </c>
      <c r="BE236" s="166">
        <f t="shared" si="48"/>
        <v>0</v>
      </c>
      <c r="BF236" s="166">
        <f t="shared" si="49"/>
        <v>0</v>
      </c>
      <c r="BG236" s="166">
        <f t="shared" si="50"/>
        <v>0</v>
      </c>
      <c r="BH236" s="166">
        <f t="shared" si="51"/>
        <v>0</v>
      </c>
      <c r="BI236" s="166">
        <f t="shared" si="52"/>
        <v>0</v>
      </c>
      <c r="BJ236" s="14" t="s">
        <v>82</v>
      </c>
      <c r="BK236" s="166">
        <f t="shared" si="53"/>
        <v>0</v>
      </c>
      <c r="BL236" s="14" t="s">
        <v>185</v>
      </c>
      <c r="BM236" s="165" t="s">
        <v>474</v>
      </c>
    </row>
    <row r="237" spans="1:65" s="2" customFormat="1" ht="16.5" customHeight="1">
      <c r="A237" s="29"/>
      <c r="B237" s="152"/>
      <c r="C237" s="153" t="s">
        <v>329</v>
      </c>
      <c r="D237" s="153" t="s">
        <v>181</v>
      </c>
      <c r="E237" s="154" t="s">
        <v>1535</v>
      </c>
      <c r="F237" s="155" t="s">
        <v>1536</v>
      </c>
      <c r="G237" s="156" t="s">
        <v>293</v>
      </c>
      <c r="H237" s="157">
        <v>106</v>
      </c>
      <c r="I237" s="158"/>
      <c r="J237" s="151">
        <v>0</v>
      </c>
      <c r="K237" s="160"/>
      <c r="L237" s="30"/>
      <c r="M237" s="161" t="s">
        <v>1</v>
      </c>
      <c r="N237" s="162" t="s">
        <v>35</v>
      </c>
      <c r="O237" s="58"/>
      <c r="P237" s="163">
        <f t="shared" si="45"/>
        <v>0</v>
      </c>
      <c r="Q237" s="163">
        <v>0</v>
      </c>
      <c r="R237" s="163">
        <f t="shared" si="46"/>
        <v>0</v>
      </c>
      <c r="S237" s="163">
        <v>0</v>
      </c>
      <c r="T237" s="164">
        <f t="shared" si="47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65" t="s">
        <v>185</v>
      </c>
      <c r="AT237" s="165" t="s">
        <v>181</v>
      </c>
      <c r="AU237" s="165" t="s">
        <v>76</v>
      </c>
      <c r="AY237" s="14" t="s">
        <v>179</v>
      </c>
      <c r="BE237" s="166">
        <f t="shared" si="48"/>
        <v>0</v>
      </c>
      <c r="BF237" s="166">
        <f t="shared" si="49"/>
        <v>0</v>
      </c>
      <c r="BG237" s="166">
        <f t="shared" si="50"/>
        <v>0</v>
      </c>
      <c r="BH237" s="166">
        <f t="shared" si="51"/>
        <v>0</v>
      </c>
      <c r="BI237" s="166">
        <f t="shared" si="52"/>
        <v>0</v>
      </c>
      <c r="BJ237" s="14" t="s">
        <v>82</v>
      </c>
      <c r="BK237" s="166">
        <f t="shared" si="53"/>
        <v>0</v>
      </c>
      <c r="BL237" s="14" t="s">
        <v>185</v>
      </c>
      <c r="BM237" s="165" t="s">
        <v>478</v>
      </c>
    </row>
    <row r="238" spans="1:65" s="2" customFormat="1" ht="55.5" customHeight="1">
      <c r="A238" s="29"/>
      <c r="B238" s="152"/>
      <c r="C238" s="153" t="s">
        <v>471</v>
      </c>
      <c r="D238" s="153" t="s">
        <v>181</v>
      </c>
      <c r="E238" s="154" t="s">
        <v>1537</v>
      </c>
      <c r="F238" s="155" t="s">
        <v>1538</v>
      </c>
      <c r="G238" s="156" t="s">
        <v>293</v>
      </c>
      <c r="H238" s="157">
        <v>50</v>
      </c>
      <c r="I238" s="158"/>
      <c r="J238" s="151">
        <v>0</v>
      </c>
      <c r="K238" s="160"/>
      <c r="L238" s="30"/>
      <c r="M238" s="161" t="s">
        <v>1</v>
      </c>
      <c r="N238" s="162" t="s">
        <v>35</v>
      </c>
      <c r="O238" s="58"/>
      <c r="P238" s="163">
        <f t="shared" si="45"/>
        <v>0</v>
      </c>
      <c r="Q238" s="163">
        <v>0</v>
      </c>
      <c r="R238" s="163">
        <f t="shared" si="46"/>
        <v>0</v>
      </c>
      <c r="S238" s="163">
        <v>0</v>
      </c>
      <c r="T238" s="164">
        <f t="shared" si="47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65" t="s">
        <v>185</v>
      </c>
      <c r="AT238" s="165" t="s">
        <v>181</v>
      </c>
      <c r="AU238" s="165" t="s">
        <v>76</v>
      </c>
      <c r="AY238" s="14" t="s">
        <v>179</v>
      </c>
      <c r="BE238" s="166">
        <f t="shared" si="48"/>
        <v>0</v>
      </c>
      <c r="BF238" s="166">
        <f t="shared" si="49"/>
        <v>0</v>
      </c>
      <c r="BG238" s="166">
        <f t="shared" si="50"/>
        <v>0</v>
      </c>
      <c r="BH238" s="166">
        <f t="shared" si="51"/>
        <v>0</v>
      </c>
      <c r="BI238" s="166">
        <f t="shared" si="52"/>
        <v>0</v>
      </c>
      <c r="BJ238" s="14" t="s">
        <v>82</v>
      </c>
      <c r="BK238" s="166">
        <f t="shared" si="53"/>
        <v>0</v>
      </c>
      <c r="BL238" s="14" t="s">
        <v>185</v>
      </c>
      <c r="BM238" s="165" t="s">
        <v>482</v>
      </c>
    </row>
    <row r="239" spans="1:65" s="2" customFormat="1" ht="24.2" customHeight="1">
      <c r="A239" s="29"/>
      <c r="B239" s="152"/>
      <c r="C239" s="153" t="s">
        <v>333</v>
      </c>
      <c r="D239" s="153" t="s">
        <v>181</v>
      </c>
      <c r="E239" s="154" t="s">
        <v>1539</v>
      </c>
      <c r="F239" s="155" t="s">
        <v>1540</v>
      </c>
      <c r="G239" s="156" t="s">
        <v>293</v>
      </c>
      <c r="H239" s="157">
        <v>42</v>
      </c>
      <c r="I239" s="158"/>
      <c r="J239" s="151">
        <v>0</v>
      </c>
      <c r="K239" s="160"/>
      <c r="L239" s="30"/>
      <c r="M239" s="161" t="s">
        <v>1</v>
      </c>
      <c r="N239" s="162" t="s">
        <v>35</v>
      </c>
      <c r="O239" s="58"/>
      <c r="P239" s="163">
        <f t="shared" si="45"/>
        <v>0</v>
      </c>
      <c r="Q239" s="163">
        <v>0</v>
      </c>
      <c r="R239" s="163">
        <f t="shared" si="46"/>
        <v>0</v>
      </c>
      <c r="S239" s="163">
        <v>0</v>
      </c>
      <c r="T239" s="164">
        <f t="shared" si="47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65" t="s">
        <v>185</v>
      </c>
      <c r="AT239" s="165" t="s">
        <v>181</v>
      </c>
      <c r="AU239" s="165" t="s">
        <v>76</v>
      </c>
      <c r="AY239" s="14" t="s">
        <v>179</v>
      </c>
      <c r="BE239" s="166">
        <f t="shared" si="48"/>
        <v>0</v>
      </c>
      <c r="BF239" s="166">
        <f t="shared" si="49"/>
        <v>0</v>
      </c>
      <c r="BG239" s="166">
        <f t="shared" si="50"/>
        <v>0</v>
      </c>
      <c r="BH239" s="166">
        <f t="shared" si="51"/>
        <v>0</v>
      </c>
      <c r="BI239" s="166">
        <f t="shared" si="52"/>
        <v>0</v>
      </c>
      <c r="BJ239" s="14" t="s">
        <v>82</v>
      </c>
      <c r="BK239" s="166">
        <f t="shared" si="53"/>
        <v>0</v>
      </c>
      <c r="BL239" s="14" t="s">
        <v>185</v>
      </c>
      <c r="BM239" s="165" t="s">
        <v>485</v>
      </c>
    </row>
    <row r="240" spans="1:65" s="2" customFormat="1" ht="44.25" customHeight="1">
      <c r="A240" s="29"/>
      <c r="B240" s="152"/>
      <c r="C240" s="153" t="s">
        <v>479</v>
      </c>
      <c r="D240" s="153" t="s">
        <v>181</v>
      </c>
      <c r="E240" s="154" t="s">
        <v>1541</v>
      </c>
      <c r="F240" s="155" t="s">
        <v>1542</v>
      </c>
      <c r="G240" s="156" t="s">
        <v>293</v>
      </c>
      <c r="H240" s="157">
        <v>114</v>
      </c>
      <c r="I240" s="158"/>
      <c r="J240" s="151">
        <v>0</v>
      </c>
      <c r="K240" s="160"/>
      <c r="L240" s="30"/>
      <c r="M240" s="161" t="s">
        <v>1</v>
      </c>
      <c r="N240" s="162" t="s">
        <v>35</v>
      </c>
      <c r="O240" s="58"/>
      <c r="P240" s="163">
        <f t="shared" si="45"/>
        <v>0</v>
      </c>
      <c r="Q240" s="163">
        <v>0</v>
      </c>
      <c r="R240" s="163">
        <f t="shared" si="46"/>
        <v>0</v>
      </c>
      <c r="S240" s="163">
        <v>0</v>
      </c>
      <c r="T240" s="164">
        <f t="shared" si="47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65" t="s">
        <v>185</v>
      </c>
      <c r="AT240" s="165" t="s">
        <v>181</v>
      </c>
      <c r="AU240" s="165" t="s">
        <v>76</v>
      </c>
      <c r="AY240" s="14" t="s">
        <v>179</v>
      </c>
      <c r="BE240" s="166">
        <f t="shared" si="48"/>
        <v>0</v>
      </c>
      <c r="BF240" s="166">
        <f t="shared" si="49"/>
        <v>0</v>
      </c>
      <c r="BG240" s="166">
        <f t="shared" si="50"/>
        <v>0</v>
      </c>
      <c r="BH240" s="166">
        <f t="shared" si="51"/>
        <v>0</v>
      </c>
      <c r="BI240" s="166">
        <f t="shared" si="52"/>
        <v>0</v>
      </c>
      <c r="BJ240" s="14" t="s">
        <v>82</v>
      </c>
      <c r="BK240" s="166">
        <f t="shared" si="53"/>
        <v>0</v>
      </c>
      <c r="BL240" s="14" t="s">
        <v>185</v>
      </c>
      <c r="BM240" s="165" t="s">
        <v>489</v>
      </c>
    </row>
    <row r="241" spans="1:65" s="2" customFormat="1" ht="44.25" customHeight="1">
      <c r="A241" s="29"/>
      <c r="B241" s="152"/>
      <c r="C241" s="153" t="s">
        <v>336</v>
      </c>
      <c r="D241" s="153" t="s">
        <v>181</v>
      </c>
      <c r="E241" s="154" t="s">
        <v>1543</v>
      </c>
      <c r="F241" s="155" t="s">
        <v>1544</v>
      </c>
      <c r="G241" s="156" t="s">
        <v>293</v>
      </c>
      <c r="H241" s="157">
        <v>12</v>
      </c>
      <c r="I241" s="158"/>
      <c r="J241" s="151">
        <v>0</v>
      </c>
      <c r="K241" s="160"/>
      <c r="L241" s="30"/>
      <c r="M241" s="161" t="s">
        <v>1</v>
      </c>
      <c r="N241" s="162" t="s">
        <v>35</v>
      </c>
      <c r="O241" s="58"/>
      <c r="P241" s="163">
        <f t="shared" si="45"/>
        <v>0</v>
      </c>
      <c r="Q241" s="163">
        <v>0</v>
      </c>
      <c r="R241" s="163">
        <f t="shared" si="46"/>
        <v>0</v>
      </c>
      <c r="S241" s="163">
        <v>0</v>
      </c>
      <c r="T241" s="164">
        <f t="shared" si="47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65" t="s">
        <v>185</v>
      </c>
      <c r="AT241" s="165" t="s">
        <v>181</v>
      </c>
      <c r="AU241" s="165" t="s">
        <v>76</v>
      </c>
      <c r="AY241" s="14" t="s">
        <v>179</v>
      </c>
      <c r="BE241" s="166">
        <f t="shared" si="48"/>
        <v>0</v>
      </c>
      <c r="BF241" s="166">
        <f t="shared" si="49"/>
        <v>0</v>
      </c>
      <c r="BG241" s="166">
        <f t="shared" si="50"/>
        <v>0</v>
      </c>
      <c r="BH241" s="166">
        <f t="shared" si="51"/>
        <v>0</v>
      </c>
      <c r="BI241" s="166">
        <f t="shared" si="52"/>
        <v>0</v>
      </c>
      <c r="BJ241" s="14" t="s">
        <v>82</v>
      </c>
      <c r="BK241" s="166">
        <f t="shared" si="53"/>
        <v>0</v>
      </c>
      <c r="BL241" s="14" t="s">
        <v>185</v>
      </c>
      <c r="BM241" s="165" t="s">
        <v>492</v>
      </c>
    </row>
    <row r="242" spans="1:65" s="2" customFormat="1" ht="44.25" customHeight="1">
      <c r="A242" s="29"/>
      <c r="B242" s="152"/>
      <c r="C242" s="153" t="s">
        <v>486</v>
      </c>
      <c r="D242" s="153" t="s">
        <v>181</v>
      </c>
      <c r="E242" s="154" t="s">
        <v>1545</v>
      </c>
      <c r="F242" s="155" t="s">
        <v>1546</v>
      </c>
      <c r="G242" s="156" t="s">
        <v>293</v>
      </c>
      <c r="H242" s="157">
        <v>3</v>
      </c>
      <c r="I242" s="158"/>
      <c r="J242" s="151">
        <v>0</v>
      </c>
      <c r="K242" s="160"/>
      <c r="L242" s="30"/>
      <c r="M242" s="161" t="s">
        <v>1</v>
      </c>
      <c r="N242" s="162" t="s">
        <v>35</v>
      </c>
      <c r="O242" s="58"/>
      <c r="P242" s="163">
        <f t="shared" si="45"/>
        <v>0</v>
      </c>
      <c r="Q242" s="163">
        <v>0</v>
      </c>
      <c r="R242" s="163">
        <f t="shared" si="46"/>
        <v>0</v>
      </c>
      <c r="S242" s="163">
        <v>0</v>
      </c>
      <c r="T242" s="164">
        <f t="shared" si="47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65" t="s">
        <v>185</v>
      </c>
      <c r="AT242" s="165" t="s">
        <v>181</v>
      </c>
      <c r="AU242" s="165" t="s">
        <v>76</v>
      </c>
      <c r="AY242" s="14" t="s">
        <v>179</v>
      </c>
      <c r="BE242" s="166">
        <f t="shared" si="48"/>
        <v>0</v>
      </c>
      <c r="BF242" s="166">
        <f t="shared" si="49"/>
        <v>0</v>
      </c>
      <c r="BG242" s="166">
        <f t="shared" si="50"/>
        <v>0</v>
      </c>
      <c r="BH242" s="166">
        <f t="shared" si="51"/>
        <v>0</v>
      </c>
      <c r="BI242" s="166">
        <f t="shared" si="52"/>
        <v>0</v>
      </c>
      <c r="BJ242" s="14" t="s">
        <v>82</v>
      </c>
      <c r="BK242" s="166">
        <f t="shared" si="53"/>
        <v>0</v>
      </c>
      <c r="BL242" s="14" t="s">
        <v>185</v>
      </c>
      <c r="BM242" s="165" t="s">
        <v>496</v>
      </c>
    </row>
    <row r="243" spans="1:65" s="2" customFormat="1" ht="44.25" customHeight="1">
      <c r="A243" s="29"/>
      <c r="B243" s="152"/>
      <c r="C243" s="153" t="s">
        <v>340</v>
      </c>
      <c r="D243" s="153" t="s">
        <v>181</v>
      </c>
      <c r="E243" s="154" t="s">
        <v>1547</v>
      </c>
      <c r="F243" s="155" t="s">
        <v>1548</v>
      </c>
      <c r="G243" s="156" t="s">
        <v>293</v>
      </c>
      <c r="H243" s="157">
        <v>21</v>
      </c>
      <c r="I243" s="158"/>
      <c r="J243" s="151">
        <v>0</v>
      </c>
      <c r="K243" s="160"/>
      <c r="L243" s="30"/>
      <c r="M243" s="161" t="s">
        <v>1</v>
      </c>
      <c r="N243" s="162" t="s">
        <v>35</v>
      </c>
      <c r="O243" s="58"/>
      <c r="P243" s="163">
        <f t="shared" si="45"/>
        <v>0</v>
      </c>
      <c r="Q243" s="163">
        <v>0</v>
      </c>
      <c r="R243" s="163">
        <f t="shared" si="46"/>
        <v>0</v>
      </c>
      <c r="S243" s="163">
        <v>0</v>
      </c>
      <c r="T243" s="164">
        <f t="shared" si="47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65" t="s">
        <v>185</v>
      </c>
      <c r="AT243" s="165" t="s">
        <v>181</v>
      </c>
      <c r="AU243" s="165" t="s">
        <v>76</v>
      </c>
      <c r="AY243" s="14" t="s">
        <v>179</v>
      </c>
      <c r="BE243" s="166">
        <f t="shared" si="48"/>
        <v>0</v>
      </c>
      <c r="BF243" s="166">
        <f t="shared" si="49"/>
        <v>0</v>
      </c>
      <c r="BG243" s="166">
        <f t="shared" si="50"/>
        <v>0</v>
      </c>
      <c r="BH243" s="166">
        <f t="shared" si="51"/>
        <v>0</v>
      </c>
      <c r="BI243" s="166">
        <f t="shared" si="52"/>
        <v>0</v>
      </c>
      <c r="BJ243" s="14" t="s">
        <v>82</v>
      </c>
      <c r="BK243" s="166">
        <f t="shared" si="53"/>
        <v>0</v>
      </c>
      <c r="BL243" s="14" t="s">
        <v>185</v>
      </c>
      <c r="BM243" s="165" t="s">
        <v>499</v>
      </c>
    </row>
    <row r="244" spans="1:65" s="2" customFormat="1" ht="49.15" customHeight="1">
      <c r="A244" s="29"/>
      <c r="B244" s="152"/>
      <c r="C244" s="153" t="s">
        <v>493</v>
      </c>
      <c r="D244" s="153" t="s">
        <v>181</v>
      </c>
      <c r="E244" s="154" t="s">
        <v>1549</v>
      </c>
      <c r="F244" s="155" t="s">
        <v>1550</v>
      </c>
      <c r="G244" s="156" t="s">
        <v>217</v>
      </c>
      <c r="H244" s="157">
        <v>30</v>
      </c>
      <c r="I244" s="158"/>
      <c r="J244" s="151">
        <v>0</v>
      </c>
      <c r="K244" s="160"/>
      <c r="L244" s="30"/>
      <c r="M244" s="161" t="s">
        <v>1</v>
      </c>
      <c r="N244" s="162" t="s">
        <v>35</v>
      </c>
      <c r="O244" s="58"/>
      <c r="P244" s="163">
        <f t="shared" si="45"/>
        <v>0</v>
      </c>
      <c r="Q244" s="163">
        <v>0</v>
      </c>
      <c r="R244" s="163">
        <f t="shared" si="46"/>
        <v>0</v>
      </c>
      <c r="S244" s="163">
        <v>0</v>
      </c>
      <c r="T244" s="164">
        <f t="shared" si="47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65" t="s">
        <v>185</v>
      </c>
      <c r="AT244" s="165" t="s">
        <v>181</v>
      </c>
      <c r="AU244" s="165" t="s">
        <v>76</v>
      </c>
      <c r="AY244" s="14" t="s">
        <v>179</v>
      </c>
      <c r="BE244" s="166">
        <f t="shared" si="48"/>
        <v>0</v>
      </c>
      <c r="BF244" s="166">
        <f t="shared" si="49"/>
        <v>0</v>
      </c>
      <c r="BG244" s="166">
        <f t="shared" si="50"/>
        <v>0</v>
      </c>
      <c r="BH244" s="166">
        <f t="shared" si="51"/>
        <v>0</v>
      </c>
      <c r="BI244" s="166">
        <f t="shared" si="52"/>
        <v>0</v>
      </c>
      <c r="BJ244" s="14" t="s">
        <v>82</v>
      </c>
      <c r="BK244" s="166">
        <f t="shared" si="53"/>
        <v>0</v>
      </c>
      <c r="BL244" s="14" t="s">
        <v>185</v>
      </c>
      <c r="BM244" s="165" t="s">
        <v>503</v>
      </c>
    </row>
    <row r="245" spans="1:65" s="2" customFormat="1" ht="16.5" customHeight="1">
      <c r="A245" s="29"/>
      <c r="B245" s="152"/>
      <c r="C245" s="153" t="s">
        <v>343</v>
      </c>
      <c r="D245" s="153" t="s">
        <v>181</v>
      </c>
      <c r="E245" s="154" t="s">
        <v>1551</v>
      </c>
      <c r="F245" s="155" t="s">
        <v>1552</v>
      </c>
      <c r="G245" s="156" t="s">
        <v>217</v>
      </c>
      <c r="H245" s="157">
        <v>274</v>
      </c>
      <c r="I245" s="158"/>
      <c r="J245" s="151">
        <v>0</v>
      </c>
      <c r="K245" s="160"/>
      <c r="L245" s="30"/>
      <c r="M245" s="161" t="s">
        <v>1</v>
      </c>
      <c r="N245" s="162" t="s">
        <v>35</v>
      </c>
      <c r="O245" s="58"/>
      <c r="P245" s="163">
        <f t="shared" si="45"/>
        <v>0</v>
      </c>
      <c r="Q245" s="163">
        <v>0</v>
      </c>
      <c r="R245" s="163">
        <f t="shared" si="46"/>
        <v>0</v>
      </c>
      <c r="S245" s="163">
        <v>0</v>
      </c>
      <c r="T245" s="164">
        <f t="shared" si="47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65" t="s">
        <v>185</v>
      </c>
      <c r="AT245" s="165" t="s">
        <v>181</v>
      </c>
      <c r="AU245" s="165" t="s">
        <v>76</v>
      </c>
      <c r="AY245" s="14" t="s">
        <v>179</v>
      </c>
      <c r="BE245" s="166">
        <f t="shared" si="48"/>
        <v>0</v>
      </c>
      <c r="BF245" s="166">
        <f t="shared" si="49"/>
        <v>0</v>
      </c>
      <c r="BG245" s="166">
        <f t="shared" si="50"/>
        <v>0</v>
      </c>
      <c r="BH245" s="166">
        <f t="shared" si="51"/>
        <v>0</v>
      </c>
      <c r="BI245" s="166">
        <f t="shared" si="52"/>
        <v>0</v>
      </c>
      <c r="BJ245" s="14" t="s">
        <v>82</v>
      </c>
      <c r="BK245" s="166">
        <f t="shared" si="53"/>
        <v>0</v>
      </c>
      <c r="BL245" s="14" t="s">
        <v>185</v>
      </c>
      <c r="BM245" s="165" t="s">
        <v>506</v>
      </c>
    </row>
    <row r="246" spans="1:65" s="2" customFormat="1" ht="33" customHeight="1">
      <c r="A246" s="29"/>
      <c r="B246" s="152"/>
      <c r="C246" s="153" t="s">
        <v>500</v>
      </c>
      <c r="D246" s="153" t="s">
        <v>181</v>
      </c>
      <c r="E246" s="154" t="s">
        <v>1553</v>
      </c>
      <c r="F246" s="155" t="s">
        <v>1554</v>
      </c>
      <c r="G246" s="156" t="s">
        <v>217</v>
      </c>
      <c r="H246" s="157">
        <v>952</v>
      </c>
      <c r="I246" s="158"/>
      <c r="J246" s="151">
        <v>0</v>
      </c>
      <c r="K246" s="160"/>
      <c r="L246" s="30"/>
      <c r="M246" s="161" t="s">
        <v>1</v>
      </c>
      <c r="N246" s="162" t="s">
        <v>35</v>
      </c>
      <c r="O246" s="58"/>
      <c r="P246" s="163">
        <f t="shared" si="45"/>
        <v>0</v>
      </c>
      <c r="Q246" s="163">
        <v>0</v>
      </c>
      <c r="R246" s="163">
        <f t="shared" si="46"/>
        <v>0</v>
      </c>
      <c r="S246" s="163">
        <v>0</v>
      </c>
      <c r="T246" s="164">
        <f t="shared" si="47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65" t="s">
        <v>185</v>
      </c>
      <c r="AT246" s="165" t="s">
        <v>181</v>
      </c>
      <c r="AU246" s="165" t="s">
        <v>76</v>
      </c>
      <c r="AY246" s="14" t="s">
        <v>179</v>
      </c>
      <c r="BE246" s="166">
        <f t="shared" si="48"/>
        <v>0</v>
      </c>
      <c r="BF246" s="166">
        <f t="shared" si="49"/>
        <v>0</v>
      </c>
      <c r="BG246" s="166">
        <f t="shared" si="50"/>
        <v>0</v>
      </c>
      <c r="BH246" s="166">
        <f t="shared" si="51"/>
        <v>0</v>
      </c>
      <c r="BI246" s="166">
        <f t="shared" si="52"/>
        <v>0</v>
      </c>
      <c r="BJ246" s="14" t="s">
        <v>82</v>
      </c>
      <c r="BK246" s="166">
        <f t="shared" si="53"/>
        <v>0</v>
      </c>
      <c r="BL246" s="14" t="s">
        <v>185</v>
      </c>
      <c r="BM246" s="165" t="s">
        <v>510</v>
      </c>
    </row>
    <row r="247" spans="1:65" s="2" customFormat="1" ht="16.5" customHeight="1">
      <c r="A247" s="29"/>
      <c r="B247" s="152"/>
      <c r="C247" s="153" t="s">
        <v>354</v>
      </c>
      <c r="D247" s="153" t="s">
        <v>181</v>
      </c>
      <c r="E247" s="154" t="s">
        <v>1555</v>
      </c>
      <c r="F247" s="155" t="s">
        <v>1556</v>
      </c>
      <c r="G247" s="156" t="s">
        <v>217</v>
      </c>
      <c r="H247" s="157">
        <v>1170</v>
      </c>
      <c r="I247" s="158"/>
      <c r="J247" s="151">
        <v>0</v>
      </c>
      <c r="K247" s="160"/>
      <c r="L247" s="30"/>
      <c r="M247" s="161" t="s">
        <v>1</v>
      </c>
      <c r="N247" s="162" t="s">
        <v>35</v>
      </c>
      <c r="O247" s="58"/>
      <c r="P247" s="163">
        <f t="shared" si="45"/>
        <v>0</v>
      </c>
      <c r="Q247" s="163">
        <v>0</v>
      </c>
      <c r="R247" s="163">
        <f t="shared" si="46"/>
        <v>0</v>
      </c>
      <c r="S247" s="163">
        <v>0</v>
      </c>
      <c r="T247" s="164">
        <f t="shared" si="47"/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65" t="s">
        <v>185</v>
      </c>
      <c r="AT247" s="165" t="s">
        <v>181</v>
      </c>
      <c r="AU247" s="165" t="s">
        <v>76</v>
      </c>
      <c r="AY247" s="14" t="s">
        <v>179</v>
      </c>
      <c r="BE247" s="166">
        <f t="shared" si="48"/>
        <v>0</v>
      </c>
      <c r="BF247" s="166">
        <f t="shared" si="49"/>
        <v>0</v>
      </c>
      <c r="BG247" s="166">
        <f t="shared" si="50"/>
        <v>0</v>
      </c>
      <c r="BH247" s="166">
        <f t="shared" si="51"/>
        <v>0</v>
      </c>
      <c r="BI247" s="166">
        <f t="shared" si="52"/>
        <v>0</v>
      </c>
      <c r="BJ247" s="14" t="s">
        <v>82</v>
      </c>
      <c r="BK247" s="166">
        <f t="shared" si="53"/>
        <v>0</v>
      </c>
      <c r="BL247" s="14" t="s">
        <v>185</v>
      </c>
      <c r="BM247" s="165" t="s">
        <v>517</v>
      </c>
    </row>
    <row r="248" spans="1:65" s="2" customFormat="1" ht="16.5" customHeight="1">
      <c r="A248" s="29"/>
      <c r="B248" s="152"/>
      <c r="C248" s="153" t="s">
        <v>507</v>
      </c>
      <c r="D248" s="153" t="s">
        <v>181</v>
      </c>
      <c r="E248" s="154" t="s">
        <v>1557</v>
      </c>
      <c r="F248" s="155" t="s">
        <v>1558</v>
      </c>
      <c r="G248" s="156" t="s">
        <v>217</v>
      </c>
      <c r="H248" s="157">
        <v>1170</v>
      </c>
      <c r="I248" s="158"/>
      <c r="J248" s="151">
        <v>0</v>
      </c>
      <c r="K248" s="160"/>
      <c r="L248" s="30"/>
      <c r="M248" s="161" t="s">
        <v>1</v>
      </c>
      <c r="N248" s="162" t="s">
        <v>35</v>
      </c>
      <c r="O248" s="58"/>
      <c r="P248" s="163">
        <f t="shared" si="45"/>
        <v>0</v>
      </c>
      <c r="Q248" s="163">
        <v>0</v>
      </c>
      <c r="R248" s="163">
        <f t="shared" si="46"/>
        <v>0</v>
      </c>
      <c r="S248" s="163">
        <v>0</v>
      </c>
      <c r="T248" s="164">
        <f t="shared" si="47"/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65" t="s">
        <v>185</v>
      </c>
      <c r="AT248" s="165" t="s">
        <v>181</v>
      </c>
      <c r="AU248" s="165" t="s">
        <v>76</v>
      </c>
      <c r="AY248" s="14" t="s">
        <v>179</v>
      </c>
      <c r="BE248" s="166">
        <f t="shared" si="48"/>
        <v>0</v>
      </c>
      <c r="BF248" s="166">
        <f t="shared" si="49"/>
        <v>0</v>
      </c>
      <c r="BG248" s="166">
        <f t="shared" si="50"/>
        <v>0</v>
      </c>
      <c r="BH248" s="166">
        <f t="shared" si="51"/>
        <v>0</v>
      </c>
      <c r="BI248" s="166">
        <f t="shared" si="52"/>
        <v>0</v>
      </c>
      <c r="BJ248" s="14" t="s">
        <v>82</v>
      </c>
      <c r="BK248" s="166">
        <f t="shared" si="53"/>
        <v>0</v>
      </c>
      <c r="BL248" s="14" t="s">
        <v>185</v>
      </c>
      <c r="BM248" s="165" t="s">
        <v>520</v>
      </c>
    </row>
    <row r="249" spans="1:65" s="2" customFormat="1" ht="44.25" customHeight="1">
      <c r="A249" s="29"/>
      <c r="B249" s="152"/>
      <c r="C249" s="153" t="s">
        <v>357</v>
      </c>
      <c r="D249" s="153" t="s">
        <v>181</v>
      </c>
      <c r="E249" s="154" t="s">
        <v>1559</v>
      </c>
      <c r="F249" s="155" t="s">
        <v>1560</v>
      </c>
      <c r="G249" s="156" t="s">
        <v>293</v>
      </c>
      <c r="H249" s="157">
        <v>180</v>
      </c>
      <c r="I249" s="158"/>
      <c r="J249" s="151">
        <v>0</v>
      </c>
      <c r="K249" s="160"/>
      <c r="L249" s="30"/>
      <c r="M249" s="161" t="s">
        <v>1</v>
      </c>
      <c r="N249" s="162" t="s">
        <v>35</v>
      </c>
      <c r="O249" s="58"/>
      <c r="P249" s="163">
        <f t="shared" si="45"/>
        <v>0</v>
      </c>
      <c r="Q249" s="163">
        <v>0</v>
      </c>
      <c r="R249" s="163">
        <f t="shared" si="46"/>
        <v>0</v>
      </c>
      <c r="S249" s="163">
        <v>0</v>
      </c>
      <c r="T249" s="164">
        <f t="shared" si="47"/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65" t="s">
        <v>185</v>
      </c>
      <c r="AT249" s="165" t="s">
        <v>181</v>
      </c>
      <c r="AU249" s="165" t="s">
        <v>76</v>
      </c>
      <c r="AY249" s="14" t="s">
        <v>179</v>
      </c>
      <c r="BE249" s="166">
        <f t="shared" si="48"/>
        <v>0</v>
      </c>
      <c r="BF249" s="166">
        <f t="shared" si="49"/>
        <v>0</v>
      </c>
      <c r="BG249" s="166">
        <f t="shared" si="50"/>
        <v>0</v>
      </c>
      <c r="BH249" s="166">
        <f t="shared" si="51"/>
        <v>0</v>
      </c>
      <c r="BI249" s="166">
        <f t="shared" si="52"/>
        <v>0</v>
      </c>
      <c r="BJ249" s="14" t="s">
        <v>82</v>
      </c>
      <c r="BK249" s="166">
        <f t="shared" si="53"/>
        <v>0</v>
      </c>
      <c r="BL249" s="14" t="s">
        <v>185</v>
      </c>
      <c r="BM249" s="165" t="s">
        <v>524</v>
      </c>
    </row>
    <row r="250" spans="1:65" s="2" customFormat="1" ht="44.25" customHeight="1">
      <c r="A250" s="29"/>
      <c r="B250" s="152"/>
      <c r="C250" s="153" t="s">
        <v>514</v>
      </c>
      <c r="D250" s="153" t="s">
        <v>181</v>
      </c>
      <c r="E250" s="154" t="s">
        <v>1561</v>
      </c>
      <c r="F250" s="155" t="s">
        <v>1562</v>
      </c>
      <c r="G250" s="156" t="s">
        <v>293</v>
      </c>
      <c r="H250" s="157">
        <v>205</v>
      </c>
      <c r="I250" s="158"/>
      <c r="J250" s="151">
        <v>0</v>
      </c>
      <c r="K250" s="160"/>
      <c r="L250" s="30"/>
      <c r="M250" s="161" t="s">
        <v>1</v>
      </c>
      <c r="N250" s="162" t="s">
        <v>35</v>
      </c>
      <c r="O250" s="58"/>
      <c r="P250" s="163">
        <f t="shared" si="45"/>
        <v>0</v>
      </c>
      <c r="Q250" s="163">
        <v>0</v>
      </c>
      <c r="R250" s="163">
        <f t="shared" si="46"/>
        <v>0</v>
      </c>
      <c r="S250" s="163">
        <v>0</v>
      </c>
      <c r="T250" s="164">
        <f t="shared" si="47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65" t="s">
        <v>185</v>
      </c>
      <c r="AT250" s="165" t="s">
        <v>181</v>
      </c>
      <c r="AU250" s="165" t="s">
        <v>76</v>
      </c>
      <c r="AY250" s="14" t="s">
        <v>179</v>
      </c>
      <c r="BE250" s="166">
        <f t="shared" si="48"/>
        <v>0</v>
      </c>
      <c r="BF250" s="166">
        <f t="shared" si="49"/>
        <v>0</v>
      </c>
      <c r="BG250" s="166">
        <f t="shared" si="50"/>
        <v>0</v>
      </c>
      <c r="BH250" s="166">
        <f t="shared" si="51"/>
        <v>0</v>
      </c>
      <c r="BI250" s="166">
        <f t="shared" si="52"/>
        <v>0</v>
      </c>
      <c r="BJ250" s="14" t="s">
        <v>82</v>
      </c>
      <c r="BK250" s="166">
        <f t="shared" si="53"/>
        <v>0</v>
      </c>
      <c r="BL250" s="14" t="s">
        <v>185</v>
      </c>
      <c r="BM250" s="165" t="s">
        <v>527</v>
      </c>
    </row>
    <row r="251" spans="1:65" s="2" customFormat="1" ht="44.25" customHeight="1">
      <c r="A251" s="29"/>
      <c r="B251" s="152"/>
      <c r="C251" s="153" t="s">
        <v>361</v>
      </c>
      <c r="D251" s="153" t="s">
        <v>181</v>
      </c>
      <c r="E251" s="154" t="s">
        <v>1563</v>
      </c>
      <c r="F251" s="155" t="s">
        <v>1564</v>
      </c>
      <c r="G251" s="156" t="s">
        <v>293</v>
      </c>
      <c r="H251" s="157">
        <v>45</v>
      </c>
      <c r="I251" s="158"/>
      <c r="J251" s="151">
        <v>0</v>
      </c>
      <c r="K251" s="160"/>
      <c r="L251" s="30"/>
      <c r="M251" s="161" t="s">
        <v>1</v>
      </c>
      <c r="N251" s="162" t="s">
        <v>35</v>
      </c>
      <c r="O251" s="58"/>
      <c r="P251" s="163">
        <f t="shared" si="45"/>
        <v>0</v>
      </c>
      <c r="Q251" s="163">
        <v>0</v>
      </c>
      <c r="R251" s="163">
        <f t="shared" si="46"/>
        <v>0</v>
      </c>
      <c r="S251" s="163">
        <v>0</v>
      </c>
      <c r="T251" s="164">
        <f t="shared" si="47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65" t="s">
        <v>185</v>
      </c>
      <c r="AT251" s="165" t="s">
        <v>181</v>
      </c>
      <c r="AU251" s="165" t="s">
        <v>76</v>
      </c>
      <c r="AY251" s="14" t="s">
        <v>179</v>
      </c>
      <c r="BE251" s="166">
        <f t="shared" si="48"/>
        <v>0</v>
      </c>
      <c r="BF251" s="166">
        <f t="shared" si="49"/>
        <v>0</v>
      </c>
      <c r="BG251" s="166">
        <f t="shared" si="50"/>
        <v>0</v>
      </c>
      <c r="BH251" s="166">
        <f t="shared" si="51"/>
        <v>0</v>
      </c>
      <c r="BI251" s="166">
        <f t="shared" si="52"/>
        <v>0</v>
      </c>
      <c r="BJ251" s="14" t="s">
        <v>82</v>
      </c>
      <c r="BK251" s="166">
        <f t="shared" si="53"/>
        <v>0</v>
      </c>
      <c r="BL251" s="14" t="s">
        <v>185</v>
      </c>
      <c r="BM251" s="165" t="s">
        <v>531</v>
      </c>
    </row>
    <row r="252" spans="1:65" s="2" customFormat="1" ht="44.25" customHeight="1">
      <c r="A252" s="29"/>
      <c r="B252" s="152"/>
      <c r="C252" s="153" t="s">
        <v>521</v>
      </c>
      <c r="D252" s="153" t="s">
        <v>181</v>
      </c>
      <c r="E252" s="154" t="s">
        <v>1565</v>
      </c>
      <c r="F252" s="155" t="s">
        <v>1566</v>
      </c>
      <c r="G252" s="156" t="s">
        <v>293</v>
      </c>
      <c r="H252" s="157">
        <v>25</v>
      </c>
      <c r="I252" s="158"/>
      <c r="J252" s="151">
        <v>0</v>
      </c>
      <c r="K252" s="160"/>
      <c r="L252" s="30"/>
      <c r="M252" s="161" t="s">
        <v>1</v>
      </c>
      <c r="N252" s="162" t="s">
        <v>35</v>
      </c>
      <c r="O252" s="58"/>
      <c r="P252" s="163">
        <f t="shared" si="45"/>
        <v>0</v>
      </c>
      <c r="Q252" s="163">
        <v>0</v>
      </c>
      <c r="R252" s="163">
        <f t="shared" si="46"/>
        <v>0</v>
      </c>
      <c r="S252" s="163">
        <v>0</v>
      </c>
      <c r="T252" s="164">
        <f t="shared" si="47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65" t="s">
        <v>185</v>
      </c>
      <c r="AT252" s="165" t="s">
        <v>181</v>
      </c>
      <c r="AU252" s="165" t="s">
        <v>76</v>
      </c>
      <c r="AY252" s="14" t="s">
        <v>179</v>
      </c>
      <c r="BE252" s="166">
        <f t="shared" si="48"/>
        <v>0</v>
      </c>
      <c r="BF252" s="166">
        <f t="shared" si="49"/>
        <v>0</v>
      </c>
      <c r="BG252" s="166">
        <f t="shared" si="50"/>
        <v>0</v>
      </c>
      <c r="BH252" s="166">
        <f t="shared" si="51"/>
        <v>0</v>
      </c>
      <c r="BI252" s="166">
        <f t="shared" si="52"/>
        <v>0</v>
      </c>
      <c r="BJ252" s="14" t="s">
        <v>82</v>
      </c>
      <c r="BK252" s="166">
        <f t="shared" si="53"/>
        <v>0</v>
      </c>
      <c r="BL252" s="14" t="s">
        <v>185</v>
      </c>
      <c r="BM252" s="165" t="s">
        <v>534</v>
      </c>
    </row>
    <row r="253" spans="1:65" s="2" customFormat="1" ht="37.9" customHeight="1">
      <c r="A253" s="29"/>
      <c r="B253" s="152"/>
      <c r="C253" s="153" t="s">
        <v>364</v>
      </c>
      <c r="D253" s="153" t="s">
        <v>181</v>
      </c>
      <c r="E253" s="154" t="s">
        <v>1567</v>
      </c>
      <c r="F253" s="155" t="s">
        <v>1568</v>
      </c>
      <c r="G253" s="156" t="s">
        <v>293</v>
      </c>
      <c r="H253" s="157">
        <v>270</v>
      </c>
      <c r="I253" s="158"/>
      <c r="J253" s="151">
        <v>0</v>
      </c>
      <c r="K253" s="160"/>
      <c r="L253" s="30"/>
      <c r="M253" s="161" t="s">
        <v>1</v>
      </c>
      <c r="N253" s="162" t="s">
        <v>35</v>
      </c>
      <c r="O253" s="58"/>
      <c r="P253" s="163">
        <f t="shared" si="45"/>
        <v>0</v>
      </c>
      <c r="Q253" s="163">
        <v>0</v>
      </c>
      <c r="R253" s="163">
        <f t="shared" si="46"/>
        <v>0</v>
      </c>
      <c r="S253" s="163">
        <v>0</v>
      </c>
      <c r="T253" s="164">
        <f t="shared" si="47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65" t="s">
        <v>185</v>
      </c>
      <c r="AT253" s="165" t="s">
        <v>181</v>
      </c>
      <c r="AU253" s="165" t="s">
        <v>76</v>
      </c>
      <c r="AY253" s="14" t="s">
        <v>179</v>
      </c>
      <c r="BE253" s="166">
        <f t="shared" si="48"/>
        <v>0</v>
      </c>
      <c r="BF253" s="166">
        <f t="shared" si="49"/>
        <v>0</v>
      </c>
      <c r="BG253" s="166">
        <f t="shared" si="50"/>
        <v>0</v>
      </c>
      <c r="BH253" s="166">
        <f t="shared" si="51"/>
        <v>0</v>
      </c>
      <c r="BI253" s="166">
        <f t="shared" si="52"/>
        <v>0</v>
      </c>
      <c r="BJ253" s="14" t="s">
        <v>82</v>
      </c>
      <c r="BK253" s="166">
        <f t="shared" si="53"/>
        <v>0</v>
      </c>
      <c r="BL253" s="14" t="s">
        <v>185</v>
      </c>
      <c r="BM253" s="165" t="s">
        <v>538</v>
      </c>
    </row>
    <row r="254" spans="1:65" s="2" customFormat="1" ht="37.9" customHeight="1">
      <c r="A254" s="29"/>
      <c r="B254" s="152"/>
      <c r="C254" s="153" t="s">
        <v>528</v>
      </c>
      <c r="D254" s="153" t="s">
        <v>181</v>
      </c>
      <c r="E254" s="154" t="s">
        <v>1569</v>
      </c>
      <c r="F254" s="155" t="s">
        <v>1570</v>
      </c>
      <c r="G254" s="156" t="s">
        <v>293</v>
      </c>
      <c r="H254" s="157">
        <v>205</v>
      </c>
      <c r="I254" s="158"/>
      <c r="J254" s="151">
        <v>0</v>
      </c>
      <c r="K254" s="160"/>
      <c r="L254" s="30"/>
      <c r="M254" s="161" t="s">
        <v>1</v>
      </c>
      <c r="N254" s="162" t="s">
        <v>35</v>
      </c>
      <c r="O254" s="58"/>
      <c r="P254" s="163">
        <f t="shared" si="45"/>
        <v>0</v>
      </c>
      <c r="Q254" s="163">
        <v>0</v>
      </c>
      <c r="R254" s="163">
        <f t="shared" si="46"/>
        <v>0</v>
      </c>
      <c r="S254" s="163">
        <v>0</v>
      </c>
      <c r="T254" s="164">
        <f t="shared" si="47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65" t="s">
        <v>185</v>
      </c>
      <c r="AT254" s="165" t="s">
        <v>181</v>
      </c>
      <c r="AU254" s="165" t="s">
        <v>76</v>
      </c>
      <c r="AY254" s="14" t="s">
        <v>179</v>
      </c>
      <c r="BE254" s="166">
        <f t="shared" si="48"/>
        <v>0</v>
      </c>
      <c r="BF254" s="166">
        <f t="shared" si="49"/>
        <v>0</v>
      </c>
      <c r="BG254" s="166">
        <f t="shared" si="50"/>
        <v>0</v>
      </c>
      <c r="BH254" s="166">
        <f t="shared" si="51"/>
        <v>0</v>
      </c>
      <c r="BI254" s="166">
        <f t="shared" si="52"/>
        <v>0</v>
      </c>
      <c r="BJ254" s="14" t="s">
        <v>82</v>
      </c>
      <c r="BK254" s="166">
        <f t="shared" si="53"/>
        <v>0</v>
      </c>
      <c r="BL254" s="14" t="s">
        <v>185</v>
      </c>
      <c r="BM254" s="165" t="s">
        <v>541</v>
      </c>
    </row>
    <row r="255" spans="1:65" s="2" customFormat="1" ht="37.9" customHeight="1">
      <c r="A255" s="29"/>
      <c r="B255" s="152"/>
      <c r="C255" s="153" t="s">
        <v>368</v>
      </c>
      <c r="D255" s="153" t="s">
        <v>181</v>
      </c>
      <c r="E255" s="154" t="s">
        <v>1571</v>
      </c>
      <c r="F255" s="155" t="s">
        <v>1572</v>
      </c>
      <c r="G255" s="156" t="s">
        <v>293</v>
      </c>
      <c r="H255" s="157">
        <v>5</v>
      </c>
      <c r="I255" s="158"/>
      <c r="J255" s="151">
        <v>0</v>
      </c>
      <c r="K255" s="160"/>
      <c r="L255" s="30"/>
      <c r="M255" s="161" t="s">
        <v>1</v>
      </c>
      <c r="N255" s="162" t="s">
        <v>35</v>
      </c>
      <c r="O255" s="58"/>
      <c r="P255" s="163">
        <f t="shared" si="45"/>
        <v>0</v>
      </c>
      <c r="Q255" s="163">
        <v>0</v>
      </c>
      <c r="R255" s="163">
        <f t="shared" si="46"/>
        <v>0</v>
      </c>
      <c r="S255" s="163">
        <v>0</v>
      </c>
      <c r="T255" s="164">
        <f t="shared" si="47"/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65" t="s">
        <v>185</v>
      </c>
      <c r="AT255" s="165" t="s">
        <v>181</v>
      </c>
      <c r="AU255" s="165" t="s">
        <v>76</v>
      </c>
      <c r="AY255" s="14" t="s">
        <v>179</v>
      </c>
      <c r="BE255" s="166">
        <f t="shared" si="48"/>
        <v>0</v>
      </c>
      <c r="BF255" s="166">
        <f t="shared" si="49"/>
        <v>0</v>
      </c>
      <c r="BG255" s="166">
        <f t="shared" si="50"/>
        <v>0</v>
      </c>
      <c r="BH255" s="166">
        <f t="shared" si="51"/>
        <v>0</v>
      </c>
      <c r="BI255" s="166">
        <f t="shared" si="52"/>
        <v>0</v>
      </c>
      <c r="BJ255" s="14" t="s">
        <v>82</v>
      </c>
      <c r="BK255" s="166">
        <f t="shared" si="53"/>
        <v>0</v>
      </c>
      <c r="BL255" s="14" t="s">
        <v>185</v>
      </c>
      <c r="BM255" s="165" t="s">
        <v>545</v>
      </c>
    </row>
    <row r="256" spans="1:65" s="2" customFormat="1" ht="37.9" customHeight="1">
      <c r="A256" s="29"/>
      <c r="B256" s="152"/>
      <c r="C256" s="153" t="s">
        <v>535</v>
      </c>
      <c r="D256" s="153" t="s">
        <v>181</v>
      </c>
      <c r="E256" s="154" t="s">
        <v>1573</v>
      </c>
      <c r="F256" s="155" t="s">
        <v>1574</v>
      </c>
      <c r="G256" s="156" t="s">
        <v>293</v>
      </c>
      <c r="H256" s="157">
        <v>25</v>
      </c>
      <c r="I256" s="158"/>
      <c r="J256" s="151">
        <v>0</v>
      </c>
      <c r="K256" s="160"/>
      <c r="L256" s="30"/>
      <c r="M256" s="161" t="s">
        <v>1</v>
      </c>
      <c r="N256" s="162" t="s">
        <v>35</v>
      </c>
      <c r="O256" s="58"/>
      <c r="P256" s="163">
        <f t="shared" si="45"/>
        <v>0</v>
      </c>
      <c r="Q256" s="163">
        <v>0</v>
      </c>
      <c r="R256" s="163">
        <f t="shared" si="46"/>
        <v>0</v>
      </c>
      <c r="S256" s="163">
        <v>0</v>
      </c>
      <c r="T256" s="164">
        <f t="shared" si="47"/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65" t="s">
        <v>185</v>
      </c>
      <c r="AT256" s="165" t="s">
        <v>181</v>
      </c>
      <c r="AU256" s="165" t="s">
        <v>76</v>
      </c>
      <c r="AY256" s="14" t="s">
        <v>179</v>
      </c>
      <c r="BE256" s="166">
        <f t="shared" si="48"/>
        <v>0</v>
      </c>
      <c r="BF256" s="166">
        <f t="shared" si="49"/>
        <v>0</v>
      </c>
      <c r="BG256" s="166">
        <f t="shared" si="50"/>
        <v>0</v>
      </c>
      <c r="BH256" s="166">
        <f t="shared" si="51"/>
        <v>0</v>
      </c>
      <c r="BI256" s="166">
        <f t="shared" si="52"/>
        <v>0</v>
      </c>
      <c r="BJ256" s="14" t="s">
        <v>82</v>
      </c>
      <c r="BK256" s="166">
        <f t="shared" si="53"/>
        <v>0</v>
      </c>
      <c r="BL256" s="14" t="s">
        <v>185</v>
      </c>
      <c r="BM256" s="165" t="s">
        <v>548</v>
      </c>
    </row>
    <row r="257" spans="1:65" s="2" customFormat="1" ht="55.5" customHeight="1">
      <c r="A257" s="29"/>
      <c r="B257" s="152"/>
      <c r="C257" s="153" t="s">
        <v>371</v>
      </c>
      <c r="D257" s="153" t="s">
        <v>181</v>
      </c>
      <c r="E257" s="154" t="s">
        <v>1575</v>
      </c>
      <c r="F257" s="155" t="s">
        <v>1576</v>
      </c>
      <c r="G257" s="156" t="s">
        <v>217</v>
      </c>
      <c r="H257" s="157">
        <v>450</v>
      </c>
      <c r="I257" s="158"/>
      <c r="J257" s="151">
        <v>0</v>
      </c>
      <c r="K257" s="160"/>
      <c r="L257" s="30"/>
      <c r="M257" s="161" t="s">
        <v>1</v>
      </c>
      <c r="N257" s="162" t="s">
        <v>35</v>
      </c>
      <c r="O257" s="58"/>
      <c r="P257" s="163">
        <f t="shared" si="45"/>
        <v>0</v>
      </c>
      <c r="Q257" s="163">
        <v>0</v>
      </c>
      <c r="R257" s="163">
        <f t="shared" si="46"/>
        <v>0</v>
      </c>
      <c r="S257" s="163">
        <v>0</v>
      </c>
      <c r="T257" s="164">
        <f t="shared" si="47"/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65" t="s">
        <v>185</v>
      </c>
      <c r="AT257" s="165" t="s">
        <v>181</v>
      </c>
      <c r="AU257" s="165" t="s">
        <v>76</v>
      </c>
      <c r="AY257" s="14" t="s">
        <v>179</v>
      </c>
      <c r="BE257" s="166">
        <f t="shared" si="48"/>
        <v>0</v>
      </c>
      <c r="BF257" s="166">
        <f t="shared" si="49"/>
        <v>0</v>
      </c>
      <c r="BG257" s="166">
        <f t="shared" si="50"/>
        <v>0</v>
      </c>
      <c r="BH257" s="166">
        <f t="shared" si="51"/>
        <v>0</v>
      </c>
      <c r="BI257" s="166">
        <f t="shared" si="52"/>
        <v>0</v>
      </c>
      <c r="BJ257" s="14" t="s">
        <v>82</v>
      </c>
      <c r="BK257" s="166">
        <f t="shared" si="53"/>
        <v>0</v>
      </c>
      <c r="BL257" s="14" t="s">
        <v>185</v>
      </c>
      <c r="BM257" s="165" t="s">
        <v>553</v>
      </c>
    </row>
    <row r="258" spans="1:65" s="2" customFormat="1" ht="55.5" customHeight="1">
      <c r="A258" s="29"/>
      <c r="B258" s="152"/>
      <c r="C258" s="153" t="s">
        <v>542</v>
      </c>
      <c r="D258" s="153" t="s">
        <v>181</v>
      </c>
      <c r="E258" s="154" t="s">
        <v>1577</v>
      </c>
      <c r="F258" s="155" t="s">
        <v>1578</v>
      </c>
      <c r="G258" s="156" t="s">
        <v>217</v>
      </c>
      <c r="H258" s="157">
        <v>460</v>
      </c>
      <c r="I258" s="158"/>
      <c r="J258" s="151">
        <v>0</v>
      </c>
      <c r="K258" s="160"/>
      <c r="L258" s="30"/>
      <c r="M258" s="161" t="s">
        <v>1</v>
      </c>
      <c r="N258" s="162" t="s">
        <v>35</v>
      </c>
      <c r="O258" s="58"/>
      <c r="P258" s="163">
        <f t="shared" ref="P258:P289" si="54">O258*H258</f>
        <v>0</v>
      </c>
      <c r="Q258" s="163">
        <v>0</v>
      </c>
      <c r="R258" s="163">
        <f t="shared" ref="R258:R289" si="55">Q258*H258</f>
        <v>0</v>
      </c>
      <c r="S258" s="163">
        <v>0</v>
      </c>
      <c r="T258" s="164">
        <f t="shared" ref="T258:T289" si="56">S258*H258</f>
        <v>0</v>
      </c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R258" s="165" t="s">
        <v>185</v>
      </c>
      <c r="AT258" s="165" t="s">
        <v>181</v>
      </c>
      <c r="AU258" s="165" t="s">
        <v>76</v>
      </c>
      <c r="AY258" s="14" t="s">
        <v>179</v>
      </c>
      <c r="BE258" s="166">
        <f t="shared" ref="BE258:BE289" si="57">IF(N258="základná",J258,0)</f>
        <v>0</v>
      </c>
      <c r="BF258" s="166">
        <f t="shared" ref="BF258:BF289" si="58">IF(N258="znížená",J258,0)</f>
        <v>0</v>
      </c>
      <c r="BG258" s="166">
        <f t="shared" ref="BG258:BG289" si="59">IF(N258="zákl. prenesená",J258,0)</f>
        <v>0</v>
      </c>
      <c r="BH258" s="166">
        <f t="shared" ref="BH258:BH289" si="60">IF(N258="zníž. prenesená",J258,0)</f>
        <v>0</v>
      </c>
      <c r="BI258" s="166">
        <f t="shared" ref="BI258:BI289" si="61">IF(N258="nulová",J258,0)</f>
        <v>0</v>
      </c>
      <c r="BJ258" s="14" t="s">
        <v>82</v>
      </c>
      <c r="BK258" s="166">
        <f t="shared" ref="BK258:BK289" si="62">ROUND(I258*H258,2)</f>
        <v>0</v>
      </c>
      <c r="BL258" s="14" t="s">
        <v>185</v>
      </c>
      <c r="BM258" s="165" t="s">
        <v>560</v>
      </c>
    </row>
    <row r="259" spans="1:65" s="2" customFormat="1" ht="55.5" customHeight="1">
      <c r="A259" s="29"/>
      <c r="B259" s="152"/>
      <c r="C259" s="153" t="s">
        <v>375</v>
      </c>
      <c r="D259" s="153" t="s">
        <v>181</v>
      </c>
      <c r="E259" s="154" t="s">
        <v>1579</v>
      </c>
      <c r="F259" s="155" t="s">
        <v>1580</v>
      </c>
      <c r="G259" s="156" t="s">
        <v>217</v>
      </c>
      <c r="H259" s="157">
        <v>50</v>
      </c>
      <c r="I259" s="158"/>
      <c r="J259" s="151">
        <v>0</v>
      </c>
      <c r="K259" s="160"/>
      <c r="L259" s="30"/>
      <c r="M259" s="161" t="s">
        <v>1</v>
      </c>
      <c r="N259" s="162" t="s">
        <v>35</v>
      </c>
      <c r="O259" s="58"/>
      <c r="P259" s="163">
        <f t="shared" si="54"/>
        <v>0</v>
      </c>
      <c r="Q259" s="163">
        <v>0</v>
      </c>
      <c r="R259" s="163">
        <f t="shared" si="55"/>
        <v>0</v>
      </c>
      <c r="S259" s="163">
        <v>0</v>
      </c>
      <c r="T259" s="164">
        <f t="shared" si="56"/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65" t="s">
        <v>185</v>
      </c>
      <c r="AT259" s="165" t="s">
        <v>181</v>
      </c>
      <c r="AU259" s="165" t="s">
        <v>76</v>
      </c>
      <c r="AY259" s="14" t="s">
        <v>179</v>
      </c>
      <c r="BE259" s="166">
        <f t="shared" si="57"/>
        <v>0</v>
      </c>
      <c r="BF259" s="166">
        <f t="shared" si="58"/>
        <v>0</v>
      </c>
      <c r="BG259" s="166">
        <f t="shared" si="59"/>
        <v>0</v>
      </c>
      <c r="BH259" s="166">
        <f t="shared" si="60"/>
        <v>0</v>
      </c>
      <c r="BI259" s="166">
        <f t="shared" si="61"/>
        <v>0</v>
      </c>
      <c r="BJ259" s="14" t="s">
        <v>82</v>
      </c>
      <c r="BK259" s="166">
        <f t="shared" si="62"/>
        <v>0</v>
      </c>
      <c r="BL259" s="14" t="s">
        <v>185</v>
      </c>
      <c r="BM259" s="165" t="s">
        <v>567</v>
      </c>
    </row>
    <row r="260" spans="1:65" s="2" customFormat="1" ht="16.5" customHeight="1">
      <c r="A260" s="29"/>
      <c r="B260" s="152"/>
      <c r="C260" s="153" t="s">
        <v>550</v>
      </c>
      <c r="D260" s="153" t="s">
        <v>181</v>
      </c>
      <c r="E260" s="154" t="s">
        <v>1581</v>
      </c>
      <c r="F260" s="155" t="s">
        <v>1582</v>
      </c>
      <c r="G260" s="156" t="s">
        <v>217</v>
      </c>
      <c r="H260" s="157">
        <v>1</v>
      </c>
      <c r="I260" s="158"/>
      <c r="J260" s="151">
        <v>0</v>
      </c>
      <c r="K260" s="160"/>
      <c r="L260" s="30"/>
      <c r="M260" s="161" t="s">
        <v>1</v>
      </c>
      <c r="N260" s="162" t="s">
        <v>35</v>
      </c>
      <c r="O260" s="58"/>
      <c r="P260" s="163">
        <f t="shared" si="54"/>
        <v>0</v>
      </c>
      <c r="Q260" s="163">
        <v>0</v>
      </c>
      <c r="R260" s="163">
        <f t="shared" si="55"/>
        <v>0</v>
      </c>
      <c r="S260" s="163">
        <v>0</v>
      </c>
      <c r="T260" s="164">
        <f t="shared" si="56"/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65" t="s">
        <v>185</v>
      </c>
      <c r="AT260" s="165" t="s">
        <v>181</v>
      </c>
      <c r="AU260" s="165" t="s">
        <v>76</v>
      </c>
      <c r="AY260" s="14" t="s">
        <v>179</v>
      </c>
      <c r="BE260" s="166">
        <f t="shared" si="57"/>
        <v>0</v>
      </c>
      <c r="BF260" s="166">
        <f t="shared" si="58"/>
        <v>0</v>
      </c>
      <c r="BG260" s="166">
        <f t="shared" si="59"/>
        <v>0</v>
      </c>
      <c r="BH260" s="166">
        <f t="shared" si="60"/>
        <v>0</v>
      </c>
      <c r="BI260" s="166">
        <f t="shared" si="61"/>
        <v>0</v>
      </c>
      <c r="BJ260" s="14" t="s">
        <v>82</v>
      </c>
      <c r="BK260" s="166">
        <f t="shared" si="62"/>
        <v>0</v>
      </c>
      <c r="BL260" s="14" t="s">
        <v>185</v>
      </c>
      <c r="BM260" s="165" t="s">
        <v>571</v>
      </c>
    </row>
    <row r="261" spans="1:65" s="2" customFormat="1" ht="16.5" customHeight="1">
      <c r="A261" s="29"/>
      <c r="B261" s="152"/>
      <c r="C261" s="153" t="s">
        <v>378</v>
      </c>
      <c r="D261" s="153" t="s">
        <v>181</v>
      </c>
      <c r="E261" s="154" t="s">
        <v>1583</v>
      </c>
      <c r="F261" s="155" t="s">
        <v>1584</v>
      </c>
      <c r="G261" s="156" t="s">
        <v>217</v>
      </c>
      <c r="H261" s="157">
        <v>2</v>
      </c>
      <c r="I261" s="158"/>
      <c r="J261" s="151">
        <v>0</v>
      </c>
      <c r="K261" s="160"/>
      <c r="L261" s="30"/>
      <c r="M261" s="161" t="s">
        <v>1</v>
      </c>
      <c r="N261" s="162" t="s">
        <v>35</v>
      </c>
      <c r="O261" s="58"/>
      <c r="P261" s="163">
        <f t="shared" si="54"/>
        <v>0</v>
      </c>
      <c r="Q261" s="163">
        <v>0</v>
      </c>
      <c r="R261" s="163">
        <f t="shared" si="55"/>
        <v>0</v>
      </c>
      <c r="S261" s="163">
        <v>0</v>
      </c>
      <c r="T261" s="164">
        <f t="shared" si="56"/>
        <v>0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65" t="s">
        <v>185</v>
      </c>
      <c r="AT261" s="165" t="s">
        <v>181</v>
      </c>
      <c r="AU261" s="165" t="s">
        <v>76</v>
      </c>
      <c r="AY261" s="14" t="s">
        <v>179</v>
      </c>
      <c r="BE261" s="166">
        <f t="shared" si="57"/>
        <v>0</v>
      </c>
      <c r="BF261" s="166">
        <f t="shared" si="58"/>
        <v>0</v>
      </c>
      <c r="BG261" s="166">
        <f t="shared" si="59"/>
        <v>0</v>
      </c>
      <c r="BH261" s="166">
        <f t="shared" si="60"/>
        <v>0</v>
      </c>
      <c r="BI261" s="166">
        <f t="shared" si="61"/>
        <v>0</v>
      </c>
      <c r="BJ261" s="14" t="s">
        <v>82</v>
      </c>
      <c r="BK261" s="166">
        <f t="shared" si="62"/>
        <v>0</v>
      </c>
      <c r="BL261" s="14" t="s">
        <v>185</v>
      </c>
      <c r="BM261" s="165" t="s">
        <v>575</v>
      </c>
    </row>
    <row r="262" spans="1:65" s="2" customFormat="1" ht="24.2" customHeight="1">
      <c r="A262" s="29"/>
      <c r="B262" s="152"/>
      <c r="C262" s="153" t="s">
        <v>561</v>
      </c>
      <c r="D262" s="153" t="s">
        <v>181</v>
      </c>
      <c r="E262" s="154" t="s">
        <v>1585</v>
      </c>
      <c r="F262" s="155" t="s">
        <v>1586</v>
      </c>
      <c r="G262" s="156" t="s">
        <v>217</v>
      </c>
      <c r="H262" s="157">
        <v>2</v>
      </c>
      <c r="I262" s="158"/>
      <c r="J262" s="151">
        <v>0</v>
      </c>
      <c r="K262" s="160"/>
      <c r="L262" s="30"/>
      <c r="M262" s="161" t="s">
        <v>1</v>
      </c>
      <c r="N262" s="162" t="s">
        <v>35</v>
      </c>
      <c r="O262" s="58"/>
      <c r="P262" s="163">
        <f t="shared" si="54"/>
        <v>0</v>
      </c>
      <c r="Q262" s="163">
        <v>0</v>
      </c>
      <c r="R262" s="163">
        <f t="shared" si="55"/>
        <v>0</v>
      </c>
      <c r="S262" s="163">
        <v>0</v>
      </c>
      <c r="T262" s="164">
        <f t="shared" si="56"/>
        <v>0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65" t="s">
        <v>185</v>
      </c>
      <c r="AT262" s="165" t="s">
        <v>181</v>
      </c>
      <c r="AU262" s="165" t="s">
        <v>76</v>
      </c>
      <c r="AY262" s="14" t="s">
        <v>179</v>
      </c>
      <c r="BE262" s="166">
        <f t="shared" si="57"/>
        <v>0</v>
      </c>
      <c r="BF262" s="166">
        <f t="shared" si="58"/>
        <v>0</v>
      </c>
      <c r="BG262" s="166">
        <f t="shared" si="59"/>
        <v>0</v>
      </c>
      <c r="BH262" s="166">
        <f t="shared" si="60"/>
        <v>0</v>
      </c>
      <c r="BI262" s="166">
        <f t="shared" si="61"/>
        <v>0</v>
      </c>
      <c r="BJ262" s="14" t="s">
        <v>82</v>
      </c>
      <c r="BK262" s="166">
        <f t="shared" si="62"/>
        <v>0</v>
      </c>
      <c r="BL262" s="14" t="s">
        <v>185</v>
      </c>
      <c r="BM262" s="165" t="s">
        <v>577</v>
      </c>
    </row>
    <row r="263" spans="1:65" s="2" customFormat="1" ht="24.2" customHeight="1">
      <c r="A263" s="29"/>
      <c r="B263" s="152"/>
      <c r="C263" s="153" t="s">
        <v>382</v>
      </c>
      <c r="D263" s="153" t="s">
        <v>181</v>
      </c>
      <c r="E263" s="154" t="s">
        <v>1587</v>
      </c>
      <c r="F263" s="155" t="s">
        <v>1588</v>
      </c>
      <c r="G263" s="156" t="s">
        <v>217</v>
      </c>
      <c r="H263" s="157">
        <v>1</v>
      </c>
      <c r="I263" s="158"/>
      <c r="J263" s="151">
        <v>0</v>
      </c>
      <c r="K263" s="160"/>
      <c r="L263" s="30"/>
      <c r="M263" s="161" t="s">
        <v>1</v>
      </c>
      <c r="N263" s="162" t="s">
        <v>35</v>
      </c>
      <c r="O263" s="58"/>
      <c r="P263" s="163">
        <f t="shared" si="54"/>
        <v>0</v>
      </c>
      <c r="Q263" s="163">
        <v>0</v>
      </c>
      <c r="R263" s="163">
        <f t="shared" si="55"/>
        <v>0</v>
      </c>
      <c r="S263" s="163">
        <v>0</v>
      </c>
      <c r="T263" s="164">
        <f t="shared" si="56"/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65" t="s">
        <v>185</v>
      </c>
      <c r="AT263" s="165" t="s">
        <v>181</v>
      </c>
      <c r="AU263" s="165" t="s">
        <v>76</v>
      </c>
      <c r="AY263" s="14" t="s">
        <v>179</v>
      </c>
      <c r="BE263" s="166">
        <f t="shared" si="57"/>
        <v>0</v>
      </c>
      <c r="BF263" s="166">
        <f t="shared" si="58"/>
        <v>0</v>
      </c>
      <c r="BG263" s="166">
        <f t="shared" si="59"/>
        <v>0</v>
      </c>
      <c r="BH263" s="166">
        <f t="shared" si="60"/>
        <v>0</v>
      </c>
      <c r="BI263" s="166">
        <f t="shared" si="61"/>
        <v>0</v>
      </c>
      <c r="BJ263" s="14" t="s">
        <v>82</v>
      </c>
      <c r="BK263" s="166">
        <f t="shared" si="62"/>
        <v>0</v>
      </c>
      <c r="BL263" s="14" t="s">
        <v>185</v>
      </c>
      <c r="BM263" s="165" t="s">
        <v>578</v>
      </c>
    </row>
    <row r="264" spans="1:65" s="2" customFormat="1" ht="16.5" customHeight="1">
      <c r="A264" s="29"/>
      <c r="B264" s="152"/>
      <c r="C264" s="153" t="s">
        <v>568</v>
      </c>
      <c r="D264" s="153" t="s">
        <v>181</v>
      </c>
      <c r="E264" s="154" t="s">
        <v>1589</v>
      </c>
      <c r="F264" s="155" t="s">
        <v>1590</v>
      </c>
      <c r="G264" s="156" t="s">
        <v>293</v>
      </c>
      <c r="H264" s="157">
        <v>25</v>
      </c>
      <c r="I264" s="158"/>
      <c r="J264" s="151">
        <v>0</v>
      </c>
      <c r="K264" s="160"/>
      <c r="L264" s="30"/>
      <c r="M264" s="161" t="s">
        <v>1</v>
      </c>
      <c r="N264" s="162" t="s">
        <v>35</v>
      </c>
      <c r="O264" s="58"/>
      <c r="P264" s="163">
        <f t="shared" si="54"/>
        <v>0</v>
      </c>
      <c r="Q264" s="163">
        <v>0</v>
      </c>
      <c r="R264" s="163">
        <f t="shared" si="55"/>
        <v>0</v>
      </c>
      <c r="S264" s="163">
        <v>0</v>
      </c>
      <c r="T264" s="164">
        <f t="shared" si="56"/>
        <v>0</v>
      </c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R264" s="165" t="s">
        <v>185</v>
      </c>
      <c r="AT264" s="165" t="s">
        <v>181</v>
      </c>
      <c r="AU264" s="165" t="s">
        <v>76</v>
      </c>
      <c r="AY264" s="14" t="s">
        <v>179</v>
      </c>
      <c r="BE264" s="166">
        <f t="shared" si="57"/>
        <v>0</v>
      </c>
      <c r="BF264" s="166">
        <f t="shared" si="58"/>
        <v>0</v>
      </c>
      <c r="BG264" s="166">
        <f t="shared" si="59"/>
        <v>0</v>
      </c>
      <c r="BH264" s="166">
        <f t="shared" si="60"/>
        <v>0</v>
      </c>
      <c r="BI264" s="166">
        <f t="shared" si="61"/>
        <v>0</v>
      </c>
      <c r="BJ264" s="14" t="s">
        <v>82</v>
      </c>
      <c r="BK264" s="166">
        <f t="shared" si="62"/>
        <v>0</v>
      </c>
      <c r="BL264" s="14" t="s">
        <v>185</v>
      </c>
      <c r="BM264" s="165" t="s">
        <v>586</v>
      </c>
    </row>
    <row r="265" spans="1:65" s="2" customFormat="1" ht="16.5" customHeight="1">
      <c r="A265" s="29"/>
      <c r="B265" s="152"/>
      <c r="C265" s="153" t="s">
        <v>385</v>
      </c>
      <c r="D265" s="153" t="s">
        <v>181</v>
      </c>
      <c r="E265" s="154" t="s">
        <v>1591</v>
      </c>
      <c r="F265" s="155" t="s">
        <v>1592</v>
      </c>
      <c r="G265" s="156" t="s">
        <v>293</v>
      </c>
      <c r="H265" s="157">
        <v>190</v>
      </c>
      <c r="I265" s="158"/>
      <c r="J265" s="151">
        <v>0</v>
      </c>
      <c r="K265" s="160"/>
      <c r="L265" s="30"/>
      <c r="M265" s="161" t="s">
        <v>1</v>
      </c>
      <c r="N265" s="162" t="s">
        <v>35</v>
      </c>
      <c r="O265" s="58"/>
      <c r="P265" s="163">
        <f t="shared" si="54"/>
        <v>0</v>
      </c>
      <c r="Q265" s="163">
        <v>0</v>
      </c>
      <c r="R265" s="163">
        <f t="shared" si="55"/>
        <v>0</v>
      </c>
      <c r="S265" s="163">
        <v>0</v>
      </c>
      <c r="T265" s="164">
        <f t="shared" si="56"/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65" t="s">
        <v>185</v>
      </c>
      <c r="AT265" s="165" t="s">
        <v>181</v>
      </c>
      <c r="AU265" s="165" t="s">
        <v>76</v>
      </c>
      <c r="AY265" s="14" t="s">
        <v>179</v>
      </c>
      <c r="BE265" s="166">
        <f t="shared" si="57"/>
        <v>0</v>
      </c>
      <c r="BF265" s="166">
        <f t="shared" si="58"/>
        <v>0</v>
      </c>
      <c r="BG265" s="166">
        <f t="shared" si="59"/>
        <v>0</v>
      </c>
      <c r="BH265" s="166">
        <f t="shared" si="60"/>
        <v>0</v>
      </c>
      <c r="BI265" s="166">
        <f t="shared" si="61"/>
        <v>0</v>
      </c>
      <c r="BJ265" s="14" t="s">
        <v>82</v>
      </c>
      <c r="BK265" s="166">
        <f t="shared" si="62"/>
        <v>0</v>
      </c>
      <c r="BL265" s="14" t="s">
        <v>185</v>
      </c>
      <c r="BM265" s="165" t="s">
        <v>616</v>
      </c>
    </row>
    <row r="266" spans="1:65" s="2" customFormat="1" ht="16.5" customHeight="1">
      <c r="A266" s="29"/>
      <c r="B266" s="152"/>
      <c r="C266" s="153" t="s">
        <v>576</v>
      </c>
      <c r="D266" s="153" t="s">
        <v>181</v>
      </c>
      <c r="E266" s="154" t="s">
        <v>1593</v>
      </c>
      <c r="F266" s="155" t="s">
        <v>1594</v>
      </c>
      <c r="G266" s="156" t="s">
        <v>217</v>
      </c>
      <c r="H266" s="157">
        <v>70</v>
      </c>
      <c r="I266" s="158"/>
      <c r="J266" s="151">
        <v>0</v>
      </c>
      <c r="K266" s="160"/>
      <c r="L266" s="30"/>
      <c r="M266" s="161" t="s">
        <v>1</v>
      </c>
      <c r="N266" s="162" t="s">
        <v>35</v>
      </c>
      <c r="O266" s="58"/>
      <c r="P266" s="163">
        <f t="shared" si="54"/>
        <v>0</v>
      </c>
      <c r="Q266" s="163">
        <v>0</v>
      </c>
      <c r="R266" s="163">
        <f t="shared" si="55"/>
        <v>0</v>
      </c>
      <c r="S266" s="163">
        <v>0</v>
      </c>
      <c r="T266" s="164">
        <f t="shared" si="56"/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65" t="s">
        <v>185</v>
      </c>
      <c r="AT266" s="165" t="s">
        <v>181</v>
      </c>
      <c r="AU266" s="165" t="s">
        <v>76</v>
      </c>
      <c r="AY266" s="14" t="s">
        <v>179</v>
      </c>
      <c r="BE266" s="166">
        <f t="shared" si="57"/>
        <v>0</v>
      </c>
      <c r="BF266" s="166">
        <f t="shared" si="58"/>
        <v>0</v>
      </c>
      <c r="BG266" s="166">
        <f t="shared" si="59"/>
        <v>0</v>
      </c>
      <c r="BH266" s="166">
        <f t="shared" si="60"/>
        <v>0</v>
      </c>
      <c r="BI266" s="166">
        <f t="shared" si="61"/>
        <v>0</v>
      </c>
      <c r="BJ266" s="14" t="s">
        <v>82</v>
      </c>
      <c r="BK266" s="166">
        <f t="shared" si="62"/>
        <v>0</v>
      </c>
      <c r="BL266" s="14" t="s">
        <v>185</v>
      </c>
      <c r="BM266" s="165" t="s">
        <v>623</v>
      </c>
    </row>
    <row r="267" spans="1:65" s="2" customFormat="1" ht="16.5" customHeight="1">
      <c r="A267" s="29"/>
      <c r="B267" s="152"/>
      <c r="C267" s="153" t="s">
        <v>390</v>
      </c>
      <c r="D267" s="153" t="s">
        <v>181</v>
      </c>
      <c r="E267" s="154" t="s">
        <v>1595</v>
      </c>
      <c r="F267" s="155" t="s">
        <v>1596</v>
      </c>
      <c r="G267" s="156" t="s">
        <v>217</v>
      </c>
      <c r="H267" s="157">
        <v>60</v>
      </c>
      <c r="I267" s="158"/>
      <c r="J267" s="151">
        <v>0</v>
      </c>
      <c r="K267" s="160"/>
      <c r="L267" s="30"/>
      <c r="M267" s="161" t="s">
        <v>1</v>
      </c>
      <c r="N267" s="162" t="s">
        <v>35</v>
      </c>
      <c r="O267" s="58"/>
      <c r="P267" s="163">
        <f t="shared" si="54"/>
        <v>0</v>
      </c>
      <c r="Q267" s="163">
        <v>0</v>
      </c>
      <c r="R267" s="163">
        <f t="shared" si="55"/>
        <v>0</v>
      </c>
      <c r="S267" s="163">
        <v>0</v>
      </c>
      <c r="T267" s="164">
        <f t="shared" si="56"/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65" t="s">
        <v>185</v>
      </c>
      <c r="AT267" s="165" t="s">
        <v>181</v>
      </c>
      <c r="AU267" s="165" t="s">
        <v>76</v>
      </c>
      <c r="AY267" s="14" t="s">
        <v>179</v>
      </c>
      <c r="BE267" s="166">
        <f t="shared" si="57"/>
        <v>0</v>
      </c>
      <c r="BF267" s="166">
        <f t="shared" si="58"/>
        <v>0</v>
      </c>
      <c r="BG267" s="166">
        <f t="shared" si="59"/>
        <v>0</v>
      </c>
      <c r="BH267" s="166">
        <f t="shared" si="60"/>
        <v>0</v>
      </c>
      <c r="BI267" s="166">
        <f t="shared" si="61"/>
        <v>0</v>
      </c>
      <c r="BJ267" s="14" t="s">
        <v>82</v>
      </c>
      <c r="BK267" s="166">
        <f t="shared" si="62"/>
        <v>0</v>
      </c>
      <c r="BL267" s="14" t="s">
        <v>185</v>
      </c>
      <c r="BM267" s="165" t="s">
        <v>633</v>
      </c>
    </row>
    <row r="268" spans="1:65" s="2" customFormat="1" ht="16.5" customHeight="1">
      <c r="A268" s="29"/>
      <c r="B268" s="152"/>
      <c r="C268" s="153" t="s">
        <v>579</v>
      </c>
      <c r="D268" s="153" t="s">
        <v>181</v>
      </c>
      <c r="E268" s="154" t="s">
        <v>1597</v>
      </c>
      <c r="F268" s="155" t="s">
        <v>1598</v>
      </c>
      <c r="G268" s="156" t="s">
        <v>217</v>
      </c>
      <c r="H268" s="157">
        <v>2</v>
      </c>
      <c r="I268" s="158"/>
      <c r="J268" s="151">
        <v>0</v>
      </c>
      <c r="K268" s="160"/>
      <c r="L268" s="30"/>
      <c r="M268" s="161" t="s">
        <v>1</v>
      </c>
      <c r="N268" s="162" t="s">
        <v>35</v>
      </c>
      <c r="O268" s="58"/>
      <c r="P268" s="163">
        <f t="shared" si="54"/>
        <v>0</v>
      </c>
      <c r="Q268" s="163">
        <v>0</v>
      </c>
      <c r="R268" s="163">
        <f t="shared" si="55"/>
        <v>0</v>
      </c>
      <c r="S268" s="163">
        <v>0</v>
      </c>
      <c r="T268" s="164">
        <f t="shared" si="56"/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65" t="s">
        <v>185</v>
      </c>
      <c r="AT268" s="165" t="s">
        <v>181</v>
      </c>
      <c r="AU268" s="165" t="s">
        <v>76</v>
      </c>
      <c r="AY268" s="14" t="s">
        <v>179</v>
      </c>
      <c r="BE268" s="166">
        <f t="shared" si="57"/>
        <v>0</v>
      </c>
      <c r="BF268" s="166">
        <f t="shared" si="58"/>
        <v>0</v>
      </c>
      <c r="BG268" s="166">
        <f t="shared" si="59"/>
        <v>0</v>
      </c>
      <c r="BH268" s="166">
        <f t="shared" si="60"/>
        <v>0</v>
      </c>
      <c r="BI268" s="166">
        <f t="shared" si="61"/>
        <v>0</v>
      </c>
      <c r="BJ268" s="14" t="s">
        <v>82</v>
      </c>
      <c r="BK268" s="166">
        <f t="shared" si="62"/>
        <v>0</v>
      </c>
      <c r="BL268" s="14" t="s">
        <v>185</v>
      </c>
      <c r="BM268" s="165" t="s">
        <v>639</v>
      </c>
    </row>
    <row r="269" spans="1:65" s="2" customFormat="1" ht="16.5" customHeight="1">
      <c r="A269" s="29"/>
      <c r="B269" s="152"/>
      <c r="C269" s="153" t="s">
        <v>393</v>
      </c>
      <c r="D269" s="153" t="s">
        <v>181</v>
      </c>
      <c r="E269" s="154" t="s">
        <v>1599</v>
      </c>
      <c r="F269" s="155" t="s">
        <v>1600</v>
      </c>
      <c r="G269" s="156" t="s">
        <v>217</v>
      </c>
      <c r="H269" s="157">
        <v>2</v>
      </c>
      <c r="I269" s="158"/>
      <c r="J269" s="151">
        <v>0</v>
      </c>
      <c r="K269" s="160"/>
      <c r="L269" s="30"/>
      <c r="M269" s="161" t="s">
        <v>1</v>
      </c>
      <c r="N269" s="162" t="s">
        <v>35</v>
      </c>
      <c r="O269" s="58"/>
      <c r="P269" s="163">
        <f t="shared" si="54"/>
        <v>0</v>
      </c>
      <c r="Q269" s="163">
        <v>0</v>
      </c>
      <c r="R269" s="163">
        <f t="shared" si="55"/>
        <v>0</v>
      </c>
      <c r="S269" s="163">
        <v>0</v>
      </c>
      <c r="T269" s="164">
        <f t="shared" si="56"/>
        <v>0</v>
      </c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165" t="s">
        <v>185</v>
      </c>
      <c r="AT269" s="165" t="s">
        <v>181</v>
      </c>
      <c r="AU269" s="165" t="s">
        <v>76</v>
      </c>
      <c r="AY269" s="14" t="s">
        <v>179</v>
      </c>
      <c r="BE269" s="166">
        <f t="shared" si="57"/>
        <v>0</v>
      </c>
      <c r="BF269" s="166">
        <f t="shared" si="58"/>
        <v>0</v>
      </c>
      <c r="BG269" s="166">
        <f t="shared" si="59"/>
        <v>0</v>
      </c>
      <c r="BH269" s="166">
        <f t="shared" si="60"/>
        <v>0</v>
      </c>
      <c r="BI269" s="166">
        <f t="shared" si="61"/>
        <v>0</v>
      </c>
      <c r="BJ269" s="14" t="s">
        <v>82</v>
      </c>
      <c r="BK269" s="166">
        <f t="shared" si="62"/>
        <v>0</v>
      </c>
      <c r="BL269" s="14" t="s">
        <v>185</v>
      </c>
      <c r="BM269" s="165" t="s">
        <v>642</v>
      </c>
    </row>
    <row r="270" spans="1:65" s="2" customFormat="1" ht="24.2" customHeight="1">
      <c r="A270" s="29"/>
      <c r="B270" s="152"/>
      <c r="C270" s="153" t="s">
        <v>589</v>
      </c>
      <c r="D270" s="153" t="s">
        <v>181</v>
      </c>
      <c r="E270" s="154" t="s">
        <v>1601</v>
      </c>
      <c r="F270" s="155" t="s">
        <v>1602</v>
      </c>
      <c r="G270" s="156" t="s">
        <v>217</v>
      </c>
      <c r="H270" s="157">
        <v>1</v>
      </c>
      <c r="I270" s="158"/>
      <c r="J270" s="151">
        <v>0</v>
      </c>
      <c r="K270" s="160"/>
      <c r="L270" s="30"/>
      <c r="M270" s="161" t="s">
        <v>1</v>
      </c>
      <c r="N270" s="162" t="s">
        <v>35</v>
      </c>
      <c r="O270" s="58"/>
      <c r="P270" s="163">
        <f t="shared" si="54"/>
        <v>0</v>
      </c>
      <c r="Q270" s="163">
        <v>0</v>
      </c>
      <c r="R270" s="163">
        <f t="shared" si="55"/>
        <v>0</v>
      </c>
      <c r="S270" s="163">
        <v>0</v>
      </c>
      <c r="T270" s="164">
        <f t="shared" si="56"/>
        <v>0</v>
      </c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R270" s="165" t="s">
        <v>185</v>
      </c>
      <c r="AT270" s="165" t="s">
        <v>181</v>
      </c>
      <c r="AU270" s="165" t="s">
        <v>76</v>
      </c>
      <c r="AY270" s="14" t="s">
        <v>179</v>
      </c>
      <c r="BE270" s="166">
        <f t="shared" si="57"/>
        <v>0</v>
      </c>
      <c r="BF270" s="166">
        <f t="shared" si="58"/>
        <v>0</v>
      </c>
      <c r="BG270" s="166">
        <f t="shared" si="59"/>
        <v>0</v>
      </c>
      <c r="BH270" s="166">
        <f t="shared" si="60"/>
        <v>0</v>
      </c>
      <c r="BI270" s="166">
        <f t="shared" si="61"/>
        <v>0</v>
      </c>
      <c r="BJ270" s="14" t="s">
        <v>82</v>
      </c>
      <c r="BK270" s="166">
        <f t="shared" si="62"/>
        <v>0</v>
      </c>
      <c r="BL270" s="14" t="s">
        <v>185</v>
      </c>
      <c r="BM270" s="165" t="s">
        <v>651</v>
      </c>
    </row>
    <row r="271" spans="1:65" s="2" customFormat="1" ht="24.2" customHeight="1">
      <c r="A271" s="29"/>
      <c r="B271" s="152"/>
      <c r="C271" s="153" t="s">
        <v>397</v>
      </c>
      <c r="D271" s="153" t="s">
        <v>181</v>
      </c>
      <c r="E271" s="154" t="s">
        <v>1603</v>
      </c>
      <c r="F271" s="155" t="s">
        <v>1604</v>
      </c>
      <c r="G271" s="156" t="s">
        <v>217</v>
      </c>
      <c r="H271" s="157">
        <v>1</v>
      </c>
      <c r="I271" s="158"/>
      <c r="J271" s="151">
        <v>0</v>
      </c>
      <c r="K271" s="160"/>
      <c r="L271" s="30"/>
      <c r="M271" s="161" t="s">
        <v>1</v>
      </c>
      <c r="N271" s="162" t="s">
        <v>35</v>
      </c>
      <c r="O271" s="58"/>
      <c r="P271" s="163">
        <f t="shared" si="54"/>
        <v>0</v>
      </c>
      <c r="Q271" s="163">
        <v>0</v>
      </c>
      <c r="R271" s="163">
        <f t="shared" si="55"/>
        <v>0</v>
      </c>
      <c r="S271" s="163">
        <v>0</v>
      </c>
      <c r="T271" s="164">
        <f t="shared" si="56"/>
        <v>0</v>
      </c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R271" s="165" t="s">
        <v>185</v>
      </c>
      <c r="AT271" s="165" t="s">
        <v>181</v>
      </c>
      <c r="AU271" s="165" t="s">
        <v>76</v>
      </c>
      <c r="AY271" s="14" t="s">
        <v>179</v>
      </c>
      <c r="BE271" s="166">
        <f t="shared" si="57"/>
        <v>0</v>
      </c>
      <c r="BF271" s="166">
        <f t="shared" si="58"/>
        <v>0</v>
      </c>
      <c r="BG271" s="166">
        <f t="shared" si="59"/>
        <v>0</v>
      </c>
      <c r="BH271" s="166">
        <f t="shared" si="60"/>
        <v>0</v>
      </c>
      <c r="BI271" s="166">
        <f t="shared" si="61"/>
        <v>0</v>
      </c>
      <c r="BJ271" s="14" t="s">
        <v>82</v>
      </c>
      <c r="BK271" s="166">
        <f t="shared" si="62"/>
        <v>0</v>
      </c>
      <c r="BL271" s="14" t="s">
        <v>185</v>
      </c>
      <c r="BM271" s="165" t="s">
        <v>656</v>
      </c>
    </row>
    <row r="272" spans="1:65" s="2" customFormat="1" ht="16.5" customHeight="1">
      <c r="A272" s="29"/>
      <c r="B272" s="152"/>
      <c r="C272" s="153" t="s">
        <v>596</v>
      </c>
      <c r="D272" s="153" t="s">
        <v>181</v>
      </c>
      <c r="E272" s="154" t="s">
        <v>1605</v>
      </c>
      <c r="F272" s="155" t="s">
        <v>1606</v>
      </c>
      <c r="G272" s="156" t="s">
        <v>217</v>
      </c>
      <c r="H272" s="157">
        <v>1</v>
      </c>
      <c r="I272" s="158"/>
      <c r="J272" s="151">
        <v>0</v>
      </c>
      <c r="K272" s="160"/>
      <c r="L272" s="30"/>
      <c r="M272" s="161" t="s">
        <v>1</v>
      </c>
      <c r="N272" s="162" t="s">
        <v>35</v>
      </c>
      <c r="O272" s="58"/>
      <c r="P272" s="163">
        <f t="shared" si="54"/>
        <v>0</v>
      </c>
      <c r="Q272" s="163">
        <v>0</v>
      </c>
      <c r="R272" s="163">
        <f t="shared" si="55"/>
        <v>0</v>
      </c>
      <c r="S272" s="163">
        <v>0</v>
      </c>
      <c r="T272" s="164">
        <f t="shared" si="56"/>
        <v>0</v>
      </c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R272" s="165" t="s">
        <v>185</v>
      </c>
      <c r="AT272" s="165" t="s">
        <v>181</v>
      </c>
      <c r="AU272" s="165" t="s">
        <v>76</v>
      </c>
      <c r="AY272" s="14" t="s">
        <v>179</v>
      </c>
      <c r="BE272" s="166">
        <f t="shared" si="57"/>
        <v>0</v>
      </c>
      <c r="BF272" s="166">
        <f t="shared" si="58"/>
        <v>0</v>
      </c>
      <c r="BG272" s="166">
        <f t="shared" si="59"/>
        <v>0</v>
      </c>
      <c r="BH272" s="166">
        <f t="shared" si="60"/>
        <v>0</v>
      </c>
      <c r="BI272" s="166">
        <f t="shared" si="61"/>
        <v>0</v>
      </c>
      <c r="BJ272" s="14" t="s">
        <v>82</v>
      </c>
      <c r="BK272" s="166">
        <f t="shared" si="62"/>
        <v>0</v>
      </c>
      <c r="BL272" s="14" t="s">
        <v>185</v>
      </c>
      <c r="BM272" s="165" t="s">
        <v>660</v>
      </c>
    </row>
    <row r="273" spans="1:65" s="2" customFormat="1" ht="21.75" customHeight="1">
      <c r="A273" s="29"/>
      <c r="B273" s="152"/>
      <c r="C273" s="153" t="s">
        <v>400</v>
      </c>
      <c r="D273" s="153" t="s">
        <v>181</v>
      </c>
      <c r="E273" s="154" t="s">
        <v>1607</v>
      </c>
      <c r="F273" s="155" t="s">
        <v>1608</v>
      </c>
      <c r="G273" s="156" t="s">
        <v>217</v>
      </c>
      <c r="H273" s="157">
        <v>1</v>
      </c>
      <c r="I273" s="158"/>
      <c r="J273" s="151">
        <v>0</v>
      </c>
      <c r="K273" s="160"/>
      <c r="L273" s="30"/>
      <c r="M273" s="161" t="s">
        <v>1</v>
      </c>
      <c r="N273" s="162" t="s">
        <v>35</v>
      </c>
      <c r="O273" s="58"/>
      <c r="P273" s="163">
        <f t="shared" si="54"/>
        <v>0</v>
      </c>
      <c r="Q273" s="163">
        <v>0</v>
      </c>
      <c r="R273" s="163">
        <f t="shared" si="55"/>
        <v>0</v>
      </c>
      <c r="S273" s="163">
        <v>0</v>
      </c>
      <c r="T273" s="164">
        <f t="shared" si="56"/>
        <v>0</v>
      </c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R273" s="165" t="s">
        <v>185</v>
      </c>
      <c r="AT273" s="165" t="s">
        <v>181</v>
      </c>
      <c r="AU273" s="165" t="s">
        <v>76</v>
      </c>
      <c r="AY273" s="14" t="s">
        <v>179</v>
      </c>
      <c r="BE273" s="166">
        <f t="shared" si="57"/>
        <v>0</v>
      </c>
      <c r="BF273" s="166">
        <f t="shared" si="58"/>
        <v>0</v>
      </c>
      <c r="BG273" s="166">
        <f t="shared" si="59"/>
        <v>0</v>
      </c>
      <c r="BH273" s="166">
        <f t="shared" si="60"/>
        <v>0</v>
      </c>
      <c r="BI273" s="166">
        <f t="shared" si="61"/>
        <v>0</v>
      </c>
      <c r="BJ273" s="14" t="s">
        <v>82</v>
      </c>
      <c r="BK273" s="166">
        <f t="shared" si="62"/>
        <v>0</v>
      </c>
      <c r="BL273" s="14" t="s">
        <v>185</v>
      </c>
      <c r="BM273" s="165" t="s">
        <v>670</v>
      </c>
    </row>
    <row r="274" spans="1:65" s="2" customFormat="1" ht="33" customHeight="1">
      <c r="A274" s="29"/>
      <c r="B274" s="152"/>
      <c r="C274" s="153" t="s">
        <v>605</v>
      </c>
      <c r="D274" s="153" t="s">
        <v>181</v>
      </c>
      <c r="E274" s="154" t="s">
        <v>1609</v>
      </c>
      <c r="F274" s="155" t="s">
        <v>1610</v>
      </c>
      <c r="G274" s="156" t="s">
        <v>217</v>
      </c>
      <c r="H274" s="157">
        <v>1</v>
      </c>
      <c r="I274" s="158"/>
      <c r="J274" s="151">
        <v>0</v>
      </c>
      <c r="K274" s="160"/>
      <c r="L274" s="30"/>
      <c r="M274" s="161" t="s">
        <v>1</v>
      </c>
      <c r="N274" s="162" t="s">
        <v>35</v>
      </c>
      <c r="O274" s="58"/>
      <c r="P274" s="163">
        <f t="shared" si="54"/>
        <v>0</v>
      </c>
      <c r="Q274" s="163">
        <v>0</v>
      </c>
      <c r="R274" s="163">
        <f t="shared" si="55"/>
        <v>0</v>
      </c>
      <c r="S274" s="163">
        <v>0</v>
      </c>
      <c r="T274" s="164">
        <f t="shared" si="56"/>
        <v>0</v>
      </c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R274" s="165" t="s">
        <v>185</v>
      </c>
      <c r="AT274" s="165" t="s">
        <v>181</v>
      </c>
      <c r="AU274" s="165" t="s">
        <v>76</v>
      </c>
      <c r="AY274" s="14" t="s">
        <v>179</v>
      </c>
      <c r="BE274" s="166">
        <f t="shared" si="57"/>
        <v>0</v>
      </c>
      <c r="BF274" s="166">
        <f t="shared" si="58"/>
        <v>0</v>
      </c>
      <c r="BG274" s="166">
        <f t="shared" si="59"/>
        <v>0</v>
      </c>
      <c r="BH274" s="166">
        <f t="shared" si="60"/>
        <v>0</v>
      </c>
      <c r="BI274" s="166">
        <f t="shared" si="61"/>
        <v>0</v>
      </c>
      <c r="BJ274" s="14" t="s">
        <v>82</v>
      </c>
      <c r="BK274" s="166">
        <f t="shared" si="62"/>
        <v>0</v>
      </c>
      <c r="BL274" s="14" t="s">
        <v>185</v>
      </c>
      <c r="BM274" s="165" t="s">
        <v>674</v>
      </c>
    </row>
    <row r="275" spans="1:65" s="2" customFormat="1" ht="24.2" customHeight="1">
      <c r="A275" s="29"/>
      <c r="B275" s="152"/>
      <c r="C275" s="153" t="s">
        <v>404</v>
      </c>
      <c r="D275" s="153" t="s">
        <v>181</v>
      </c>
      <c r="E275" s="154" t="s">
        <v>1611</v>
      </c>
      <c r="F275" s="155" t="s">
        <v>1612</v>
      </c>
      <c r="G275" s="156" t="s">
        <v>217</v>
      </c>
      <c r="H275" s="157">
        <v>1</v>
      </c>
      <c r="I275" s="158"/>
      <c r="J275" s="151">
        <v>0</v>
      </c>
      <c r="K275" s="160"/>
      <c r="L275" s="30"/>
      <c r="M275" s="161" t="s">
        <v>1</v>
      </c>
      <c r="N275" s="162" t="s">
        <v>35</v>
      </c>
      <c r="O275" s="58"/>
      <c r="P275" s="163">
        <f t="shared" si="54"/>
        <v>0</v>
      </c>
      <c r="Q275" s="163">
        <v>0</v>
      </c>
      <c r="R275" s="163">
        <f t="shared" si="55"/>
        <v>0</v>
      </c>
      <c r="S275" s="163">
        <v>0</v>
      </c>
      <c r="T275" s="164">
        <f t="shared" si="56"/>
        <v>0</v>
      </c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R275" s="165" t="s">
        <v>185</v>
      </c>
      <c r="AT275" s="165" t="s">
        <v>181</v>
      </c>
      <c r="AU275" s="165" t="s">
        <v>76</v>
      </c>
      <c r="AY275" s="14" t="s">
        <v>179</v>
      </c>
      <c r="BE275" s="166">
        <f t="shared" si="57"/>
        <v>0</v>
      </c>
      <c r="BF275" s="166">
        <f t="shared" si="58"/>
        <v>0</v>
      </c>
      <c r="BG275" s="166">
        <f t="shared" si="59"/>
        <v>0</v>
      </c>
      <c r="BH275" s="166">
        <f t="shared" si="60"/>
        <v>0</v>
      </c>
      <c r="BI275" s="166">
        <f t="shared" si="61"/>
        <v>0</v>
      </c>
      <c r="BJ275" s="14" t="s">
        <v>82</v>
      </c>
      <c r="BK275" s="166">
        <f t="shared" si="62"/>
        <v>0</v>
      </c>
      <c r="BL275" s="14" t="s">
        <v>185</v>
      </c>
      <c r="BM275" s="165" t="s">
        <v>677</v>
      </c>
    </row>
    <row r="276" spans="1:65" s="2" customFormat="1" ht="16.5" customHeight="1">
      <c r="A276" s="29"/>
      <c r="B276" s="152"/>
      <c r="C276" s="153" t="s">
        <v>614</v>
      </c>
      <c r="D276" s="153" t="s">
        <v>181</v>
      </c>
      <c r="E276" s="154" t="s">
        <v>1613</v>
      </c>
      <c r="F276" s="155" t="s">
        <v>1606</v>
      </c>
      <c r="G276" s="156" t="s">
        <v>217</v>
      </c>
      <c r="H276" s="157">
        <v>1</v>
      </c>
      <c r="I276" s="158"/>
      <c r="J276" s="151">
        <v>0</v>
      </c>
      <c r="K276" s="160"/>
      <c r="L276" s="30"/>
      <c r="M276" s="161" t="s">
        <v>1</v>
      </c>
      <c r="N276" s="162" t="s">
        <v>35</v>
      </c>
      <c r="O276" s="58"/>
      <c r="P276" s="163">
        <f t="shared" si="54"/>
        <v>0</v>
      </c>
      <c r="Q276" s="163">
        <v>0</v>
      </c>
      <c r="R276" s="163">
        <f t="shared" si="55"/>
        <v>0</v>
      </c>
      <c r="S276" s="163">
        <v>0</v>
      </c>
      <c r="T276" s="164">
        <f t="shared" si="56"/>
        <v>0</v>
      </c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R276" s="165" t="s">
        <v>185</v>
      </c>
      <c r="AT276" s="165" t="s">
        <v>181</v>
      </c>
      <c r="AU276" s="165" t="s">
        <v>76</v>
      </c>
      <c r="AY276" s="14" t="s">
        <v>179</v>
      </c>
      <c r="BE276" s="166">
        <f t="shared" si="57"/>
        <v>0</v>
      </c>
      <c r="BF276" s="166">
        <f t="shared" si="58"/>
        <v>0</v>
      </c>
      <c r="BG276" s="166">
        <f t="shared" si="59"/>
        <v>0</v>
      </c>
      <c r="BH276" s="166">
        <f t="shared" si="60"/>
        <v>0</v>
      </c>
      <c r="BI276" s="166">
        <f t="shared" si="61"/>
        <v>0</v>
      </c>
      <c r="BJ276" s="14" t="s">
        <v>82</v>
      </c>
      <c r="BK276" s="166">
        <f t="shared" si="62"/>
        <v>0</v>
      </c>
      <c r="BL276" s="14" t="s">
        <v>185</v>
      </c>
      <c r="BM276" s="165" t="s">
        <v>681</v>
      </c>
    </row>
    <row r="277" spans="1:65" s="2" customFormat="1" ht="21.75" customHeight="1">
      <c r="A277" s="29"/>
      <c r="B277" s="152"/>
      <c r="C277" s="153" t="s">
        <v>407</v>
      </c>
      <c r="D277" s="153" t="s">
        <v>181</v>
      </c>
      <c r="E277" s="154" t="s">
        <v>1614</v>
      </c>
      <c r="F277" s="155" t="s">
        <v>1608</v>
      </c>
      <c r="G277" s="156" t="s">
        <v>217</v>
      </c>
      <c r="H277" s="157">
        <v>1</v>
      </c>
      <c r="I277" s="158"/>
      <c r="J277" s="151">
        <v>0</v>
      </c>
      <c r="K277" s="160"/>
      <c r="L277" s="30"/>
      <c r="M277" s="161" t="s">
        <v>1</v>
      </c>
      <c r="N277" s="162" t="s">
        <v>35</v>
      </c>
      <c r="O277" s="58"/>
      <c r="P277" s="163">
        <f t="shared" si="54"/>
        <v>0</v>
      </c>
      <c r="Q277" s="163">
        <v>0</v>
      </c>
      <c r="R277" s="163">
        <f t="shared" si="55"/>
        <v>0</v>
      </c>
      <c r="S277" s="163">
        <v>0</v>
      </c>
      <c r="T277" s="164">
        <f t="shared" si="56"/>
        <v>0</v>
      </c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R277" s="165" t="s">
        <v>185</v>
      </c>
      <c r="AT277" s="165" t="s">
        <v>181</v>
      </c>
      <c r="AU277" s="165" t="s">
        <v>76</v>
      </c>
      <c r="AY277" s="14" t="s">
        <v>179</v>
      </c>
      <c r="BE277" s="166">
        <f t="shared" si="57"/>
        <v>0</v>
      </c>
      <c r="BF277" s="166">
        <f t="shared" si="58"/>
        <v>0</v>
      </c>
      <c r="BG277" s="166">
        <f t="shared" si="59"/>
        <v>0</v>
      </c>
      <c r="BH277" s="166">
        <f t="shared" si="60"/>
        <v>0</v>
      </c>
      <c r="BI277" s="166">
        <f t="shared" si="61"/>
        <v>0</v>
      </c>
      <c r="BJ277" s="14" t="s">
        <v>82</v>
      </c>
      <c r="BK277" s="166">
        <f t="shared" si="62"/>
        <v>0</v>
      </c>
      <c r="BL277" s="14" t="s">
        <v>185</v>
      </c>
      <c r="BM277" s="165" t="s">
        <v>684</v>
      </c>
    </row>
    <row r="278" spans="1:65" s="2" customFormat="1" ht="16.5" customHeight="1">
      <c r="A278" s="29"/>
      <c r="B278" s="152"/>
      <c r="C278" s="153" t="s">
        <v>620</v>
      </c>
      <c r="D278" s="153" t="s">
        <v>181</v>
      </c>
      <c r="E278" s="154" t="s">
        <v>1615</v>
      </c>
      <c r="F278" s="155" t="s">
        <v>1616</v>
      </c>
      <c r="G278" s="156" t="s">
        <v>574</v>
      </c>
      <c r="H278" s="157">
        <v>11</v>
      </c>
      <c r="I278" s="158"/>
      <c r="J278" s="151">
        <v>0</v>
      </c>
      <c r="K278" s="160"/>
      <c r="L278" s="30"/>
      <c r="M278" s="161" t="s">
        <v>1</v>
      </c>
      <c r="N278" s="162" t="s">
        <v>35</v>
      </c>
      <c r="O278" s="58"/>
      <c r="P278" s="163">
        <f t="shared" si="54"/>
        <v>0</v>
      </c>
      <c r="Q278" s="163">
        <v>0</v>
      </c>
      <c r="R278" s="163">
        <f t="shared" si="55"/>
        <v>0</v>
      </c>
      <c r="S278" s="163">
        <v>0</v>
      </c>
      <c r="T278" s="164">
        <f t="shared" si="56"/>
        <v>0</v>
      </c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R278" s="165" t="s">
        <v>185</v>
      </c>
      <c r="AT278" s="165" t="s">
        <v>181</v>
      </c>
      <c r="AU278" s="165" t="s">
        <v>76</v>
      </c>
      <c r="AY278" s="14" t="s">
        <v>179</v>
      </c>
      <c r="BE278" s="166">
        <f t="shared" si="57"/>
        <v>0</v>
      </c>
      <c r="BF278" s="166">
        <f t="shared" si="58"/>
        <v>0</v>
      </c>
      <c r="BG278" s="166">
        <f t="shared" si="59"/>
        <v>0</v>
      </c>
      <c r="BH278" s="166">
        <f t="shared" si="60"/>
        <v>0</v>
      </c>
      <c r="BI278" s="166">
        <f t="shared" si="61"/>
        <v>0</v>
      </c>
      <c r="BJ278" s="14" t="s">
        <v>82</v>
      </c>
      <c r="BK278" s="166">
        <f t="shared" si="62"/>
        <v>0</v>
      </c>
      <c r="BL278" s="14" t="s">
        <v>185</v>
      </c>
      <c r="BM278" s="165" t="s">
        <v>688</v>
      </c>
    </row>
    <row r="279" spans="1:65" s="2" customFormat="1" ht="16.5" customHeight="1">
      <c r="A279" s="29"/>
      <c r="B279" s="152"/>
      <c r="C279" s="153" t="s">
        <v>411</v>
      </c>
      <c r="D279" s="153" t="s">
        <v>181</v>
      </c>
      <c r="E279" s="154" t="s">
        <v>1617</v>
      </c>
      <c r="F279" s="155" t="s">
        <v>1618</v>
      </c>
      <c r="G279" s="156" t="s">
        <v>574</v>
      </c>
      <c r="H279" s="157">
        <v>9</v>
      </c>
      <c r="I279" s="158"/>
      <c r="J279" s="151">
        <v>0</v>
      </c>
      <c r="K279" s="160"/>
      <c r="L279" s="30"/>
      <c r="M279" s="161" t="s">
        <v>1</v>
      </c>
      <c r="N279" s="162" t="s">
        <v>35</v>
      </c>
      <c r="O279" s="58"/>
      <c r="P279" s="163">
        <f t="shared" si="54"/>
        <v>0</v>
      </c>
      <c r="Q279" s="163">
        <v>0</v>
      </c>
      <c r="R279" s="163">
        <f t="shared" si="55"/>
        <v>0</v>
      </c>
      <c r="S279" s="163">
        <v>0</v>
      </c>
      <c r="T279" s="164">
        <f t="shared" si="56"/>
        <v>0</v>
      </c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R279" s="165" t="s">
        <v>185</v>
      </c>
      <c r="AT279" s="165" t="s">
        <v>181</v>
      </c>
      <c r="AU279" s="165" t="s">
        <v>76</v>
      </c>
      <c r="AY279" s="14" t="s">
        <v>179</v>
      </c>
      <c r="BE279" s="166">
        <f t="shared" si="57"/>
        <v>0</v>
      </c>
      <c r="BF279" s="166">
        <f t="shared" si="58"/>
        <v>0</v>
      </c>
      <c r="BG279" s="166">
        <f t="shared" si="59"/>
        <v>0</v>
      </c>
      <c r="BH279" s="166">
        <f t="shared" si="60"/>
        <v>0</v>
      </c>
      <c r="BI279" s="166">
        <f t="shared" si="61"/>
        <v>0</v>
      </c>
      <c r="BJ279" s="14" t="s">
        <v>82</v>
      </c>
      <c r="BK279" s="166">
        <f t="shared" si="62"/>
        <v>0</v>
      </c>
      <c r="BL279" s="14" t="s">
        <v>185</v>
      </c>
      <c r="BM279" s="165" t="s">
        <v>691</v>
      </c>
    </row>
    <row r="280" spans="1:65" s="2" customFormat="1" ht="16.5" customHeight="1">
      <c r="A280" s="29"/>
      <c r="B280" s="152"/>
      <c r="C280" s="153" t="s">
        <v>627</v>
      </c>
      <c r="D280" s="153" t="s">
        <v>181</v>
      </c>
      <c r="E280" s="154" t="s">
        <v>1619</v>
      </c>
      <c r="F280" s="155" t="s">
        <v>1620</v>
      </c>
      <c r="G280" s="156" t="s">
        <v>574</v>
      </c>
      <c r="H280" s="157">
        <v>1</v>
      </c>
      <c r="I280" s="158"/>
      <c r="J280" s="151">
        <v>0</v>
      </c>
      <c r="K280" s="160"/>
      <c r="L280" s="30"/>
      <c r="M280" s="161" t="s">
        <v>1</v>
      </c>
      <c r="N280" s="162" t="s">
        <v>35</v>
      </c>
      <c r="O280" s="58"/>
      <c r="P280" s="163">
        <f t="shared" si="54"/>
        <v>0</v>
      </c>
      <c r="Q280" s="163">
        <v>0</v>
      </c>
      <c r="R280" s="163">
        <f t="shared" si="55"/>
        <v>0</v>
      </c>
      <c r="S280" s="163">
        <v>0</v>
      </c>
      <c r="T280" s="164">
        <f t="shared" si="56"/>
        <v>0</v>
      </c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R280" s="165" t="s">
        <v>185</v>
      </c>
      <c r="AT280" s="165" t="s">
        <v>181</v>
      </c>
      <c r="AU280" s="165" t="s">
        <v>76</v>
      </c>
      <c r="AY280" s="14" t="s">
        <v>179</v>
      </c>
      <c r="BE280" s="166">
        <f t="shared" si="57"/>
        <v>0</v>
      </c>
      <c r="BF280" s="166">
        <f t="shared" si="58"/>
        <v>0</v>
      </c>
      <c r="BG280" s="166">
        <f t="shared" si="59"/>
        <v>0</v>
      </c>
      <c r="BH280" s="166">
        <f t="shared" si="60"/>
        <v>0</v>
      </c>
      <c r="BI280" s="166">
        <f t="shared" si="61"/>
        <v>0</v>
      </c>
      <c r="BJ280" s="14" t="s">
        <v>82</v>
      </c>
      <c r="BK280" s="166">
        <f t="shared" si="62"/>
        <v>0</v>
      </c>
      <c r="BL280" s="14" t="s">
        <v>185</v>
      </c>
      <c r="BM280" s="165" t="s">
        <v>695</v>
      </c>
    </row>
    <row r="281" spans="1:65" s="2" customFormat="1" ht="16.5" customHeight="1">
      <c r="A281" s="29"/>
      <c r="B281" s="152"/>
      <c r="C281" s="153" t="s">
        <v>414</v>
      </c>
      <c r="D281" s="153" t="s">
        <v>181</v>
      </c>
      <c r="E281" s="154" t="s">
        <v>1621</v>
      </c>
      <c r="F281" s="155" t="s">
        <v>1622</v>
      </c>
      <c r="G281" s="156" t="s">
        <v>574</v>
      </c>
      <c r="H281" s="157">
        <v>1</v>
      </c>
      <c r="I281" s="158"/>
      <c r="J281" s="151">
        <v>0</v>
      </c>
      <c r="K281" s="160"/>
      <c r="L281" s="30"/>
      <c r="M281" s="161" t="s">
        <v>1</v>
      </c>
      <c r="N281" s="162" t="s">
        <v>35</v>
      </c>
      <c r="O281" s="58"/>
      <c r="P281" s="163">
        <f t="shared" si="54"/>
        <v>0</v>
      </c>
      <c r="Q281" s="163">
        <v>0</v>
      </c>
      <c r="R281" s="163">
        <f t="shared" si="55"/>
        <v>0</v>
      </c>
      <c r="S281" s="163">
        <v>0</v>
      </c>
      <c r="T281" s="164">
        <f t="shared" si="56"/>
        <v>0</v>
      </c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R281" s="165" t="s">
        <v>185</v>
      </c>
      <c r="AT281" s="165" t="s">
        <v>181</v>
      </c>
      <c r="AU281" s="165" t="s">
        <v>76</v>
      </c>
      <c r="AY281" s="14" t="s">
        <v>179</v>
      </c>
      <c r="BE281" s="166">
        <f t="shared" si="57"/>
        <v>0</v>
      </c>
      <c r="BF281" s="166">
        <f t="shared" si="58"/>
        <v>0</v>
      </c>
      <c r="BG281" s="166">
        <f t="shared" si="59"/>
        <v>0</v>
      </c>
      <c r="BH281" s="166">
        <f t="shared" si="60"/>
        <v>0</v>
      </c>
      <c r="BI281" s="166">
        <f t="shared" si="61"/>
        <v>0</v>
      </c>
      <c r="BJ281" s="14" t="s">
        <v>82</v>
      </c>
      <c r="BK281" s="166">
        <f t="shared" si="62"/>
        <v>0</v>
      </c>
      <c r="BL281" s="14" t="s">
        <v>185</v>
      </c>
      <c r="BM281" s="165" t="s">
        <v>700</v>
      </c>
    </row>
    <row r="282" spans="1:65" s="2" customFormat="1" ht="16.5" customHeight="1">
      <c r="A282" s="29"/>
      <c r="B282" s="152"/>
      <c r="C282" s="153" t="s">
        <v>636</v>
      </c>
      <c r="D282" s="153" t="s">
        <v>181</v>
      </c>
      <c r="E282" s="154" t="s">
        <v>1623</v>
      </c>
      <c r="F282" s="155" t="s">
        <v>1624</v>
      </c>
      <c r="G282" s="156" t="s">
        <v>1625</v>
      </c>
      <c r="H282" s="157">
        <v>1</v>
      </c>
      <c r="I282" s="158"/>
      <c r="J282" s="151">
        <v>0</v>
      </c>
      <c r="K282" s="160"/>
      <c r="L282" s="30"/>
      <c r="M282" s="161" t="s">
        <v>1</v>
      </c>
      <c r="N282" s="162" t="s">
        <v>35</v>
      </c>
      <c r="O282" s="58"/>
      <c r="P282" s="163">
        <f t="shared" si="54"/>
        <v>0</v>
      </c>
      <c r="Q282" s="163">
        <v>0</v>
      </c>
      <c r="R282" s="163">
        <f t="shared" si="55"/>
        <v>0</v>
      </c>
      <c r="S282" s="163">
        <v>0</v>
      </c>
      <c r="T282" s="164">
        <f t="shared" si="56"/>
        <v>0</v>
      </c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R282" s="165" t="s">
        <v>185</v>
      </c>
      <c r="AT282" s="165" t="s">
        <v>181</v>
      </c>
      <c r="AU282" s="165" t="s">
        <v>76</v>
      </c>
      <c r="AY282" s="14" t="s">
        <v>179</v>
      </c>
      <c r="BE282" s="166">
        <f t="shared" si="57"/>
        <v>0</v>
      </c>
      <c r="BF282" s="166">
        <f t="shared" si="58"/>
        <v>0</v>
      </c>
      <c r="BG282" s="166">
        <f t="shared" si="59"/>
        <v>0</v>
      </c>
      <c r="BH282" s="166">
        <f t="shared" si="60"/>
        <v>0</v>
      </c>
      <c r="BI282" s="166">
        <f t="shared" si="61"/>
        <v>0</v>
      </c>
      <c r="BJ282" s="14" t="s">
        <v>82</v>
      </c>
      <c r="BK282" s="166">
        <f t="shared" si="62"/>
        <v>0</v>
      </c>
      <c r="BL282" s="14" t="s">
        <v>185</v>
      </c>
      <c r="BM282" s="165" t="s">
        <v>704</v>
      </c>
    </row>
    <row r="283" spans="1:65" s="2" customFormat="1" ht="16.5" customHeight="1">
      <c r="A283" s="29"/>
      <c r="B283" s="152"/>
      <c r="C283" s="153" t="s">
        <v>418</v>
      </c>
      <c r="D283" s="153" t="s">
        <v>181</v>
      </c>
      <c r="E283" s="154" t="s">
        <v>1626</v>
      </c>
      <c r="F283" s="155" t="s">
        <v>1627</v>
      </c>
      <c r="G283" s="156" t="s">
        <v>293</v>
      </c>
      <c r="H283" s="157">
        <v>2</v>
      </c>
      <c r="I283" s="158"/>
      <c r="J283" s="151">
        <v>0</v>
      </c>
      <c r="K283" s="160"/>
      <c r="L283" s="30"/>
      <c r="M283" s="161" t="s">
        <v>1</v>
      </c>
      <c r="N283" s="162" t="s">
        <v>35</v>
      </c>
      <c r="O283" s="58"/>
      <c r="P283" s="163">
        <f t="shared" si="54"/>
        <v>0</v>
      </c>
      <c r="Q283" s="163">
        <v>0</v>
      </c>
      <c r="R283" s="163">
        <f t="shared" si="55"/>
        <v>0</v>
      </c>
      <c r="S283" s="163">
        <v>0</v>
      </c>
      <c r="T283" s="164">
        <f t="shared" si="56"/>
        <v>0</v>
      </c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R283" s="165" t="s">
        <v>185</v>
      </c>
      <c r="AT283" s="165" t="s">
        <v>181</v>
      </c>
      <c r="AU283" s="165" t="s">
        <v>76</v>
      </c>
      <c r="AY283" s="14" t="s">
        <v>179</v>
      </c>
      <c r="BE283" s="166">
        <f t="shared" si="57"/>
        <v>0</v>
      </c>
      <c r="BF283" s="166">
        <f t="shared" si="58"/>
        <v>0</v>
      </c>
      <c r="BG283" s="166">
        <f t="shared" si="59"/>
        <v>0</v>
      </c>
      <c r="BH283" s="166">
        <f t="shared" si="60"/>
        <v>0</v>
      </c>
      <c r="BI283" s="166">
        <f t="shared" si="61"/>
        <v>0</v>
      </c>
      <c r="BJ283" s="14" t="s">
        <v>82</v>
      </c>
      <c r="BK283" s="166">
        <f t="shared" si="62"/>
        <v>0</v>
      </c>
      <c r="BL283" s="14" t="s">
        <v>185</v>
      </c>
      <c r="BM283" s="165" t="s">
        <v>707</v>
      </c>
    </row>
    <row r="284" spans="1:65" s="2" customFormat="1" ht="37.9" customHeight="1">
      <c r="A284" s="29"/>
      <c r="B284" s="152"/>
      <c r="C284" s="153" t="s">
        <v>643</v>
      </c>
      <c r="D284" s="153" t="s">
        <v>181</v>
      </c>
      <c r="E284" s="154" t="s">
        <v>1628</v>
      </c>
      <c r="F284" s="155" t="s">
        <v>1629</v>
      </c>
      <c r="G284" s="156" t="s">
        <v>217</v>
      </c>
      <c r="H284" s="157">
        <v>1</v>
      </c>
      <c r="I284" s="158"/>
      <c r="J284" s="151">
        <v>0</v>
      </c>
      <c r="K284" s="160"/>
      <c r="L284" s="30"/>
      <c r="M284" s="161" t="s">
        <v>1</v>
      </c>
      <c r="N284" s="162" t="s">
        <v>35</v>
      </c>
      <c r="O284" s="58"/>
      <c r="P284" s="163">
        <f t="shared" si="54"/>
        <v>0</v>
      </c>
      <c r="Q284" s="163">
        <v>0</v>
      </c>
      <c r="R284" s="163">
        <f t="shared" si="55"/>
        <v>0</v>
      </c>
      <c r="S284" s="163">
        <v>0</v>
      </c>
      <c r="T284" s="164">
        <f t="shared" si="56"/>
        <v>0</v>
      </c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R284" s="165" t="s">
        <v>185</v>
      </c>
      <c r="AT284" s="165" t="s">
        <v>181</v>
      </c>
      <c r="AU284" s="165" t="s">
        <v>76</v>
      </c>
      <c r="AY284" s="14" t="s">
        <v>179</v>
      </c>
      <c r="BE284" s="166">
        <f t="shared" si="57"/>
        <v>0</v>
      </c>
      <c r="BF284" s="166">
        <f t="shared" si="58"/>
        <v>0</v>
      </c>
      <c r="BG284" s="166">
        <f t="shared" si="59"/>
        <v>0</v>
      </c>
      <c r="BH284" s="166">
        <f t="shared" si="60"/>
        <v>0</v>
      </c>
      <c r="BI284" s="166">
        <f t="shared" si="61"/>
        <v>0</v>
      </c>
      <c r="BJ284" s="14" t="s">
        <v>82</v>
      </c>
      <c r="BK284" s="166">
        <f t="shared" si="62"/>
        <v>0</v>
      </c>
      <c r="BL284" s="14" t="s">
        <v>185</v>
      </c>
      <c r="BM284" s="165" t="s">
        <v>711</v>
      </c>
    </row>
    <row r="285" spans="1:65" s="2" customFormat="1" ht="44.25" customHeight="1">
      <c r="A285" s="29"/>
      <c r="B285" s="152"/>
      <c r="C285" s="153" t="s">
        <v>421</v>
      </c>
      <c r="D285" s="153" t="s">
        <v>181</v>
      </c>
      <c r="E285" s="154" t="s">
        <v>1630</v>
      </c>
      <c r="F285" s="339" t="s">
        <v>1631</v>
      </c>
      <c r="G285" s="156" t="s">
        <v>217</v>
      </c>
      <c r="H285" s="157">
        <v>2</v>
      </c>
      <c r="I285" s="158"/>
      <c r="J285" s="151">
        <v>0</v>
      </c>
      <c r="K285" s="160"/>
      <c r="L285" s="30"/>
      <c r="M285" s="161" t="s">
        <v>1</v>
      </c>
      <c r="N285" s="162" t="s">
        <v>35</v>
      </c>
      <c r="O285" s="58"/>
      <c r="P285" s="163">
        <f t="shared" si="54"/>
        <v>0</v>
      </c>
      <c r="Q285" s="163">
        <v>0</v>
      </c>
      <c r="R285" s="163">
        <f t="shared" si="55"/>
        <v>0</v>
      </c>
      <c r="S285" s="163">
        <v>0</v>
      </c>
      <c r="T285" s="164">
        <f t="shared" si="56"/>
        <v>0</v>
      </c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R285" s="165" t="s">
        <v>185</v>
      </c>
      <c r="AT285" s="165" t="s">
        <v>181</v>
      </c>
      <c r="AU285" s="165" t="s">
        <v>76</v>
      </c>
      <c r="AY285" s="14" t="s">
        <v>179</v>
      </c>
      <c r="BE285" s="166">
        <f t="shared" si="57"/>
        <v>0</v>
      </c>
      <c r="BF285" s="166">
        <f t="shared" si="58"/>
        <v>0</v>
      </c>
      <c r="BG285" s="166">
        <f t="shared" si="59"/>
        <v>0</v>
      </c>
      <c r="BH285" s="166">
        <f t="shared" si="60"/>
        <v>0</v>
      </c>
      <c r="BI285" s="166">
        <f t="shared" si="61"/>
        <v>0</v>
      </c>
      <c r="BJ285" s="14" t="s">
        <v>82</v>
      </c>
      <c r="BK285" s="166">
        <f t="shared" si="62"/>
        <v>0</v>
      </c>
      <c r="BL285" s="14" t="s">
        <v>185</v>
      </c>
      <c r="BM285" s="165" t="s">
        <v>714</v>
      </c>
    </row>
    <row r="286" spans="1:65" s="2" customFormat="1" ht="44.25" customHeight="1">
      <c r="A286" s="29"/>
      <c r="B286" s="152"/>
      <c r="C286" s="153" t="s">
        <v>650</v>
      </c>
      <c r="D286" s="153" t="s">
        <v>181</v>
      </c>
      <c r="E286" s="154" t="s">
        <v>1632</v>
      </c>
      <c r="F286" s="155" t="s">
        <v>1633</v>
      </c>
      <c r="G286" s="156" t="s">
        <v>217</v>
      </c>
      <c r="H286" s="157">
        <v>2</v>
      </c>
      <c r="I286" s="158"/>
      <c r="J286" s="151">
        <v>0</v>
      </c>
      <c r="K286" s="160"/>
      <c r="L286" s="30"/>
      <c r="M286" s="161" t="s">
        <v>1</v>
      </c>
      <c r="N286" s="162" t="s">
        <v>35</v>
      </c>
      <c r="O286" s="58"/>
      <c r="P286" s="163">
        <f t="shared" si="54"/>
        <v>0</v>
      </c>
      <c r="Q286" s="163">
        <v>0</v>
      </c>
      <c r="R286" s="163">
        <f t="shared" si="55"/>
        <v>0</v>
      </c>
      <c r="S286" s="163">
        <v>0</v>
      </c>
      <c r="T286" s="164">
        <f t="shared" si="56"/>
        <v>0</v>
      </c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R286" s="165" t="s">
        <v>185</v>
      </c>
      <c r="AT286" s="165" t="s">
        <v>181</v>
      </c>
      <c r="AU286" s="165" t="s">
        <v>76</v>
      </c>
      <c r="AY286" s="14" t="s">
        <v>179</v>
      </c>
      <c r="BE286" s="166">
        <f t="shared" si="57"/>
        <v>0</v>
      </c>
      <c r="BF286" s="166">
        <f t="shared" si="58"/>
        <v>0</v>
      </c>
      <c r="BG286" s="166">
        <f t="shared" si="59"/>
        <v>0</v>
      </c>
      <c r="BH286" s="166">
        <f t="shared" si="60"/>
        <v>0</v>
      </c>
      <c r="BI286" s="166">
        <f t="shared" si="61"/>
        <v>0</v>
      </c>
      <c r="BJ286" s="14" t="s">
        <v>82</v>
      </c>
      <c r="BK286" s="166">
        <f t="shared" si="62"/>
        <v>0</v>
      </c>
      <c r="BL286" s="14" t="s">
        <v>185</v>
      </c>
      <c r="BM286" s="165" t="s">
        <v>718</v>
      </c>
    </row>
    <row r="287" spans="1:65" s="2" customFormat="1" ht="24.2" customHeight="1">
      <c r="A287" s="29"/>
      <c r="B287" s="152"/>
      <c r="C287" s="153" t="s">
        <v>425</v>
      </c>
      <c r="D287" s="153" t="s">
        <v>181</v>
      </c>
      <c r="E287" s="154" t="s">
        <v>1634</v>
      </c>
      <c r="F287" s="155" t="s">
        <v>1635</v>
      </c>
      <c r="G287" s="156" t="s">
        <v>217</v>
      </c>
      <c r="H287" s="157">
        <v>13</v>
      </c>
      <c r="I287" s="158"/>
      <c r="J287" s="151">
        <v>0</v>
      </c>
      <c r="K287" s="160"/>
      <c r="L287" s="30"/>
      <c r="M287" s="161" t="s">
        <v>1</v>
      </c>
      <c r="N287" s="162" t="s">
        <v>35</v>
      </c>
      <c r="O287" s="58"/>
      <c r="P287" s="163">
        <f t="shared" si="54"/>
        <v>0</v>
      </c>
      <c r="Q287" s="163">
        <v>0</v>
      </c>
      <c r="R287" s="163">
        <f t="shared" si="55"/>
        <v>0</v>
      </c>
      <c r="S287" s="163">
        <v>0</v>
      </c>
      <c r="T287" s="164">
        <f t="shared" si="56"/>
        <v>0</v>
      </c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R287" s="165" t="s">
        <v>185</v>
      </c>
      <c r="AT287" s="165" t="s">
        <v>181</v>
      </c>
      <c r="AU287" s="165" t="s">
        <v>76</v>
      </c>
      <c r="AY287" s="14" t="s">
        <v>179</v>
      </c>
      <c r="BE287" s="166">
        <f t="shared" si="57"/>
        <v>0</v>
      </c>
      <c r="BF287" s="166">
        <f t="shared" si="58"/>
        <v>0</v>
      </c>
      <c r="BG287" s="166">
        <f t="shared" si="59"/>
        <v>0</v>
      </c>
      <c r="BH287" s="166">
        <f t="shared" si="60"/>
        <v>0</v>
      </c>
      <c r="BI287" s="166">
        <f t="shared" si="61"/>
        <v>0</v>
      </c>
      <c r="BJ287" s="14" t="s">
        <v>82</v>
      </c>
      <c r="BK287" s="166">
        <f t="shared" si="62"/>
        <v>0</v>
      </c>
      <c r="BL287" s="14" t="s">
        <v>185</v>
      </c>
      <c r="BM287" s="165" t="s">
        <v>721</v>
      </c>
    </row>
    <row r="288" spans="1:65" s="2" customFormat="1" ht="24.2" customHeight="1">
      <c r="A288" s="29"/>
      <c r="B288" s="152"/>
      <c r="C288" s="153" t="s">
        <v>657</v>
      </c>
      <c r="D288" s="153" t="s">
        <v>181</v>
      </c>
      <c r="E288" s="154" t="s">
        <v>1636</v>
      </c>
      <c r="F288" s="155" t="s">
        <v>1637</v>
      </c>
      <c r="G288" s="156" t="s">
        <v>217</v>
      </c>
      <c r="H288" s="157">
        <v>2</v>
      </c>
      <c r="I288" s="158"/>
      <c r="J288" s="151">
        <v>0</v>
      </c>
      <c r="K288" s="160"/>
      <c r="L288" s="30"/>
      <c r="M288" s="161" t="s">
        <v>1</v>
      </c>
      <c r="N288" s="162" t="s">
        <v>35</v>
      </c>
      <c r="O288" s="58"/>
      <c r="P288" s="163">
        <f t="shared" si="54"/>
        <v>0</v>
      </c>
      <c r="Q288" s="163">
        <v>0</v>
      </c>
      <c r="R288" s="163">
        <f t="shared" si="55"/>
        <v>0</v>
      </c>
      <c r="S288" s="163">
        <v>0</v>
      </c>
      <c r="T288" s="164">
        <f t="shared" si="56"/>
        <v>0</v>
      </c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R288" s="165" t="s">
        <v>185</v>
      </c>
      <c r="AT288" s="165" t="s">
        <v>181</v>
      </c>
      <c r="AU288" s="165" t="s">
        <v>76</v>
      </c>
      <c r="AY288" s="14" t="s">
        <v>179</v>
      </c>
      <c r="BE288" s="166">
        <f t="shared" si="57"/>
        <v>0</v>
      </c>
      <c r="BF288" s="166">
        <f t="shared" si="58"/>
        <v>0</v>
      </c>
      <c r="BG288" s="166">
        <f t="shared" si="59"/>
        <v>0</v>
      </c>
      <c r="BH288" s="166">
        <f t="shared" si="60"/>
        <v>0</v>
      </c>
      <c r="BI288" s="166">
        <f t="shared" si="61"/>
        <v>0</v>
      </c>
      <c r="BJ288" s="14" t="s">
        <v>82</v>
      </c>
      <c r="BK288" s="166">
        <f t="shared" si="62"/>
        <v>0</v>
      </c>
      <c r="BL288" s="14" t="s">
        <v>185</v>
      </c>
      <c r="BM288" s="165" t="s">
        <v>725</v>
      </c>
    </row>
    <row r="289" spans="1:65" s="2" customFormat="1" ht="24.2" customHeight="1">
      <c r="A289" s="29"/>
      <c r="B289" s="152"/>
      <c r="C289" s="153" t="s">
        <v>428</v>
      </c>
      <c r="D289" s="153" t="s">
        <v>181</v>
      </c>
      <c r="E289" s="154" t="s">
        <v>1638</v>
      </c>
      <c r="F289" s="155" t="s">
        <v>1639</v>
      </c>
      <c r="G289" s="156" t="s">
        <v>217</v>
      </c>
      <c r="H289" s="157">
        <v>4</v>
      </c>
      <c r="I289" s="158"/>
      <c r="J289" s="151">
        <v>0</v>
      </c>
      <c r="K289" s="160"/>
      <c r="L289" s="30"/>
      <c r="M289" s="161" t="s">
        <v>1</v>
      </c>
      <c r="N289" s="162" t="s">
        <v>35</v>
      </c>
      <c r="O289" s="58"/>
      <c r="P289" s="163">
        <f t="shared" si="54"/>
        <v>0</v>
      </c>
      <c r="Q289" s="163">
        <v>0</v>
      </c>
      <c r="R289" s="163">
        <f t="shared" si="55"/>
        <v>0</v>
      </c>
      <c r="S289" s="163">
        <v>0</v>
      </c>
      <c r="T289" s="164">
        <f t="shared" si="56"/>
        <v>0</v>
      </c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R289" s="165" t="s">
        <v>185</v>
      </c>
      <c r="AT289" s="165" t="s">
        <v>181</v>
      </c>
      <c r="AU289" s="165" t="s">
        <v>76</v>
      </c>
      <c r="AY289" s="14" t="s">
        <v>179</v>
      </c>
      <c r="BE289" s="166">
        <f t="shared" si="57"/>
        <v>0</v>
      </c>
      <c r="BF289" s="166">
        <f t="shared" si="58"/>
        <v>0</v>
      </c>
      <c r="BG289" s="166">
        <f t="shared" si="59"/>
        <v>0</v>
      </c>
      <c r="BH289" s="166">
        <f t="shared" si="60"/>
        <v>0</v>
      </c>
      <c r="BI289" s="166">
        <f t="shared" si="61"/>
        <v>0</v>
      </c>
      <c r="BJ289" s="14" t="s">
        <v>82</v>
      </c>
      <c r="BK289" s="166">
        <f t="shared" si="62"/>
        <v>0</v>
      </c>
      <c r="BL289" s="14" t="s">
        <v>185</v>
      </c>
      <c r="BM289" s="165" t="s">
        <v>728</v>
      </c>
    </row>
    <row r="290" spans="1:65" s="2" customFormat="1" ht="16.5" customHeight="1">
      <c r="A290" s="29"/>
      <c r="B290" s="152"/>
      <c r="C290" s="153" t="s">
        <v>664</v>
      </c>
      <c r="D290" s="153" t="s">
        <v>181</v>
      </c>
      <c r="E290" s="154" t="s">
        <v>1640</v>
      </c>
      <c r="F290" s="155" t="s">
        <v>1641</v>
      </c>
      <c r="G290" s="156" t="s">
        <v>217</v>
      </c>
      <c r="H290" s="157">
        <v>12</v>
      </c>
      <c r="I290" s="158"/>
      <c r="J290" s="151">
        <v>0</v>
      </c>
      <c r="K290" s="160"/>
      <c r="L290" s="30"/>
      <c r="M290" s="161" t="s">
        <v>1</v>
      </c>
      <c r="N290" s="162" t="s">
        <v>35</v>
      </c>
      <c r="O290" s="58"/>
      <c r="P290" s="163">
        <f t="shared" ref="P290:P301" si="63">O290*H290</f>
        <v>0</v>
      </c>
      <c r="Q290" s="163">
        <v>0</v>
      </c>
      <c r="R290" s="163">
        <f t="shared" ref="R290:R301" si="64">Q290*H290</f>
        <v>0</v>
      </c>
      <c r="S290" s="163">
        <v>0</v>
      </c>
      <c r="T290" s="164">
        <f t="shared" ref="T290:T301" si="65">S290*H290</f>
        <v>0</v>
      </c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R290" s="165" t="s">
        <v>185</v>
      </c>
      <c r="AT290" s="165" t="s">
        <v>181</v>
      </c>
      <c r="AU290" s="165" t="s">
        <v>76</v>
      </c>
      <c r="AY290" s="14" t="s">
        <v>179</v>
      </c>
      <c r="BE290" s="166">
        <f t="shared" ref="BE290:BE301" si="66">IF(N290="základná",J290,0)</f>
        <v>0</v>
      </c>
      <c r="BF290" s="166">
        <f t="shared" ref="BF290:BF301" si="67">IF(N290="znížená",J290,0)</f>
        <v>0</v>
      </c>
      <c r="BG290" s="166">
        <f t="shared" ref="BG290:BG301" si="68">IF(N290="zákl. prenesená",J290,0)</f>
        <v>0</v>
      </c>
      <c r="BH290" s="166">
        <f t="shared" ref="BH290:BH301" si="69">IF(N290="zníž. prenesená",J290,0)</f>
        <v>0</v>
      </c>
      <c r="BI290" s="166">
        <f t="shared" ref="BI290:BI301" si="70">IF(N290="nulová",J290,0)</f>
        <v>0</v>
      </c>
      <c r="BJ290" s="14" t="s">
        <v>82</v>
      </c>
      <c r="BK290" s="166">
        <f t="shared" ref="BK290:BK301" si="71">ROUND(I290*H290,2)</f>
        <v>0</v>
      </c>
      <c r="BL290" s="14" t="s">
        <v>185</v>
      </c>
      <c r="BM290" s="165" t="s">
        <v>743</v>
      </c>
    </row>
    <row r="291" spans="1:65" s="2" customFormat="1" ht="16.5" customHeight="1">
      <c r="A291" s="29"/>
      <c r="B291" s="152"/>
      <c r="C291" s="153" t="s">
        <v>432</v>
      </c>
      <c r="D291" s="153" t="s">
        <v>181</v>
      </c>
      <c r="E291" s="154" t="s">
        <v>1642</v>
      </c>
      <c r="F291" s="155" t="s">
        <v>1643</v>
      </c>
      <c r="G291" s="156" t="s">
        <v>217</v>
      </c>
      <c r="H291" s="157">
        <v>3</v>
      </c>
      <c r="I291" s="158"/>
      <c r="J291" s="151">
        <v>0</v>
      </c>
      <c r="K291" s="160"/>
      <c r="L291" s="30"/>
      <c r="M291" s="161" t="s">
        <v>1</v>
      </c>
      <c r="N291" s="162" t="s">
        <v>35</v>
      </c>
      <c r="O291" s="58"/>
      <c r="P291" s="163">
        <f t="shared" si="63"/>
        <v>0</v>
      </c>
      <c r="Q291" s="163">
        <v>0</v>
      </c>
      <c r="R291" s="163">
        <f t="shared" si="64"/>
        <v>0</v>
      </c>
      <c r="S291" s="163">
        <v>0</v>
      </c>
      <c r="T291" s="164">
        <f t="shared" si="65"/>
        <v>0</v>
      </c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R291" s="165" t="s">
        <v>185</v>
      </c>
      <c r="AT291" s="165" t="s">
        <v>181</v>
      </c>
      <c r="AU291" s="165" t="s">
        <v>76</v>
      </c>
      <c r="AY291" s="14" t="s">
        <v>179</v>
      </c>
      <c r="BE291" s="166">
        <f t="shared" si="66"/>
        <v>0</v>
      </c>
      <c r="BF291" s="166">
        <f t="shared" si="67"/>
        <v>0</v>
      </c>
      <c r="BG291" s="166">
        <f t="shared" si="68"/>
        <v>0</v>
      </c>
      <c r="BH291" s="166">
        <f t="shared" si="69"/>
        <v>0</v>
      </c>
      <c r="BI291" s="166">
        <f t="shared" si="70"/>
        <v>0</v>
      </c>
      <c r="BJ291" s="14" t="s">
        <v>82</v>
      </c>
      <c r="BK291" s="166">
        <f t="shared" si="71"/>
        <v>0</v>
      </c>
      <c r="BL291" s="14" t="s">
        <v>185</v>
      </c>
      <c r="BM291" s="165" t="s">
        <v>747</v>
      </c>
    </row>
    <row r="292" spans="1:65" s="2" customFormat="1" ht="16.5" customHeight="1">
      <c r="A292" s="29"/>
      <c r="B292" s="152"/>
      <c r="C292" s="153" t="s">
        <v>671</v>
      </c>
      <c r="D292" s="153" t="s">
        <v>181</v>
      </c>
      <c r="E292" s="154" t="s">
        <v>1644</v>
      </c>
      <c r="F292" s="155" t="s">
        <v>1645</v>
      </c>
      <c r="G292" s="156" t="s">
        <v>217</v>
      </c>
      <c r="H292" s="157">
        <v>32</v>
      </c>
      <c r="I292" s="158"/>
      <c r="J292" s="151">
        <v>0</v>
      </c>
      <c r="K292" s="160"/>
      <c r="L292" s="30"/>
      <c r="M292" s="161" t="s">
        <v>1</v>
      </c>
      <c r="N292" s="162" t="s">
        <v>35</v>
      </c>
      <c r="O292" s="58"/>
      <c r="P292" s="163">
        <f t="shared" si="63"/>
        <v>0</v>
      </c>
      <c r="Q292" s="163">
        <v>0</v>
      </c>
      <c r="R292" s="163">
        <f t="shared" si="64"/>
        <v>0</v>
      </c>
      <c r="S292" s="163">
        <v>0</v>
      </c>
      <c r="T292" s="164">
        <f t="shared" si="65"/>
        <v>0</v>
      </c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R292" s="165" t="s">
        <v>185</v>
      </c>
      <c r="AT292" s="165" t="s">
        <v>181</v>
      </c>
      <c r="AU292" s="165" t="s">
        <v>76</v>
      </c>
      <c r="AY292" s="14" t="s">
        <v>179</v>
      </c>
      <c r="BE292" s="166">
        <f t="shared" si="66"/>
        <v>0</v>
      </c>
      <c r="BF292" s="166">
        <f t="shared" si="67"/>
        <v>0</v>
      </c>
      <c r="BG292" s="166">
        <f t="shared" si="68"/>
        <v>0</v>
      </c>
      <c r="BH292" s="166">
        <f t="shared" si="69"/>
        <v>0</v>
      </c>
      <c r="BI292" s="166">
        <f t="shared" si="70"/>
        <v>0</v>
      </c>
      <c r="BJ292" s="14" t="s">
        <v>82</v>
      </c>
      <c r="BK292" s="166">
        <f t="shared" si="71"/>
        <v>0</v>
      </c>
      <c r="BL292" s="14" t="s">
        <v>185</v>
      </c>
      <c r="BM292" s="165" t="s">
        <v>750</v>
      </c>
    </row>
    <row r="293" spans="1:65" s="2" customFormat="1" ht="24.2" customHeight="1">
      <c r="A293" s="29"/>
      <c r="B293" s="152"/>
      <c r="C293" s="153" t="s">
        <v>435</v>
      </c>
      <c r="D293" s="153" t="s">
        <v>181</v>
      </c>
      <c r="E293" s="154" t="s">
        <v>1646</v>
      </c>
      <c r="F293" s="155" t="s">
        <v>1586</v>
      </c>
      <c r="G293" s="156" t="s">
        <v>217</v>
      </c>
      <c r="H293" s="157">
        <v>6</v>
      </c>
      <c r="I293" s="158"/>
      <c r="J293" s="151">
        <v>0</v>
      </c>
      <c r="K293" s="160"/>
      <c r="L293" s="30"/>
      <c r="M293" s="161" t="s">
        <v>1</v>
      </c>
      <c r="N293" s="162" t="s">
        <v>35</v>
      </c>
      <c r="O293" s="58"/>
      <c r="P293" s="163">
        <f t="shared" si="63"/>
        <v>0</v>
      </c>
      <c r="Q293" s="163">
        <v>0</v>
      </c>
      <c r="R293" s="163">
        <f t="shared" si="64"/>
        <v>0</v>
      </c>
      <c r="S293" s="163">
        <v>0</v>
      </c>
      <c r="T293" s="164">
        <f t="shared" si="65"/>
        <v>0</v>
      </c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R293" s="165" t="s">
        <v>185</v>
      </c>
      <c r="AT293" s="165" t="s">
        <v>181</v>
      </c>
      <c r="AU293" s="165" t="s">
        <v>76</v>
      </c>
      <c r="AY293" s="14" t="s">
        <v>179</v>
      </c>
      <c r="BE293" s="166">
        <f t="shared" si="66"/>
        <v>0</v>
      </c>
      <c r="BF293" s="166">
        <f t="shared" si="67"/>
        <v>0</v>
      </c>
      <c r="BG293" s="166">
        <f t="shared" si="68"/>
        <v>0</v>
      </c>
      <c r="BH293" s="166">
        <f t="shared" si="69"/>
        <v>0</v>
      </c>
      <c r="BI293" s="166">
        <f t="shared" si="70"/>
        <v>0</v>
      </c>
      <c r="BJ293" s="14" t="s">
        <v>82</v>
      </c>
      <c r="BK293" s="166">
        <f t="shared" si="71"/>
        <v>0</v>
      </c>
      <c r="BL293" s="14" t="s">
        <v>185</v>
      </c>
      <c r="BM293" s="165" t="s">
        <v>754</v>
      </c>
    </row>
    <row r="294" spans="1:65" s="2" customFormat="1" ht="24.2" customHeight="1">
      <c r="A294" s="29"/>
      <c r="B294" s="152"/>
      <c r="C294" s="153" t="s">
        <v>678</v>
      </c>
      <c r="D294" s="153" t="s">
        <v>181</v>
      </c>
      <c r="E294" s="154" t="s">
        <v>1647</v>
      </c>
      <c r="F294" s="155" t="s">
        <v>1588</v>
      </c>
      <c r="G294" s="156" t="s">
        <v>217</v>
      </c>
      <c r="H294" s="157">
        <v>6</v>
      </c>
      <c r="I294" s="158"/>
      <c r="J294" s="151">
        <v>0</v>
      </c>
      <c r="K294" s="160"/>
      <c r="L294" s="30"/>
      <c r="M294" s="161" t="s">
        <v>1</v>
      </c>
      <c r="N294" s="162" t="s">
        <v>35</v>
      </c>
      <c r="O294" s="58"/>
      <c r="P294" s="163">
        <f t="shared" si="63"/>
        <v>0</v>
      </c>
      <c r="Q294" s="163">
        <v>0</v>
      </c>
      <c r="R294" s="163">
        <f t="shared" si="64"/>
        <v>0</v>
      </c>
      <c r="S294" s="163">
        <v>0</v>
      </c>
      <c r="T294" s="164">
        <f t="shared" si="65"/>
        <v>0</v>
      </c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R294" s="165" t="s">
        <v>185</v>
      </c>
      <c r="AT294" s="165" t="s">
        <v>181</v>
      </c>
      <c r="AU294" s="165" t="s">
        <v>76</v>
      </c>
      <c r="AY294" s="14" t="s">
        <v>179</v>
      </c>
      <c r="BE294" s="166">
        <f t="shared" si="66"/>
        <v>0</v>
      </c>
      <c r="BF294" s="166">
        <f t="shared" si="67"/>
        <v>0</v>
      </c>
      <c r="BG294" s="166">
        <f t="shared" si="68"/>
        <v>0</v>
      </c>
      <c r="BH294" s="166">
        <f t="shared" si="69"/>
        <v>0</v>
      </c>
      <c r="BI294" s="166">
        <f t="shared" si="70"/>
        <v>0</v>
      </c>
      <c r="BJ294" s="14" t="s">
        <v>82</v>
      </c>
      <c r="BK294" s="166">
        <f t="shared" si="71"/>
        <v>0</v>
      </c>
      <c r="BL294" s="14" t="s">
        <v>185</v>
      </c>
      <c r="BM294" s="165" t="s">
        <v>757</v>
      </c>
    </row>
    <row r="295" spans="1:65" s="2" customFormat="1" ht="16.5" customHeight="1">
      <c r="A295" s="29"/>
      <c r="B295" s="152"/>
      <c r="C295" s="153" t="s">
        <v>439</v>
      </c>
      <c r="D295" s="153" t="s">
        <v>181</v>
      </c>
      <c r="E295" s="154" t="s">
        <v>1648</v>
      </c>
      <c r="F295" s="155" t="s">
        <v>1649</v>
      </c>
      <c r="G295" s="156" t="s">
        <v>293</v>
      </c>
      <c r="H295" s="157">
        <v>70</v>
      </c>
      <c r="I295" s="158"/>
      <c r="J295" s="151">
        <v>0</v>
      </c>
      <c r="K295" s="160"/>
      <c r="L295" s="30"/>
      <c r="M295" s="161" t="s">
        <v>1</v>
      </c>
      <c r="N295" s="162" t="s">
        <v>35</v>
      </c>
      <c r="O295" s="58"/>
      <c r="P295" s="163">
        <f t="shared" si="63"/>
        <v>0</v>
      </c>
      <c r="Q295" s="163">
        <v>0</v>
      </c>
      <c r="R295" s="163">
        <f t="shared" si="64"/>
        <v>0</v>
      </c>
      <c r="S295" s="163">
        <v>0</v>
      </c>
      <c r="T295" s="164">
        <f t="shared" si="65"/>
        <v>0</v>
      </c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R295" s="165" t="s">
        <v>185</v>
      </c>
      <c r="AT295" s="165" t="s">
        <v>181</v>
      </c>
      <c r="AU295" s="165" t="s">
        <v>76</v>
      </c>
      <c r="AY295" s="14" t="s">
        <v>179</v>
      </c>
      <c r="BE295" s="166">
        <f t="shared" si="66"/>
        <v>0</v>
      </c>
      <c r="BF295" s="166">
        <f t="shared" si="67"/>
        <v>0</v>
      </c>
      <c r="BG295" s="166">
        <f t="shared" si="68"/>
        <v>0</v>
      </c>
      <c r="BH295" s="166">
        <f t="shared" si="69"/>
        <v>0</v>
      </c>
      <c r="BI295" s="166">
        <f t="shared" si="70"/>
        <v>0</v>
      </c>
      <c r="BJ295" s="14" t="s">
        <v>82</v>
      </c>
      <c r="BK295" s="166">
        <f t="shared" si="71"/>
        <v>0</v>
      </c>
      <c r="BL295" s="14" t="s">
        <v>185</v>
      </c>
      <c r="BM295" s="165" t="s">
        <v>761</v>
      </c>
    </row>
    <row r="296" spans="1:65" s="2" customFormat="1" ht="16.5" customHeight="1">
      <c r="A296" s="29"/>
      <c r="B296" s="152"/>
      <c r="C296" s="153" t="s">
        <v>685</v>
      </c>
      <c r="D296" s="153" t="s">
        <v>181</v>
      </c>
      <c r="E296" s="154" t="s">
        <v>1650</v>
      </c>
      <c r="F296" s="155" t="s">
        <v>1651</v>
      </c>
      <c r="G296" s="156" t="s">
        <v>293</v>
      </c>
      <c r="H296" s="157">
        <v>30</v>
      </c>
      <c r="I296" s="158"/>
      <c r="J296" s="151">
        <v>0</v>
      </c>
      <c r="K296" s="160"/>
      <c r="L296" s="30"/>
      <c r="M296" s="161" t="s">
        <v>1</v>
      </c>
      <c r="N296" s="162" t="s">
        <v>35</v>
      </c>
      <c r="O296" s="58"/>
      <c r="P296" s="163">
        <f t="shared" si="63"/>
        <v>0</v>
      </c>
      <c r="Q296" s="163">
        <v>0</v>
      </c>
      <c r="R296" s="163">
        <f t="shared" si="64"/>
        <v>0</v>
      </c>
      <c r="S296" s="163">
        <v>0</v>
      </c>
      <c r="T296" s="164">
        <f t="shared" si="65"/>
        <v>0</v>
      </c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R296" s="165" t="s">
        <v>185</v>
      </c>
      <c r="AT296" s="165" t="s">
        <v>181</v>
      </c>
      <c r="AU296" s="165" t="s">
        <v>76</v>
      </c>
      <c r="AY296" s="14" t="s">
        <v>179</v>
      </c>
      <c r="BE296" s="166">
        <f t="shared" si="66"/>
        <v>0</v>
      </c>
      <c r="BF296" s="166">
        <f t="shared" si="67"/>
        <v>0</v>
      </c>
      <c r="BG296" s="166">
        <f t="shared" si="68"/>
        <v>0</v>
      </c>
      <c r="BH296" s="166">
        <f t="shared" si="69"/>
        <v>0</v>
      </c>
      <c r="BI296" s="166">
        <f t="shared" si="70"/>
        <v>0</v>
      </c>
      <c r="BJ296" s="14" t="s">
        <v>82</v>
      </c>
      <c r="BK296" s="166">
        <f t="shared" si="71"/>
        <v>0</v>
      </c>
      <c r="BL296" s="14" t="s">
        <v>185</v>
      </c>
      <c r="BM296" s="165" t="s">
        <v>764</v>
      </c>
    </row>
    <row r="297" spans="1:65" s="2" customFormat="1" ht="16.5" customHeight="1">
      <c r="A297" s="29"/>
      <c r="B297" s="152"/>
      <c r="C297" s="153" t="s">
        <v>442</v>
      </c>
      <c r="D297" s="153" t="s">
        <v>181</v>
      </c>
      <c r="E297" s="154" t="s">
        <v>1652</v>
      </c>
      <c r="F297" s="155" t="s">
        <v>1653</v>
      </c>
      <c r="G297" s="156" t="s">
        <v>217</v>
      </c>
      <c r="H297" s="157">
        <v>47</v>
      </c>
      <c r="I297" s="158"/>
      <c r="J297" s="151">
        <v>0</v>
      </c>
      <c r="K297" s="160"/>
      <c r="L297" s="30"/>
      <c r="M297" s="161" t="s">
        <v>1</v>
      </c>
      <c r="N297" s="162" t="s">
        <v>35</v>
      </c>
      <c r="O297" s="58"/>
      <c r="P297" s="163">
        <f t="shared" si="63"/>
        <v>0</v>
      </c>
      <c r="Q297" s="163">
        <v>0</v>
      </c>
      <c r="R297" s="163">
        <f t="shared" si="64"/>
        <v>0</v>
      </c>
      <c r="S297" s="163">
        <v>0</v>
      </c>
      <c r="T297" s="164">
        <f t="shared" si="65"/>
        <v>0</v>
      </c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R297" s="165" t="s">
        <v>185</v>
      </c>
      <c r="AT297" s="165" t="s">
        <v>181</v>
      </c>
      <c r="AU297" s="165" t="s">
        <v>76</v>
      </c>
      <c r="AY297" s="14" t="s">
        <v>179</v>
      </c>
      <c r="BE297" s="166">
        <f t="shared" si="66"/>
        <v>0</v>
      </c>
      <c r="BF297" s="166">
        <f t="shared" si="67"/>
        <v>0</v>
      </c>
      <c r="BG297" s="166">
        <f t="shared" si="68"/>
        <v>0</v>
      </c>
      <c r="BH297" s="166">
        <f t="shared" si="69"/>
        <v>0</v>
      </c>
      <c r="BI297" s="166">
        <f t="shared" si="70"/>
        <v>0</v>
      </c>
      <c r="BJ297" s="14" t="s">
        <v>82</v>
      </c>
      <c r="BK297" s="166">
        <f t="shared" si="71"/>
        <v>0</v>
      </c>
      <c r="BL297" s="14" t="s">
        <v>185</v>
      </c>
      <c r="BM297" s="165" t="s">
        <v>768</v>
      </c>
    </row>
    <row r="298" spans="1:65" s="2" customFormat="1" ht="16.5" customHeight="1">
      <c r="A298" s="29"/>
      <c r="B298" s="152"/>
      <c r="C298" s="153" t="s">
        <v>692</v>
      </c>
      <c r="D298" s="153" t="s">
        <v>181</v>
      </c>
      <c r="E298" s="154" t="s">
        <v>1654</v>
      </c>
      <c r="F298" s="155" t="s">
        <v>1655</v>
      </c>
      <c r="G298" s="156" t="s">
        <v>217</v>
      </c>
      <c r="H298" s="157">
        <v>47</v>
      </c>
      <c r="I298" s="158"/>
      <c r="J298" s="151">
        <v>0</v>
      </c>
      <c r="K298" s="160"/>
      <c r="L298" s="30"/>
      <c r="M298" s="161" t="s">
        <v>1</v>
      </c>
      <c r="N298" s="162" t="s">
        <v>35</v>
      </c>
      <c r="O298" s="58"/>
      <c r="P298" s="163">
        <f t="shared" si="63"/>
        <v>0</v>
      </c>
      <c r="Q298" s="163">
        <v>0</v>
      </c>
      <c r="R298" s="163">
        <f t="shared" si="64"/>
        <v>0</v>
      </c>
      <c r="S298" s="163">
        <v>0</v>
      </c>
      <c r="T298" s="164">
        <f t="shared" si="65"/>
        <v>0</v>
      </c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R298" s="165" t="s">
        <v>185</v>
      </c>
      <c r="AT298" s="165" t="s">
        <v>181</v>
      </c>
      <c r="AU298" s="165" t="s">
        <v>76</v>
      </c>
      <c r="AY298" s="14" t="s">
        <v>179</v>
      </c>
      <c r="BE298" s="166">
        <f t="shared" si="66"/>
        <v>0</v>
      </c>
      <c r="BF298" s="166">
        <f t="shared" si="67"/>
        <v>0</v>
      </c>
      <c r="BG298" s="166">
        <f t="shared" si="68"/>
        <v>0</v>
      </c>
      <c r="BH298" s="166">
        <f t="shared" si="69"/>
        <v>0</v>
      </c>
      <c r="BI298" s="166">
        <f t="shared" si="70"/>
        <v>0</v>
      </c>
      <c r="BJ298" s="14" t="s">
        <v>82</v>
      </c>
      <c r="BK298" s="166">
        <f t="shared" si="71"/>
        <v>0</v>
      </c>
      <c r="BL298" s="14" t="s">
        <v>185</v>
      </c>
      <c r="BM298" s="165" t="s">
        <v>771</v>
      </c>
    </row>
    <row r="299" spans="1:65" s="2" customFormat="1" ht="24.2" customHeight="1">
      <c r="A299" s="29"/>
      <c r="B299" s="152"/>
      <c r="C299" s="153" t="s">
        <v>446</v>
      </c>
      <c r="D299" s="153" t="s">
        <v>181</v>
      </c>
      <c r="E299" s="154" t="s">
        <v>1656</v>
      </c>
      <c r="F299" s="155" t="s">
        <v>1657</v>
      </c>
      <c r="G299" s="156" t="s">
        <v>217</v>
      </c>
      <c r="H299" s="157">
        <v>1</v>
      </c>
      <c r="I299" s="158"/>
      <c r="J299" s="151">
        <v>0</v>
      </c>
      <c r="K299" s="160"/>
      <c r="L299" s="30"/>
      <c r="M299" s="161" t="s">
        <v>1</v>
      </c>
      <c r="N299" s="162" t="s">
        <v>35</v>
      </c>
      <c r="O299" s="58"/>
      <c r="P299" s="163">
        <f t="shared" si="63"/>
        <v>0</v>
      </c>
      <c r="Q299" s="163">
        <v>0</v>
      </c>
      <c r="R299" s="163">
        <f t="shared" si="64"/>
        <v>0</v>
      </c>
      <c r="S299" s="163">
        <v>0</v>
      </c>
      <c r="T299" s="164">
        <f t="shared" si="65"/>
        <v>0</v>
      </c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R299" s="165" t="s">
        <v>185</v>
      </c>
      <c r="AT299" s="165" t="s">
        <v>181</v>
      </c>
      <c r="AU299" s="165" t="s">
        <v>76</v>
      </c>
      <c r="AY299" s="14" t="s">
        <v>179</v>
      </c>
      <c r="BE299" s="166">
        <f t="shared" si="66"/>
        <v>0</v>
      </c>
      <c r="BF299" s="166">
        <f t="shared" si="67"/>
        <v>0</v>
      </c>
      <c r="BG299" s="166">
        <f t="shared" si="68"/>
        <v>0</v>
      </c>
      <c r="BH299" s="166">
        <f t="shared" si="69"/>
        <v>0</v>
      </c>
      <c r="BI299" s="166">
        <f t="shared" si="70"/>
        <v>0</v>
      </c>
      <c r="BJ299" s="14" t="s">
        <v>82</v>
      </c>
      <c r="BK299" s="166">
        <f t="shared" si="71"/>
        <v>0</v>
      </c>
      <c r="BL299" s="14" t="s">
        <v>185</v>
      </c>
      <c r="BM299" s="165" t="s">
        <v>775</v>
      </c>
    </row>
    <row r="300" spans="1:65" s="2" customFormat="1" ht="16.5" customHeight="1">
      <c r="A300" s="29"/>
      <c r="B300" s="152"/>
      <c r="C300" s="153" t="s">
        <v>701</v>
      </c>
      <c r="D300" s="153" t="s">
        <v>181</v>
      </c>
      <c r="E300" s="154" t="s">
        <v>1658</v>
      </c>
      <c r="F300" s="155" t="s">
        <v>1598</v>
      </c>
      <c r="G300" s="156" t="s">
        <v>217</v>
      </c>
      <c r="H300" s="157">
        <v>18</v>
      </c>
      <c r="I300" s="158"/>
      <c r="J300" s="151">
        <v>0</v>
      </c>
      <c r="K300" s="160"/>
      <c r="L300" s="30"/>
      <c r="M300" s="161" t="s">
        <v>1</v>
      </c>
      <c r="N300" s="162" t="s">
        <v>35</v>
      </c>
      <c r="O300" s="58"/>
      <c r="P300" s="163">
        <f t="shared" si="63"/>
        <v>0</v>
      </c>
      <c r="Q300" s="163">
        <v>0</v>
      </c>
      <c r="R300" s="163">
        <f t="shared" si="64"/>
        <v>0</v>
      </c>
      <c r="S300" s="163">
        <v>0</v>
      </c>
      <c r="T300" s="164">
        <f t="shared" si="65"/>
        <v>0</v>
      </c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R300" s="165" t="s">
        <v>185</v>
      </c>
      <c r="AT300" s="165" t="s">
        <v>181</v>
      </c>
      <c r="AU300" s="165" t="s">
        <v>76</v>
      </c>
      <c r="AY300" s="14" t="s">
        <v>179</v>
      </c>
      <c r="BE300" s="166">
        <f t="shared" si="66"/>
        <v>0</v>
      </c>
      <c r="BF300" s="166">
        <f t="shared" si="67"/>
        <v>0</v>
      </c>
      <c r="BG300" s="166">
        <f t="shared" si="68"/>
        <v>0</v>
      </c>
      <c r="BH300" s="166">
        <f t="shared" si="69"/>
        <v>0</v>
      </c>
      <c r="BI300" s="166">
        <f t="shared" si="70"/>
        <v>0</v>
      </c>
      <c r="BJ300" s="14" t="s">
        <v>82</v>
      </c>
      <c r="BK300" s="166">
        <f t="shared" si="71"/>
        <v>0</v>
      </c>
      <c r="BL300" s="14" t="s">
        <v>185</v>
      </c>
      <c r="BM300" s="165" t="s">
        <v>778</v>
      </c>
    </row>
    <row r="301" spans="1:65" s="2" customFormat="1" ht="16.5" customHeight="1">
      <c r="A301" s="29"/>
      <c r="B301" s="152"/>
      <c r="C301" s="153" t="s">
        <v>449</v>
      </c>
      <c r="D301" s="153" t="s">
        <v>181</v>
      </c>
      <c r="E301" s="154" t="s">
        <v>1659</v>
      </c>
      <c r="F301" s="155" t="s">
        <v>1600</v>
      </c>
      <c r="G301" s="156" t="s">
        <v>217</v>
      </c>
      <c r="H301" s="157">
        <v>18</v>
      </c>
      <c r="I301" s="158"/>
      <c r="J301" s="151">
        <v>0</v>
      </c>
      <c r="K301" s="160"/>
      <c r="L301" s="30"/>
      <c r="M301" s="161" t="s">
        <v>1</v>
      </c>
      <c r="N301" s="162" t="s">
        <v>35</v>
      </c>
      <c r="O301" s="58"/>
      <c r="P301" s="163">
        <f t="shared" si="63"/>
        <v>0</v>
      </c>
      <c r="Q301" s="163">
        <v>0</v>
      </c>
      <c r="R301" s="163">
        <f t="shared" si="64"/>
        <v>0</v>
      </c>
      <c r="S301" s="163">
        <v>0</v>
      </c>
      <c r="T301" s="164">
        <f t="shared" si="65"/>
        <v>0</v>
      </c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R301" s="165" t="s">
        <v>185</v>
      </c>
      <c r="AT301" s="165" t="s">
        <v>181</v>
      </c>
      <c r="AU301" s="165" t="s">
        <v>76</v>
      </c>
      <c r="AY301" s="14" t="s">
        <v>179</v>
      </c>
      <c r="BE301" s="166">
        <f t="shared" si="66"/>
        <v>0</v>
      </c>
      <c r="BF301" s="166">
        <f t="shared" si="67"/>
        <v>0</v>
      </c>
      <c r="BG301" s="166">
        <f t="shared" si="68"/>
        <v>0</v>
      </c>
      <c r="BH301" s="166">
        <f t="shared" si="69"/>
        <v>0</v>
      </c>
      <c r="BI301" s="166">
        <f t="shared" si="70"/>
        <v>0</v>
      </c>
      <c r="BJ301" s="14" t="s">
        <v>82</v>
      </c>
      <c r="BK301" s="166">
        <f t="shared" si="71"/>
        <v>0</v>
      </c>
      <c r="BL301" s="14" t="s">
        <v>185</v>
      </c>
      <c r="BM301" s="165" t="s">
        <v>781</v>
      </c>
    </row>
    <row r="302" spans="1:65" s="12" customFormat="1" ht="22.9" customHeight="1">
      <c r="B302" s="139"/>
      <c r="D302" s="140" t="s">
        <v>68</v>
      </c>
      <c r="E302" s="150" t="s">
        <v>1660</v>
      </c>
      <c r="F302" s="150" t="s">
        <v>1661</v>
      </c>
      <c r="I302" s="142"/>
      <c r="J302" s="151">
        <v>0</v>
      </c>
      <c r="L302" s="139"/>
      <c r="M302" s="144"/>
      <c r="N302" s="145"/>
      <c r="O302" s="145"/>
      <c r="P302" s="146">
        <f>SUM(P303:P309)</f>
        <v>0</v>
      </c>
      <c r="Q302" s="145"/>
      <c r="R302" s="146">
        <f>SUM(R303:R309)</f>
        <v>0</v>
      </c>
      <c r="S302" s="145"/>
      <c r="T302" s="147">
        <f>SUM(T303:T309)</f>
        <v>0</v>
      </c>
      <c r="AR302" s="140" t="s">
        <v>76</v>
      </c>
      <c r="AT302" s="148" t="s">
        <v>68</v>
      </c>
      <c r="AU302" s="148" t="s">
        <v>76</v>
      </c>
      <c r="AY302" s="140" t="s">
        <v>179</v>
      </c>
      <c r="BK302" s="149">
        <f>SUM(BK303:BK309)</f>
        <v>0</v>
      </c>
    </row>
    <row r="303" spans="1:65" s="2" customFormat="1" ht="16.5" customHeight="1">
      <c r="A303" s="29"/>
      <c r="B303" s="152"/>
      <c r="C303" s="153" t="s">
        <v>708</v>
      </c>
      <c r="D303" s="153" t="s">
        <v>181</v>
      </c>
      <c r="E303" s="154" t="s">
        <v>1662</v>
      </c>
      <c r="F303" s="155" t="s">
        <v>1663</v>
      </c>
      <c r="G303" s="156" t="s">
        <v>217</v>
      </c>
      <c r="H303" s="157">
        <v>1</v>
      </c>
      <c r="I303" s="158"/>
      <c r="J303" s="151">
        <v>0</v>
      </c>
      <c r="K303" s="160"/>
      <c r="L303" s="30"/>
      <c r="M303" s="161" t="s">
        <v>1</v>
      </c>
      <c r="N303" s="162" t="s">
        <v>35</v>
      </c>
      <c r="O303" s="58"/>
      <c r="P303" s="163">
        <f t="shared" ref="P303:P309" si="72">O303*H303</f>
        <v>0</v>
      </c>
      <c r="Q303" s="163">
        <v>0</v>
      </c>
      <c r="R303" s="163">
        <f t="shared" ref="R303:R309" si="73">Q303*H303</f>
        <v>0</v>
      </c>
      <c r="S303" s="163">
        <v>0</v>
      </c>
      <c r="T303" s="164">
        <f t="shared" ref="T303:T309" si="74">S303*H303</f>
        <v>0</v>
      </c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R303" s="165" t="s">
        <v>185</v>
      </c>
      <c r="AT303" s="165" t="s">
        <v>181</v>
      </c>
      <c r="AU303" s="165" t="s">
        <v>82</v>
      </c>
      <c r="AY303" s="14" t="s">
        <v>179</v>
      </c>
      <c r="BE303" s="166">
        <f t="shared" ref="BE303:BE309" si="75">IF(N303="základná",J303,0)</f>
        <v>0</v>
      </c>
      <c r="BF303" s="166">
        <f t="shared" ref="BF303:BF309" si="76">IF(N303="znížená",J303,0)</f>
        <v>0</v>
      </c>
      <c r="BG303" s="166">
        <f t="shared" ref="BG303:BG309" si="77">IF(N303="zákl. prenesená",J303,0)</f>
        <v>0</v>
      </c>
      <c r="BH303" s="166">
        <f t="shared" ref="BH303:BH309" si="78">IF(N303="zníž. prenesená",J303,0)</f>
        <v>0</v>
      </c>
      <c r="BI303" s="166">
        <f t="shared" ref="BI303:BI309" si="79">IF(N303="nulová",J303,0)</f>
        <v>0</v>
      </c>
      <c r="BJ303" s="14" t="s">
        <v>82</v>
      </c>
      <c r="BK303" s="166">
        <f t="shared" ref="BK303:BK309" si="80">ROUND(I303*H303,2)</f>
        <v>0</v>
      </c>
      <c r="BL303" s="14" t="s">
        <v>185</v>
      </c>
      <c r="BM303" s="165" t="s">
        <v>784</v>
      </c>
    </row>
    <row r="304" spans="1:65" s="2" customFormat="1" ht="16.5" customHeight="1">
      <c r="A304" s="29"/>
      <c r="B304" s="152"/>
      <c r="C304" s="153" t="s">
        <v>453</v>
      </c>
      <c r="D304" s="153" t="s">
        <v>181</v>
      </c>
      <c r="E304" s="154" t="s">
        <v>1664</v>
      </c>
      <c r="F304" s="155" t="s">
        <v>1665</v>
      </c>
      <c r="G304" s="156" t="s">
        <v>217</v>
      </c>
      <c r="H304" s="157">
        <v>1</v>
      </c>
      <c r="I304" s="158"/>
      <c r="J304" s="151">
        <v>0</v>
      </c>
      <c r="K304" s="160"/>
      <c r="L304" s="30"/>
      <c r="M304" s="161" t="s">
        <v>1</v>
      </c>
      <c r="N304" s="162" t="s">
        <v>35</v>
      </c>
      <c r="O304" s="58"/>
      <c r="P304" s="163">
        <f t="shared" si="72"/>
        <v>0</v>
      </c>
      <c r="Q304" s="163">
        <v>0</v>
      </c>
      <c r="R304" s="163">
        <f t="shared" si="73"/>
        <v>0</v>
      </c>
      <c r="S304" s="163">
        <v>0</v>
      </c>
      <c r="T304" s="164">
        <f t="shared" si="74"/>
        <v>0</v>
      </c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R304" s="165" t="s">
        <v>185</v>
      </c>
      <c r="AT304" s="165" t="s">
        <v>181</v>
      </c>
      <c r="AU304" s="165" t="s">
        <v>82</v>
      </c>
      <c r="AY304" s="14" t="s">
        <v>179</v>
      </c>
      <c r="BE304" s="166">
        <f t="shared" si="75"/>
        <v>0</v>
      </c>
      <c r="BF304" s="166">
        <f t="shared" si="76"/>
        <v>0</v>
      </c>
      <c r="BG304" s="166">
        <f t="shared" si="77"/>
        <v>0</v>
      </c>
      <c r="BH304" s="166">
        <f t="shared" si="78"/>
        <v>0</v>
      </c>
      <c r="BI304" s="166">
        <f t="shared" si="79"/>
        <v>0</v>
      </c>
      <c r="BJ304" s="14" t="s">
        <v>82</v>
      </c>
      <c r="BK304" s="166">
        <f t="shared" si="80"/>
        <v>0</v>
      </c>
      <c r="BL304" s="14" t="s">
        <v>185</v>
      </c>
      <c r="BM304" s="165" t="s">
        <v>788</v>
      </c>
    </row>
    <row r="305" spans="1:65" s="2" customFormat="1" ht="16.5" customHeight="1">
      <c r="A305" s="29"/>
      <c r="B305" s="152"/>
      <c r="C305" s="153" t="s">
        <v>715</v>
      </c>
      <c r="D305" s="153" t="s">
        <v>181</v>
      </c>
      <c r="E305" s="154" t="s">
        <v>1666</v>
      </c>
      <c r="F305" s="155" t="s">
        <v>1667</v>
      </c>
      <c r="G305" s="156" t="s">
        <v>217</v>
      </c>
      <c r="H305" s="157">
        <v>2</v>
      </c>
      <c r="I305" s="158"/>
      <c r="J305" s="151">
        <v>0</v>
      </c>
      <c r="K305" s="160"/>
      <c r="L305" s="30"/>
      <c r="M305" s="161" t="s">
        <v>1</v>
      </c>
      <c r="N305" s="162" t="s">
        <v>35</v>
      </c>
      <c r="O305" s="58"/>
      <c r="P305" s="163">
        <f t="shared" si="72"/>
        <v>0</v>
      </c>
      <c r="Q305" s="163">
        <v>0</v>
      </c>
      <c r="R305" s="163">
        <f t="shared" si="73"/>
        <v>0</v>
      </c>
      <c r="S305" s="163">
        <v>0</v>
      </c>
      <c r="T305" s="164">
        <f t="shared" si="74"/>
        <v>0</v>
      </c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R305" s="165" t="s">
        <v>185</v>
      </c>
      <c r="AT305" s="165" t="s">
        <v>181</v>
      </c>
      <c r="AU305" s="165" t="s">
        <v>82</v>
      </c>
      <c r="AY305" s="14" t="s">
        <v>179</v>
      </c>
      <c r="BE305" s="166">
        <f t="shared" si="75"/>
        <v>0</v>
      </c>
      <c r="BF305" s="166">
        <f t="shared" si="76"/>
        <v>0</v>
      </c>
      <c r="BG305" s="166">
        <f t="shared" si="77"/>
        <v>0</v>
      </c>
      <c r="BH305" s="166">
        <f t="shared" si="78"/>
        <v>0</v>
      </c>
      <c r="BI305" s="166">
        <f t="shared" si="79"/>
        <v>0</v>
      </c>
      <c r="BJ305" s="14" t="s">
        <v>82</v>
      </c>
      <c r="BK305" s="166">
        <f t="shared" si="80"/>
        <v>0</v>
      </c>
      <c r="BL305" s="14" t="s">
        <v>185</v>
      </c>
      <c r="BM305" s="165" t="s">
        <v>791</v>
      </c>
    </row>
    <row r="306" spans="1:65" s="2" customFormat="1" ht="16.5" customHeight="1">
      <c r="A306" s="29"/>
      <c r="B306" s="152"/>
      <c r="C306" s="153" t="s">
        <v>456</v>
      </c>
      <c r="D306" s="153" t="s">
        <v>181</v>
      </c>
      <c r="E306" s="154" t="s">
        <v>1668</v>
      </c>
      <c r="F306" s="155" t="s">
        <v>1669</v>
      </c>
      <c r="G306" s="156" t="s">
        <v>217</v>
      </c>
      <c r="H306" s="157">
        <v>1</v>
      </c>
      <c r="I306" s="158"/>
      <c r="J306" s="151">
        <v>0</v>
      </c>
      <c r="K306" s="160"/>
      <c r="L306" s="30"/>
      <c r="M306" s="161" t="s">
        <v>1</v>
      </c>
      <c r="N306" s="162" t="s">
        <v>35</v>
      </c>
      <c r="O306" s="58"/>
      <c r="P306" s="163">
        <f t="shared" si="72"/>
        <v>0</v>
      </c>
      <c r="Q306" s="163">
        <v>0</v>
      </c>
      <c r="R306" s="163">
        <f t="shared" si="73"/>
        <v>0</v>
      </c>
      <c r="S306" s="163">
        <v>0</v>
      </c>
      <c r="T306" s="164">
        <f t="shared" si="74"/>
        <v>0</v>
      </c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R306" s="165" t="s">
        <v>185</v>
      </c>
      <c r="AT306" s="165" t="s">
        <v>181</v>
      </c>
      <c r="AU306" s="165" t="s">
        <v>82</v>
      </c>
      <c r="AY306" s="14" t="s">
        <v>179</v>
      </c>
      <c r="BE306" s="166">
        <f t="shared" si="75"/>
        <v>0</v>
      </c>
      <c r="BF306" s="166">
        <f t="shared" si="76"/>
        <v>0</v>
      </c>
      <c r="BG306" s="166">
        <f t="shared" si="77"/>
        <v>0</v>
      </c>
      <c r="BH306" s="166">
        <f t="shared" si="78"/>
        <v>0</v>
      </c>
      <c r="BI306" s="166">
        <f t="shared" si="79"/>
        <v>0</v>
      </c>
      <c r="BJ306" s="14" t="s">
        <v>82</v>
      </c>
      <c r="BK306" s="166">
        <f t="shared" si="80"/>
        <v>0</v>
      </c>
      <c r="BL306" s="14" t="s">
        <v>185</v>
      </c>
      <c r="BM306" s="165" t="s">
        <v>795</v>
      </c>
    </row>
    <row r="307" spans="1:65" s="2" customFormat="1" ht="16.5" customHeight="1">
      <c r="A307" s="29"/>
      <c r="B307" s="152"/>
      <c r="C307" s="153" t="s">
        <v>722</v>
      </c>
      <c r="D307" s="153" t="s">
        <v>181</v>
      </c>
      <c r="E307" s="154" t="s">
        <v>1670</v>
      </c>
      <c r="F307" s="155" t="s">
        <v>1671</v>
      </c>
      <c r="G307" s="156" t="s">
        <v>217</v>
      </c>
      <c r="H307" s="157">
        <v>1</v>
      </c>
      <c r="I307" s="158"/>
      <c r="J307" s="151">
        <v>0</v>
      </c>
      <c r="K307" s="160"/>
      <c r="L307" s="30"/>
      <c r="M307" s="161" t="s">
        <v>1</v>
      </c>
      <c r="N307" s="162" t="s">
        <v>35</v>
      </c>
      <c r="O307" s="58"/>
      <c r="P307" s="163">
        <f t="shared" si="72"/>
        <v>0</v>
      </c>
      <c r="Q307" s="163">
        <v>0</v>
      </c>
      <c r="R307" s="163">
        <f t="shared" si="73"/>
        <v>0</v>
      </c>
      <c r="S307" s="163">
        <v>0</v>
      </c>
      <c r="T307" s="164">
        <f t="shared" si="74"/>
        <v>0</v>
      </c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R307" s="165" t="s">
        <v>185</v>
      </c>
      <c r="AT307" s="165" t="s">
        <v>181</v>
      </c>
      <c r="AU307" s="165" t="s">
        <v>82</v>
      </c>
      <c r="AY307" s="14" t="s">
        <v>179</v>
      </c>
      <c r="BE307" s="166">
        <f t="shared" si="75"/>
        <v>0</v>
      </c>
      <c r="BF307" s="166">
        <f t="shared" si="76"/>
        <v>0</v>
      </c>
      <c r="BG307" s="166">
        <f t="shared" si="77"/>
        <v>0</v>
      </c>
      <c r="BH307" s="166">
        <f t="shared" si="78"/>
        <v>0</v>
      </c>
      <c r="BI307" s="166">
        <f t="shared" si="79"/>
        <v>0</v>
      </c>
      <c r="BJ307" s="14" t="s">
        <v>82</v>
      </c>
      <c r="BK307" s="166">
        <f t="shared" si="80"/>
        <v>0</v>
      </c>
      <c r="BL307" s="14" t="s">
        <v>185</v>
      </c>
      <c r="BM307" s="165" t="s">
        <v>798</v>
      </c>
    </row>
    <row r="308" spans="1:65" s="2" customFormat="1" ht="16.5" customHeight="1">
      <c r="A308" s="29"/>
      <c r="B308" s="152"/>
      <c r="C308" s="153" t="s">
        <v>460</v>
      </c>
      <c r="D308" s="153" t="s">
        <v>181</v>
      </c>
      <c r="E308" s="154" t="s">
        <v>1672</v>
      </c>
      <c r="F308" s="155" t="s">
        <v>1673</v>
      </c>
      <c r="G308" s="156" t="s">
        <v>217</v>
      </c>
      <c r="H308" s="157">
        <v>1</v>
      </c>
      <c r="I308" s="158"/>
      <c r="J308" s="151">
        <v>0</v>
      </c>
      <c r="K308" s="160"/>
      <c r="L308" s="30"/>
      <c r="M308" s="161" t="s">
        <v>1</v>
      </c>
      <c r="N308" s="162" t="s">
        <v>35</v>
      </c>
      <c r="O308" s="58"/>
      <c r="P308" s="163">
        <f t="shared" si="72"/>
        <v>0</v>
      </c>
      <c r="Q308" s="163">
        <v>0</v>
      </c>
      <c r="R308" s="163">
        <f t="shared" si="73"/>
        <v>0</v>
      </c>
      <c r="S308" s="163">
        <v>0</v>
      </c>
      <c r="T308" s="164">
        <f t="shared" si="74"/>
        <v>0</v>
      </c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R308" s="165" t="s">
        <v>185</v>
      </c>
      <c r="AT308" s="165" t="s">
        <v>181</v>
      </c>
      <c r="AU308" s="165" t="s">
        <v>82</v>
      </c>
      <c r="AY308" s="14" t="s">
        <v>179</v>
      </c>
      <c r="BE308" s="166">
        <f t="shared" si="75"/>
        <v>0</v>
      </c>
      <c r="BF308" s="166">
        <f t="shared" si="76"/>
        <v>0</v>
      </c>
      <c r="BG308" s="166">
        <f t="shared" si="77"/>
        <v>0</v>
      </c>
      <c r="BH308" s="166">
        <f t="shared" si="78"/>
        <v>0</v>
      </c>
      <c r="BI308" s="166">
        <f t="shared" si="79"/>
        <v>0</v>
      </c>
      <c r="BJ308" s="14" t="s">
        <v>82</v>
      </c>
      <c r="BK308" s="166">
        <f t="shared" si="80"/>
        <v>0</v>
      </c>
      <c r="BL308" s="14" t="s">
        <v>185</v>
      </c>
      <c r="BM308" s="165" t="s">
        <v>802</v>
      </c>
    </row>
    <row r="309" spans="1:65" s="2" customFormat="1" ht="16.5" customHeight="1">
      <c r="A309" s="29"/>
      <c r="B309" s="152"/>
      <c r="C309" s="153" t="s">
        <v>731</v>
      </c>
      <c r="D309" s="153" t="s">
        <v>181</v>
      </c>
      <c r="E309" s="154" t="s">
        <v>1674</v>
      </c>
      <c r="F309" s="155" t="s">
        <v>1675</v>
      </c>
      <c r="G309" s="156" t="s">
        <v>217</v>
      </c>
      <c r="H309" s="157">
        <v>1</v>
      </c>
      <c r="I309" s="158"/>
      <c r="J309" s="151">
        <v>0</v>
      </c>
      <c r="K309" s="160"/>
      <c r="L309" s="30"/>
      <c r="M309" s="161" t="s">
        <v>1</v>
      </c>
      <c r="N309" s="162" t="s">
        <v>35</v>
      </c>
      <c r="O309" s="58"/>
      <c r="P309" s="163">
        <f t="shared" si="72"/>
        <v>0</v>
      </c>
      <c r="Q309" s="163">
        <v>0</v>
      </c>
      <c r="R309" s="163">
        <f t="shared" si="73"/>
        <v>0</v>
      </c>
      <c r="S309" s="163">
        <v>0</v>
      </c>
      <c r="T309" s="164">
        <f t="shared" si="74"/>
        <v>0</v>
      </c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R309" s="165" t="s">
        <v>185</v>
      </c>
      <c r="AT309" s="165" t="s">
        <v>181</v>
      </c>
      <c r="AU309" s="165" t="s">
        <v>82</v>
      </c>
      <c r="AY309" s="14" t="s">
        <v>179</v>
      </c>
      <c r="BE309" s="166">
        <f t="shared" si="75"/>
        <v>0</v>
      </c>
      <c r="BF309" s="166">
        <f t="shared" si="76"/>
        <v>0</v>
      </c>
      <c r="BG309" s="166">
        <f t="shared" si="77"/>
        <v>0</v>
      </c>
      <c r="BH309" s="166">
        <f t="shared" si="78"/>
        <v>0</v>
      </c>
      <c r="BI309" s="166">
        <f t="shared" si="79"/>
        <v>0</v>
      </c>
      <c r="BJ309" s="14" t="s">
        <v>82</v>
      </c>
      <c r="BK309" s="166">
        <f t="shared" si="80"/>
        <v>0</v>
      </c>
      <c r="BL309" s="14" t="s">
        <v>185</v>
      </c>
      <c r="BM309" s="165" t="s">
        <v>805</v>
      </c>
    </row>
    <row r="310" spans="1:65" s="12" customFormat="1" ht="22.9" customHeight="1">
      <c r="B310" s="139"/>
      <c r="D310" s="140" t="s">
        <v>68</v>
      </c>
      <c r="E310" s="150" t="s">
        <v>1676</v>
      </c>
      <c r="F310" s="150" t="s">
        <v>1677</v>
      </c>
      <c r="I310" s="142"/>
      <c r="J310" s="151">
        <v>0</v>
      </c>
      <c r="L310" s="139"/>
      <c r="M310" s="144"/>
      <c r="N310" s="145"/>
      <c r="O310" s="145"/>
      <c r="P310" s="146">
        <f>SUM(P311:P319)</f>
        <v>0</v>
      </c>
      <c r="Q310" s="145"/>
      <c r="R310" s="146">
        <f>SUM(R311:R319)</f>
        <v>0</v>
      </c>
      <c r="S310" s="145"/>
      <c r="T310" s="147">
        <f>SUM(T311:T319)</f>
        <v>0</v>
      </c>
      <c r="AR310" s="140" t="s">
        <v>76</v>
      </c>
      <c r="AT310" s="148" t="s">
        <v>68</v>
      </c>
      <c r="AU310" s="148" t="s">
        <v>76</v>
      </c>
      <c r="AY310" s="140" t="s">
        <v>179</v>
      </c>
      <c r="BK310" s="149">
        <f>SUM(BK311:BK319)</f>
        <v>0</v>
      </c>
    </row>
    <row r="311" spans="1:65" s="2" customFormat="1" ht="37.9" customHeight="1">
      <c r="A311" s="29"/>
      <c r="B311" s="152"/>
      <c r="C311" s="153" t="s">
        <v>463</v>
      </c>
      <c r="D311" s="153" t="s">
        <v>181</v>
      </c>
      <c r="E311" s="154" t="s">
        <v>1678</v>
      </c>
      <c r="F311" s="339" t="s">
        <v>3412</v>
      </c>
      <c r="G311" s="156" t="s">
        <v>217</v>
      </c>
      <c r="H311" s="157">
        <v>5</v>
      </c>
      <c r="I311" s="158"/>
      <c r="J311" s="151">
        <v>0</v>
      </c>
      <c r="K311" s="160"/>
      <c r="L311" s="30"/>
      <c r="M311" s="161" t="s">
        <v>1</v>
      </c>
      <c r="N311" s="162" t="s">
        <v>35</v>
      </c>
      <c r="O311" s="58"/>
      <c r="P311" s="163">
        <f t="shared" ref="P311:P319" si="81">O311*H311</f>
        <v>0</v>
      </c>
      <c r="Q311" s="163">
        <v>0</v>
      </c>
      <c r="R311" s="163">
        <f t="shared" ref="R311:R319" si="82">Q311*H311</f>
        <v>0</v>
      </c>
      <c r="S311" s="163">
        <v>0</v>
      </c>
      <c r="T311" s="164">
        <f t="shared" ref="T311:T319" si="83">S311*H311</f>
        <v>0</v>
      </c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R311" s="165" t="s">
        <v>185</v>
      </c>
      <c r="AT311" s="165" t="s">
        <v>181</v>
      </c>
      <c r="AU311" s="165" t="s">
        <v>82</v>
      </c>
      <c r="AY311" s="14" t="s">
        <v>179</v>
      </c>
      <c r="BE311" s="166">
        <f t="shared" ref="BE311:BE319" si="84">IF(N311="základná",J311,0)</f>
        <v>0</v>
      </c>
      <c r="BF311" s="166">
        <f t="shared" ref="BF311:BF319" si="85">IF(N311="znížená",J311,0)</f>
        <v>0</v>
      </c>
      <c r="BG311" s="166">
        <f t="shared" ref="BG311:BG319" si="86">IF(N311="zákl. prenesená",J311,0)</f>
        <v>0</v>
      </c>
      <c r="BH311" s="166">
        <f t="shared" ref="BH311:BH319" si="87">IF(N311="zníž. prenesená",J311,0)</f>
        <v>0</v>
      </c>
      <c r="BI311" s="166">
        <f t="shared" ref="BI311:BI319" si="88">IF(N311="nulová",J311,0)</f>
        <v>0</v>
      </c>
      <c r="BJ311" s="14" t="s">
        <v>82</v>
      </c>
      <c r="BK311" s="166">
        <f t="shared" ref="BK311:BK319" si="89">ROUND(I311*H311,2)</f>
        <v>0</v>
      </c>
      <c r="BL311" s="14" t="s">
        <v>185</v>
      </c>
      <c r="BM311" s="165" t="s">
        <v>808</v>
      </c>
    </row>
    <row r="312" spans="1:65" s="2" customFormat="1" ht="37.9" customHeight="1">
      <c r="A312" s="29"/>
      <c r="B312" s="152"/>
      <c r="C312" s="153" t="s">
        <v>737</v>
      </c>
      <c r="D312" s="153" t="s">
        <v>181</v>
      </c>
      <c r="E312" s="154" t="s">
        <v>1679</v>
      </c>
      <c r="F312" s="339" t="s">
        <v>3413</v>
      </c>
      <c r="G312" s="156" t="s">
        <v>217</v>
      </c>
      <c r="H312" s="157">
        <v>12</v>
      </c>
      <c r="I312" s="158"/>
      <c r="J312" s="151">
        <v>0</v>
      </c>
      <c r="K312" s="160"/>
      <c r="L312" s="30"/>
      <c r="M312" s="161" t="s">
        <v>1</v>
      </c>
      <c r="N312" s="162" t="s">
        <v>35</v>
      </c>
      <c r="O312" s="58"/>
      <c r="P312" s="163">
        <f t="shared" si="81"/>
        <v>0</v>
      </c>
      <c r="Q312" s="163">
        <v>0</v>
      </c>
      <c r="R312" s="163">
        <f t="shared" si="82"/>
        <v>0</v>
      </c>
      <c r="S312" s="163">
        <v>0</v>
      </c>
      <c r="T312" s="164">
        <f t="shared" si="83"/>
        <v>0</v>
      </c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R312" s="165" t="s">
        <v>185</v>
      </c>
      <c r="AT312" s="165" t="s">
        <v>181</v>
      </c>
      <c r="AU312" s="165" t="s">
        <v>82</v>
      </c>
      <c r="AY312" s="14" t="s">
        <v>179</v>
      </c>
      <c r="BE312" s="166">
        <f t="shared" si="84"/>
        <v>0</v>
      </c>
      <c r="BF312" s="166">
        <f t="shared" si="85"/>
        <v>0</v>
      </c>
      <c r="BG312" s="166">
        <f t="shared" si="86"/>
        <v>0</v>
      </c>
      <c r="BH312" s="166">
        <f t="shared" si="87"/>
        <v>0</v>
      </c>
      <c r="BI312" s="166">
        <f t="shared" si="88"/>
        <v>0</v>
      </c>
      <c r="BJ312" s="14" t="s">
        <v>82</v>
      </c>
      <c r="BK312" s="166">
        <f t="shared" si="89"/>
        <v>0</v>
      </c>
      <c r="BL312" s="14" t="s">
        <v>185</v>
      </c>
      <c r="BM312" s="165" t="s">
        <v>811</v>
      </c>
    </row>
    <row r="313" spans="1:65" s="2" customFormat="1" ht="37.9" customHeight="1">
      <c r="A313" s="29"/>
      <c r="B313" s="152"/>
      <c r="C313" s="153" t="s">
        <v>467</v>
      </c>
      <c r="D313" s="153" t="s">
        <v>181</v>
      </c>
      <c r="E313" s="154" t="s">
        <v>1680</v>
      </c>
      <c r="F313" s="339" t="s">
        <v>3414</v>
      </c>
      <c r="G313" s="156" t="s">
        <v>217</v>
      </c>
      <c r="H313" s="157">
        <v>45</v>
      </c>
      <c r="I313" s="158"/>
      <c r="J313" s="151">
        <v>0</v>
      </c>
      <c r="K313" s="160"/>
      <c r="L313" s="30"/>
      <c r="M313" s="161" t="s">
        <v>1</v>
      </c>
      <c r="N313" s="162" t="s">
        <v>35</v>
      </c>
      <c r="O313" s="58"/>
      <c r="P313" s="163">
        <f t="shared" si="81"/>
        <v>0</v>
      </c>
      <c r="Q313" s="163">
        <v>0</v>
      </c>
      <c r="R313" s="163">
        <f t="shared" si="82"/>
        <v>0</v>
      </c>
      <c r="S313" s="163">
        <v>0</v>
      </c>
      <c r="T313" s="164">
        <f t="shared" si="83"/>
        <v>0</v>
      </c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R313" s="165" t="s">
        <v>185</v>
      </c>
      <c r="AT313" s="165" t="s">
        <v>181</v>
      </c>
      <c r="AU313" s="165" t="s">
        <v>82</v>
      </c>
      <c r="AY313" s="14" t="s">
        <v>179</v>
      </c>
      <c r="BE313" s="166">
        <f t="shared" si="84"/>
        <v>0</v>
      </c>
      <c r="BF313" s="166">
        <f t="shared" si="85"/>
        <v>0</v>
      </c>
      <c r="BG313" s="166">
        <f t="shared" si="86"/>
        <v>0</v>
      </c>
      <c r="BH313" s="166">
        <f t="shared" si="87"/>
        <v>0</v>
      </c>
      <c r="BI313" s="166">
        <f t="shared" si="88"/>
        <v>0</v>
      </c>
      <c r="BJ313" s="14" t="s">
        <v>82</v>
      </c>
      <c r="BK313" s="166">
        <f t="shared" si="89"/>
        <v>0</v>
      </c>
      <c r="BL313" s="14" t="s">
        <v>185</v>
      </c>
      <c r="BM313" s="165" t="s">
        <v>815</v>
      </c>
    </row>
    <row r="314" spans="1:65" s="2" customFormat="1" ht="37.9" customHeight="1">
      <c r="A314" s="29"/>
      <c r="B314" s="152"/>
      <c r="C314" s="153" t="s">
        <v>744</v>
      </c>
      <c r="D314" s="153" t="s">
        <v>181</v>
      </c>
      <c r="E314" s="154" t="s">
        <v>1681</v>
      </c>
      <c r="F314" s="339" t="s">
        <v>3415</v>
      </c>
      <c r="G314" s="156" t="s">
        <v>217</v>
      </c>
      <c r="H314" s="157">
        <v>2</v>
      </c>
      <c r="I314" s="158"/>
      <c r="J314" s="151">
        <v>0</v>
      </c>
      <c r="K314" s="160"/>
      <c r="L314" s="30"/>
      <c r="M314" s="161" t="s">
        <v>1</v>
      </c>
      <c r="N314" s="162" t="s">
        <v>35</v>
      </c>
      <c r="O314" s="58"/>
      <c r="P314" s="163">
        <f t="shared" si="81"/>
        <v>0</v>
      </c>
      <c r="Q314" s="163">
        <v>0</v>
      </c>
      <c r="R314" s="163">
        <f t="shared" si="82"/>
        <v>0</v>
      </c>
      <c r="S314" s="163">
        <v>0</v>
      </c>
      <c r="T314" s="164">
        <f t="shared" si="83"/>
        <v>0</v>
      </c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R314" s="165" t="s">
        <v>185</v>
      </c>
      <c r="AT314" s="165" t="s">
        <v>181</v>
      </c>
      <c r="AU314" s="165" t="s">
        <v>82</v>
      </c>
      <c r="AY314" s="14" t="s">
        <v>179</v>
      </c>
      <c r="BE314" s="166">
        <f t="shared" si="84"/>
        <v>0</v>
      </c>
      <c r="BF314" s="166">
        <f t="shared" si="85"/>
        <v>0</v>
      </c>
      <c r="BG314" s="166">
        <f t="shared" si="86"/>
        <v>0</v>
      </c>
      <c r="BH314" s="166">
        <f t="shared" si="87"/>
        <v>0</v>
      </c>
      <c r="BI314" s="166">
        <f t="shared" si="88"/>
        <v>0</v>
      </c>
      <c r="BJ314" s="14" t="s">
        <v>82</v>
      </c>
      <c r="BK314" s="166">
        <f t="shared" si="89"/>
        <v>0</v>
      </c>
      <c r="BL314" s="14" t="s">
        <v>185</v>
      </c>
      <c r="BM314" s="165" t="s">
        <v>818</v>
      </c>
    </row>
    <row r="315" spans="1:65" s="2" customFormat="1" ht="37.9" customHeight="1">
      <c r="A315" s="29"/>
      <c r="B315" s="152"/>
      <c r="C315" s="153" t="s">
        <v>470</v>
      </c>
      <c r="D315" s="153" t="s">
        <v>181</v>
      </c>
      <c r="E315" s="154" t="s">
        <v>1682</v>
      </c>
      <c r="F315" s="339" t="s">
        <v>3416</v>
      </c>
      <c r="G315" s="156" t="s">
        <v>217</v>
      </c>
      <c r="H315" s="157">
        <v>1</v>
      </c>
      <c r="I315" s="158"/>
      <c r="J315" s="151">
        <v>0</v>
      </c>
      <c r="K315" s="160"/>
      <c r="L315" s="30"/>
      <c r="M315" s="161" t="s">
        <v>1</v>
      </c>
      <c r="N315" s="162" t="s">
        <v>35</v>
      </c>
      <c r="O315" s="58"/>
      <c r="P315" s="163">
        <f t="shared" si="81"/>
        <v>0</v>
      </c>
      <c r="Q315" s="163">
        <v>0</v>
      </c>
      <c r="R315" s="163">
        <f t="shared" si="82"/>
        <v>0</v>
      </c>
      <c r="S315" s="163">
        <v>0</v>
      </c>
      <c r="T315" s="164">
        <f t="shared" si="83"/>
        <v>0</v>
      </c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R315" s="165" t="s">
        <v>185</v>
      </c>
      <c r="AT315" s="165" t="s">
        <v>181</v>
      </c>
      <c r="AU315" s="165" t="s">
        <v>82</v>
      </c>
      <c r="AY315" s="14" t="s">
        <v>179</v>
      </c>
      <c r="BE315" s="166">
        <f t="shared" si="84"/>
        <v>0</v>
      </c>
      <c r="BF315" s="166">
        <f t="shared" si="85"/>
        <v>0</v>
      </c>
      <c r="BG315" s="166">
        <f t="shared" si="86"/>
        <v>0</v>
      </c>
      <c r="BH315" s="166">
        <f t="shared" si="87"/>
        <v>0</v>
      </c>
      <c r="BI315" s="166">
        <f t="shared" si="88"/>
        <v>0</v>
      </c>
      <c r="BJ315" s="14" t="s">
        <v>82</v>
      </c>
      <c r="BK315" s="166">
        <f t="shared" si="89"/>
        <v>0</v>
      </c>
      <c r="BL315" s="14" t="s">
        <v>185</v>
      </c>
      <c r="BM315" s="165" t="s">
        <v>822</v>
      </c>
    </row>
    <row r="316" spans="1:65" s="2" customFormat="1" ht="24.2" customHeight="1">
      <c r="A316" s="29"/>
      <c r="B316" s="152"/>
      <c r="C316" s="153" t="s">
        <v>751</v>
      </c>
      <c r="D316" s="153" t="s">
        <v>181</v>
      </c>
      <c r="E316" s="154" t="s">
        <v>1683</v>
      </c>
      <c r="F316" s="155" t="s">
        <v>1684</v>
      </c>
      <c r="G316" s="156" t="s">
        <v>217</v>
      </c>
      <c r="H316" s="157">
        <v>65</v>
      </c>
      <c r="I316" s="158"/>
      <c r="J316" s="151">
        <v>0</v>
      </c>
      <c r="K316" s="160"/>
      <c r="L316" s="30"/>
      <c r="M316" s="161" t="s">
        <v>1</v>
      </c>
      <c r="N316" s="162" t="s">
        <v>35</v>
      </c>
      <c r="O316" s="58"/>
      <c r="P316" s="163">
        <f t="shared" si="81"/>
        <v>0</v>
      </c>
      <c r="Q316" s="163">
        <v>0</v>
      </c>
      <c r="R316" s="163">
        <f t="shared" si="82"/>
        <v>0</v>
      </c>
      <c r="S316" s="163">
        <v>0</v>
      </c>
      <c r="T316" s="164">
        <f t="shared" si="83"/>
        <v>0</v>
      </c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R316" s="165" t="s">
        <v>185</v>
      </c>
      <c r="AT316" s="165" t="s">
        <v>181</v>
      </c>
      <c r="AU316" s="165" t="s">
        <v>82</v>
      </c>
      <c r="AY316" s="14" t="s">
        <v>179</v>
      </c>
      <c r="BE316" s="166">
        <f t="shared" si="84"/>
        <v>0</v>
      </c>
      <c r="BF316" s="166">
        <f t="shared" si="85"/>
        <v>0</v>
      </c>
      <c r="BG316" s="166">
        <f t="shared" si="86"/>
        <v>0</v>
      </c>
      <c r="BH316" s="166">
        <f t="shared" si="87"/>
        <v>0</v>
      </c>
      <c r="BI316" s="166">
        <f t="shared" si="88"/>
        <v>0</v>
      </c>
      <c r="BJ316" s="14" t="s">
        <v>82</v>
      </c>
      <c r="BK316" s="166">
        <f t="shared" si="89"/>
        <v>0</v>
      </c>
      <c r="BL316" s="14" t="s">
        <v>185</v>
      </c>
      <c r="BM316" s="165" t="s">
        <v>825</v>
      </c>
    </row>
    <row r="317" spans="1:65" s="2" customFormat="1" ht="49.15" customHeight="1">
      <c r="A317" s="29"/>
      <c r="B317" s="152"/>
      <c r="C317" s="153" t="s">
        <v>474</v>
      </c>
      <c r="D317" s="153" t="s">
        <v>181</v>
      </c>
      <c r="E317" s="154" t="s">
        <v>1685</v>
      </c>
      <c r="F317" s="339" t="s">
        <v>3417</v>
      </c>
      <c r="G317" s="156" t="s">
        <v>217</v>
      </c>
      <c r="H317" s="157">
        <v>24</v>
      </c>
      <c r="I317" s="158"/>
      <c r="J317" s="151">
        <v>0</v>
      </c>
      <c r="K317" s="160"/>
      <c r="L317" s="30"/>
      <c r="M317" s="161" t="s">
        <v>1</v>
      </c>
      <c r="N317" s="162" t="s">
        <v>35</v>
      </c>
      <c r="O317" s="58"/>
      <c r="P317" s="163">
        <f t="shared" si="81"/>
        <v>0</v>
      </c>
      <c r="Q317" s="163">
        <v>0</v>
      </c>
      <c r="R317" s="163">
        <f t="shared" si="82"/>
        <v>0</v>
      </c>
      <c r="S317" s="163">
        <v>0</v>
      </c>
      <c r="T317" s="164">
        <f t="shared" si="83"/>
        <v>0</v>
      </c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R317" s="165" t="s">
        <v>185</v>
      </c>
      <c r="AT317" s="165" t="s">
        <v>181</v>
      </c>
      <c r="AU317" s="165" t="s">
        <v>82</v>
      </c>
      <c r="AY317" s="14" t="s">
        <v>179</v>
      </c>
      <c r="BE317" s="166">
        <f t="shared" si="84"/>
        <v>0</v>
      </c>
      <c r="BF317" s="166">
        <f t="shared" si="85"/>
        <v>0</v>
      </c>
      <c r="BG317" s="166">
        <f t="shared" si="86"/>
        <v>0</v>
      </c>
      <c r="BH317" s="166">
        <f t="shared" si="87"/>
        <v>0</v>
      </c>
      <c r="BI317" s="166">
        <f t="shared" si="88"/>
        <v>0</v>
      </c>
      <c r="BJ317" s="14" t="s">
        <v>82</v>
      </c>
      <c r="BK317" s="166">
        <f t="shared" si="89"/>
        <v>0</v>
      </c>
      <c r="BL317" s="14" t="s">
        <v>185</v>
      </c>
      <c r="BM317" s="165" t="s">
        <v>829</v>
      </c>
    </row>
    <row r="318" spans="1:65" s="2" customFormat="1" ht="37.9" customHeight="1">
      <c r="A318" s="29"/>
      <c r="B318" s="152"/>
      <c r="C318" s="153" t="s">
        <v>758</v>
      </c>
      <c r="D318" s="153" t="s">
        <v>181</v>
      </c>
      <c r="E318" s="154" t="s">
        <v>1686</v>
      </c>
      <c r="F318" s="339" t="s">
        <v>3418</v>
      </c>
      <c r="G318" s="156" t="s">
        <v>217</v>
      </c>
      <c r="H318" s="157">
        <v>1</v>
      </c>
      <c r="I318" s="158"/>
      <c r="J318" s="151">
        <v>0</v>
      </c>
      <c r="K318" s="160"/>
      <c r="L318" s="30"/>
      <c r="M318" s="161" t="s">
        <v>1</v>
      </c>
      <c r="N318" s="162" t="s">
        <v>35</v>
      </c>
      <c r="O318" s="58"/>
      <c r="P318" s="163">
        <f t="shared" si="81"/>
        <v>0</v>
      </c>
      <c r="Q318" s="163">
        <v>0</v>
      </c>
      <c r="R318" s="163">
        <f t="shared" si="82"/>
        <v>0</v>
      </c>
      <c r="S318" s="163">
        <v>0</v>
      </c>
      <c r="T318" s="164">
        <f t="shared" si="83"/>
        <v>0</v>
      </c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R318" s="165" t="s">
        <v>185</v>
      </c>
      <c r="AT318" s="165" t="s">
        <v>181</v>
      </c>
      <c r="AU318" s="165" t="s">
        <v>82</v>
      </c>
      <c r="AY318" s="14" t="s">
        <v>179</v>
      </c>
      <c r="BE318" s="166">
        <f t="shared" si="84"/>
        <v>0</v>
      </c>
      <c r="BF318" s="166">
        <f t="shared" si="85"/>
        <v>0</v>
      </c>
      <c r="BG318" s="166">
        <f t="shared" si="86"/>
        <v>0</v>
      </c>
      <c r="BH318" s="166">
        <f t="shared" si="87"/>
        <v>0</v>
      </c>
      <c r="BI318" s="166">
        <f t="shared" si="88"/>
        <v>0</v>
      </c>
      <c r="BJ318" s="14" t="s">
        <v>82</v>
      </c>
      <c r="BK318" s="166">
        <f t="shared" si="89"/>
        <v>0</v>
      </c>
      <c r="BL318" s="14" t="s">
        <v>185</v>
      </c>
      <c r="BM318" s="165" t="s">
        <v>832</v>
      </c>
    </row>
    <row r="319" spans="1:65" s="2" customFormat="1" ht="16.5" customHeight="1">
      <c r="A319" s="29"/>
      <c r="B319" s="152"/>
      <c r="C319" s="153" t="s">
        <v>478</v>
      </c>
      <c r="D319" s="153" t="s">
        <v>181</v>
      </c>
      <c r="E319" s="154" t="s">
        <v>1687</v>
      </c>
      <c r="F319" s="155" t="s">
        <v>1688</v>
      </c>
      <c r="G319" s="156" t="s">
        <v>217</v>
      </c>
      <c r="H319" s="157">
        <v>24</v>
      </c>
      <c r="I319" s="158"/>
      <c r="J319" s="151">
        <v>0</v>
      </c>
      <c r="K319" s="160"/>
      <c r="L319" s="30"/>
      <c r="M319" s="161" t="s">
        <v>1</v>
      </c>
      <c r="N319" s="162" t="s">
        <v>35</v>
      </c>
      <c r="O319" s="58"/>
      <c r="P319" s="163">
        <f t="shared" si="81"/>
        <v>0</v>
      </c>
      <c r="Q319" s="163">
        <v>0</v>
      </c>
      <c r="R319" s="163">
        <f t="shared" si="82"/>
        <v>0</v>
      </c>
      <c r="S319" s="163">
        <v>0</v>
      </c>
      <c r="T319" s="164">
        <f t="shared" si="83"/>
        <v>0</v>
      </c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R319" s="165" t="s">
        <v>185</v>
      </c>
      <c r="AT319" s="165" t="s">
        <v>181</v>
      </c>
      <c r="AU319" s="165" t="s">
        <v>82</v>
      </c>
      <c r="AY319" s="14" t="s">
        <v>179</v>
      </c>
      <c r="BE319" s="166">
        <f t="shared" si="84"/>
        <v>0</v>
      </c>
      <c r="BF319" s="166">
        <f t="shared" si="85"/>
        <v>0</v>
      </c>
      <c r="BG319" s="166">
        <f t="shared" si="86"/>
        <v>0</v>
      </c>
      <c r="BH319" s="166">
        <f t="shared" si="87"/>
        <v>0</v>
      </c>
      <c r="BI319" s="166">
        <f t="shared" si="88"/>
        <v>0</v>
      </c>
      <c r="BJ319" s="14" t="s">
        <v>82</v>
      </c>
      <c r="BK319" s="166">
        <f t="shared" si="89"/>
        <v>0</v>
      </c>
      <c r="BL319" s="14" t="s">
        <v>185</v>
      </c>
      <c r="BM319" s="165" t="s">
        <v>836</v>
      </c>
    </row>
    <row r="320" spans="1:65" s="12" customFormat="1" ht="22.9" customHeight="1">
      <c r="B320" s="139"/>
      <c r="D320" s="140" t="s">
        <v>68</v>
      </c>
      <c r="E320" s="150" t="s">
        <v>1689</v>
      </c>
      <c r="F320" s="150" t="s">
        <v>1690</v>
      </c>
      <c r="I320" s="142"/>
      <c r="J320" s="151">
        <v>0</v>
      </c>
      <c r="L320" s="139"/>
      <c r="M320" s="144"/>
      <c r="N320" s="145"/>
      <c r="O320" s="145"/>
      <c r="P320" s="146">
        <f>SUM(P321:P335)</f>
        <v>0</v>
      </c>
      <c r="Q320" s="145"/>
      <c r="R320" s="146">
        <f>SUM(R321:R335)</f>
        <v>0</v>
      </c>
      <c r="S320" s="145"/>
      <c r="T320" s="147">
        <f>SUM(T321:T335)</f>
        <v>0</v>
      </c>
      <c r="AR320" s="140" t="s">
        <v>76</v>
      </c>
      <c r="AT320" s="148" t="s">
        <v>68</v>
      </c>
      <c r="AU320" s="148" t="s">
        <v>76</v>
      </c>
      <c r="AY320" s="140" t="s">
        <v>179</v>
      </c>
      <c r="BK320" s="149">
        <f>SUM(BK321:BK335)</f>
        <v>0</v>
      </c>
    </row>
    <row r="321" spans="1:65" s="2" customFormat="1" ht="16.5" customHeight="1">
      <c r="A321" s="29"/>
      <c r="B321" s="152"/>
      <c r="C321" s="153" t="s">
        <v>765</v>
      </c>
      <c r="D321" s="153" t="s">
        <v>181</v>
      </c>
      <c r="E321" s="154" t="s">
        <v>1691</v>
      </c>
      <c r="F321" s="155" t="s">
        <v>1692</v>
      </c>
      <c r="G321" s="156" t="s">
        <v>293</v>
      </c>
      <c r="H321" s="157">
        <v>160</v>
      </c>
      <c r="I321" s="158"/>
      <c r="J321" s="151">
        <v>0</v>
      </c>
      <c r="K321" s="160"/>
      <c r="L321" s="30"/>
      <c r="M321" s="161" t="s">
        <v>1</v>
      </c>
      <c r="N321" s="162" t="s">
        <v>35</v>
      </c>
      <c r="O321" s="58"/>
      <c r="P321" s="163">
        <f t="shared" ref="P321:P335" si="90">O321*H321</f>
        <v>0</v>
      </c>
      <c r="Q321" s="163">
        <v>0</v>
      </c>
      <c r="R321" s="163">
        <f t="shared" ref="R321:R335" si="91">Q321*H321</f>
        <v>0</v>
      </c>
      <c r="S321" s="163">
        <v>0</v>
      </c>
      <c r="T321" s="164">
        <f t="shared" ref="T321:T335" si="92">S321*H321</f>
        <v>0</v>
      </c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R321" s="165" t="s">
        <v>185</v>
      </c>
      <c r="AT321" s="165" t="s">
        <v>181</v>
      </c>
      <c r="AU321" s="165" t="s">
        <v>82</v>
      </c>
      <c r="AY321" s="14" t="s">
        <v>179</v>
      </c>
      <c r="BE321" s="166">
        <f t="shared" ref="BE321:BE335" si="93">IF(N321="základná",J321,0)</f>
        <v>0</v>
      </c>
      <c r="BF321" s="166">
        <f t="shared" ref="BF321:BF335" si="94">IF(N321="znížená",J321,0)</f>
        <v>0</v>
      </c>
      <c r="BG321" s="166">
        <f t="shared" ref="BG321:BG335" si="95">IF(N321="zákl. prenesená",J321,0)</f>
        <v>0</v>
      </c>
      <c r="BH321" s="166">
        <f t="shared" ref="BH321:BH335" si="96">IF(N321="zníž. prenesená",J321,0)</f>
        <v>0</v>
      </c>
      <c r="BI321" s="166">
        <f t="shared" ref="BI321:BI335" si="97">IF(N321="nulová",J321,0)</f>
        <v>0</v>
      </c>
      <c r="BJ321" s="14" t="s">
        <v>82</v>
      </c>
      <c r="BK321" s="166">
        <f t="shared" ref="BK321:BK335" si="98">ROUND(I321*H321,2)</f>
        <v>0</v>
      </c>
      <c r="BL321" s="14" t="s">
        <v>185</v>
      </c>
      <c r="BM321" s="165" t="s">
        <v>839</v>
      </c>
    </row>
    <row r="322" spans="1:65" s="2" customFormat="1" ht="16.5" customHeight="1">
      <c r="A322" s="29"/>
      <c r="B322" s="152"/>
      <c r="C322" s="153" t="s">
        <v>482</v>
      </c>
      <c r="D322" s="153" t="s">
        <v>181</v>
      </c>
      <c r="E322" s="154" t="s">
        <v>1693</v>
      </c>
      <c r="F322" s="155" t="s">
        <v>1694</v>
      </c>
      <c r="G322" s="156" t="s">
        <v>293</v>
      </c>
      <c r="H322" s="157">
        <v>40</v>
      </c>
      <c r="I322" s="158"/>
      <c r="J322" s="151">
        <v>0</v>
      </c>
      <c r="K322" s="160"/>
      <c r="L322" s="30"/>
      <c r="M322" s="161" t="s">
        <v>1</v>
      </c>
      <c r="N322" s="162" t="s">
        <v>35</v>
      </c>
      <c r="O322" s="58"/>
      <c r="P322" s="163">
        <f t="shared" si="90"/>
        <v>0</v>
      </c>
      <c r="Q322" s="163">
        <v>0</v>
      </c>
      <c r="R322" s="163">
        <f t="shared" si="91"/>
        <v>0</v>
      </c>
      <c r="S322" s="163">
        <v>0</v>
      </c>
      <c r="T322" s="164">
        <f t="shared" si="92"/>
        <v>0</v>
      </c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R322" s="165" t="s">
        <v>185</v>
      </c>
      <c r="AT322" s="165" t="s">
        <v>181</v>
      </c>
      <c r="AU322" s="165" t="s">
        <v>82</v>
      </c>
      <c r="AY322" s="14" t="s">
        <v>179</v>
      </c>
      <c r="BE322" s="166">
        <f t="shared" si="93"/>
        <v>0</v>
      </c>
      <c r="BF322" s="166">
        <f t="shared" si="94"/>
        <v>0</v>
      </c>
      <c r="BG322" s="166">
        <f t="shared" si="95"/>
        <v>0</v>
      </c>
      <c r="BH322" s="166">
        <f t="shared" si="96"/>
        <v>0</v>
      </c>
      <c r="BI322" s="166">
        <f t="shared" si="97"/>
        <v>0</v>
      </c>
      <c r="BJ322" s="14" t="s">
        <v>82</v>
      </c>
      <c r="BK322" s="166">
        <f t="shared" si="98"/>
        <v>0</v>
      </c>
      <c r="BL322" s="14" t="s">
        <v>185</v>
      </c>
      <c r="BM322" s="165" t="s">
        <v>843</v>
      </c>
    </row>
    <row r="323" spans="1:65" s="2" customFormat="1" ht="33" customHeight="1">
      <c r="A323" s="29"/>
      <c r="B323" s="152"/>
      <c r="C323" s="153" t="s">
        <v>772</v>
      </c>
      <c r="D323" s="153" t="s">
        <v>181</v>
      </c>
      <c r="E323" s="154" t="s">
        <v>1695</v>
      </c>
      <c r="F323" s="155" t="s">
        <v>1696</v>
      </c>
      <c r="G323" s="156" t="s">
        <v>293</v>
      </c>
      <c r="H323" s="157">
        <v>10</v>
      </c>
      <c r="I323" s="158"/>
      <c r="J323" s="151">
        <v>0</v>
      </c>
      <c r="K323" s="160"/>
      <c r="L323" s="30"/>
      <c r="M323" s="161" t="s">
        <v>1</v>
      </c>
      <c r="N323" s="162" t="s">
        <v>35</v>
      </c>
      <c r="O323" s="58"/>
      <c r="P323" s="163">
        <f t="shared" si="90"/>
        <v>0</v>
      </c>
      <c r="Q323" s="163">
        <v>0</v>
      </c>
      <c r="R323" s="163">
        <f t="shared" si="91"/>
        <v>0</v>
      </c>
      <c r="S323" s="163">
        <v>0</v>
      </c>
      <c r="T323" s="164">
        <f t="shared" si="92"/>
        <v>0</v>
      </c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R323" s="165" t="s">
        <v>185</v>
      </c>
      <c r="AT323" s="165" t="s">
        <v>181</v>
      </c>
      <c r="AU323" s="165" t="s">
        <v>82</v>
      </c>
      <c r="AY323" s="14" t="s">
        <v>179</v>
      </c>
      <c r="BE323" s="166">
        <f t="shared" si="93"/>
        <v>0</v>
      </c>
      <c r="BF323" s="166">
        <f t="shared" si="94"/>
        <v>0</v>
      </c>
      <c r="BG323" s="166">
        <f t="shared" si="95"/>
        <v>0</v>
      </c>
      <c r="BH323" s="166">
        <f t="shared" si="96"/>
        <v>0</v>
      </c>
      <c r="BI323" s="166">
        <f t="shared" si="97"/>
        <v>0</v>
      </c>
      <c r="BJ323" s="14" t="s">
        <v>82</v>
      </c>
      <c r="BK323" s="166">
        <f t="shared" si="98"/>
        <v>0</v>
      </c>
      <c r="BL323" s="14" t="s">
        <v>185</v>
      </c>
      <c r="BM323" s="165" t="s">
        <v>846</v>
      </c>
    </row>
    <row r="324" spans="1:65" s="2" customFormat="1" ht="24.2" customHeight="1">
      <c r="A324" s="29"/>
      <c r="B324" s="152"/>
      <c r="C324" s="153" t="s">
        <v>485</v>
      </c>
      <c r="D324" s="153" t="s">
        <v>181</v>
      </c>
      <c r="E324" s="154" t="s">
        <v>1697</v>
      </c>
      <c r="F324" s="155" t="s">
        <v>1698</v>
      </c>
      <c r="G324" s="156" t="s">
        <v>217</v>
      </c>
      <c r="H324" s="157">
        <v>35</v>
      </c>
      <c r="I324" s="158"/>
      <c r="J324" s="151">
        <v>0</v>
      </c>
      <c r="K324" s="160"/>
      <c r="L324" s="30"/>
      <c r="M324" s="161" t="s">
        <v>1</v>
      </c>
      <c r="N324" s="162" t="s">
        <v>35</v>
      </c>
      <c r="O324" s="58"/>
      <c r="P324" s="163">
        <f t="shared" si="90"/>
        <v>0</v>
      </c>
      <c r="Q324" s="163">
        <v>0</v>
      </c>
      <c r="R324" s="163">
        <f t="shared" si="91"/>
        <v>0</v>
      </c>
      <c r="S324" s="163">
        <v>0</v>
      </c>
      <c r="T324" s="164">
        <f t="shared" si="92"/>
        <v>0</v>
      </c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R324" s="165" t="s">
        <v>185</v>
      </c>
      <c r="AT324" s="165" t="s">
        <v>181</v>
      </c>
      <c r="AU324" s="165" t="s">
        <v>82</v>
      </c>
      <c r="AY324" s="14" t="s">
        <v>179</v>
      </c>
      <c r="BE324" s="166">
        <f t="shared" si="93"/>
        <v>0</v>
      </c>
      <c r="BF324" s="166">
        <f t="shared" si="94"/>
        <v>0</v>
      </c>
      <c r="BG324" s="166">
        <f t="shared" si="95"/>
        <v>0</v>
      </c>
      <c r="BH324" s="166">
        <f t="shared" si="96"/>
        <v>0</v>
      </c>
      <c r="BI324" s="166">
        <f t="shared" si="97"/>
        <v>0</v>
      </c>
      <c r="BJ324" s="14" t="s">
        <v>82</v>
      </c>
      <c r="BK324" s="166">
        <f t="shared" si="98"/>
        <v>0</v>
      </c>
      <c r="BL324" s="14" t="s">
        <v>185</v>
      </c>
      <c r="BM324" s="165" t="s">
        <v>850</v>
      </c>
    </row>
    <row r="325" spans="1:65" s="2" customFormat="1" ht="24.2" customHeight="1">
      <c r="A325" s="29"/>
      <c r="B325" s="152"/>
      <c r="C325" s="153" t="s">
        <v>779</v>
      </c>
      <c r="D325" s="153" t="s">
        <v>181</v>
      </c>
      <c r="E325" s="154" t="s">
        <v>1699</v>
      </c>
      <c r="F325" s="155" t="s">
        <v>1700</v>
      </c>
      <c r="G325" s="156" t="s">
        <v>217</v>
      </c>
      <c r="H325" s="157">
        <v>74</v>
      </c>
      <c r="I325" s="158"/>
      <c r="J325" s="151">
        <v>0</v>
      </c>
      <c r="K325" s="160"/>
      <c r="L325" s="30"/>
      <c r="M325" s="161" t="s">
        <v>1</v>
      </c>
      <c r="N325" s="162" t="s">
        <v>35</v>
      </c>
      <c r="O325" s="58"/>
      <c r="P325" s="163">
        <f t="shared" si="90"/>
        <v>0</v>
      </c>
      <c r="Q325" s="163">
        <v>0</v>
      </c>
      <c r="R325" s="163">
        <f t="shared" si="91"/>
        <v>0</v>
      </c>
      <c r="S325" s="163">
        <v>0</v>
      </c>
      <c r="T325" s="164">
        <f t="shared" si="92"/>
        <v>0</v>
      </c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R325" s="165" t="s">
        <v>185</v>
      </c>
      <c r="AT325" s="165" t="s">
        <v>181</v>
      </c>
      <c r="AU325" s="165" t="s">
        <v>82</v>
      </c>
      <c r="AY325" s="14" t="s">
        <v>179</v>
      </c>
      <c r="BE325" s="166">
        <f t="shared" si="93"/>
        <v>0</v>
      </c>
      <c r="BF325" s="166">
        <f t="shared" si="94"/>
        <v>0</v>
      </c>
      <c r="BG325" s="166">
        <f t="shared" si="95"/>
        <v>0</v>
      </c>
      <c r="BH325" s="166">
        <f t="shared" si="96"/>
        <v>0</v>
      </c>
      <c r="BI325" s="166">
        <f t="shared" si="97"/>
        <v>0</v>
      </c>
      <c r="BJ325" s="14" t="s">
        <v>82</v>
      </c>
      <c r="BK325" s="166">
        <f t="shared" si="98"/>
        <v>0</v>
      </c>
      <c r="BL325" s="14" t="s">
        <v>185</v>
      </c>
      <c r="BM325" s="165" t="s">
        <v>853</v>
      </c>
    </row>
    <row r="326" spans="1:65" s="2" customFormat="1" ht="24.2" customHeight="1">
      <c r="A326" s="29"/>
      <c r="B326" s="152"/>
      <c r="C326" s="153" t="s">
        <v>489</v>
      </c>
      <c r="D326" s="153" t="s">
        <v>181</v>
      </c>
      <c r="E326" s="154" t="s">
        <v>1701</v>
      </c>
      <c r="F326" s="155" t="s">
        <v>1702</v>
      </c>
      <c r="G326" s="156" t="s">
        <v>217</v>
      </c>
      <c r="H326" s="157">
        <v>1</v>
      </c>
      <c r="I326" s="158"/>
      <c r="J326" s="151">
        <v>0</v>
      </c>
      <c r="K326" s="160"/>
      <c r="L326" s="30"/>
      <c r="M326" s="161" t="s">
        <v>1</v>
      </c>
      <c r="N326" s="162" t="s">
        <v>35</v>
      </c>
      <c r="O326" s="58"/>
      <c r="P326" s="163">
        <f t="shared" si="90"/>
        <v>0</v>
      </c>
      <c r="Q326" s="163">
        <v>0</v>
      </c>
      <c r="R326" s="163">
        <f t="shared" si="91"/>
        <v>0</v>
      </c>
      <c r="S326" s="163">
        <v>0</v>
      </c>
      <c r="T326" s="164">
        <f t="shared" si="92"/>
        <v>0</v>
      </c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R326" s="165" t="s">
        <v>185</v>
      </c>
      <c r="AT326" s="165" t="s">
        <v>181</v>
      </c>
      <c r="AU326" s="165" t="s">
        <v>82</v>
      </c>
      <c r="AY326" s="14" t="s">
        <v>179</v>
      </c>
      <c r="BE326" s="166">
        <f t="shared" si="93"/>
        <v>0</v>
      </c>
      <c r="BF326" s="166">
        <f t="shared" si="94"/>
        <v>0</v>
      </c>
      <c r="BG326" s="166">
        <f t="shared" si="95"/>
        <v>0</v>
      </c>
      <c r="BH326" s="166">
        <f t="shared" si="96"/>
        <v>0</v>
      </c>
      <c r="BI326" s="166">
        <f t="shared" si="97"/>
        <v>0</v>
      </c>
      <c r="BJ326" s="14" t="s">
        <v>82</v>
      </c>
      <c r="BK326" s="166">
        <f t="shared" si="98"/>
        <v>0</v>
      </c>
      <c r="BL326" s="14" t="s">
        <v>185</v>
      </c>
      <c r="BM326" s="165" t="s">
        <v>857</v>
      </c>
    </row>
    <row r="327" spans="1:65" s="2" customFormat="1" ht="24.2" customHeight="1">
      <c r="A327" s="29"/>
      <c r="B327" s="152"/>
      <c r="C327" s="153" t="s">
        <v>785</v>
      </c>
      <c r="D327" s="153" t="s">
        <v>181</v>
      </c>
      <c r="E327" s="154" t="s">
        <v>1703</v>
      </c>
      <c r="F327" s="155" t="s">
        <v>1704</v>
      </c>
      <c r="G327" s="156" t="s">
        <v>217</v>
      </c>
      <c r="H327" s="157">
        <v>2</v>
      </c>
      <c r="I327" s="158"/>
      <c r="J327" s="151">
        <v>0</v>
      </c>
      <c r="K327" s="160"/>
      <c r="L327" s="30"/>
      <c r="M327" s="161" t="s">
        <v>1</v>
      </c>
      <c r="N327" s="162" t="s">
        <v>35</v>
      </c>
      <c r="O327" s="58"/>
      <c r="P327" s="163">
        <f t="shared" si="90"/>
        <v>0</v>
      </c>
      <c r="Q327" s="163">
        <v>0</v>
      </c>
      <c r="R327" s="163">
        <f t="shared" si="91"/>
        <v>0</v>
      </c>
      <c r="S327" s="163">
        <v>0</v>
      </c>
      <c r="T327" s="164">
        <f t="shared" si="92"/>
        <v>0</v>
      </c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R327" s="165" t="s">
        <v>185</v>
      </c>
      <c r="AT327" s="165" t="s">
        <v>181</v>
      </c>
      <c r="AU327" s="165" t="s">
        <v>82</v>
      </c>
      <c r="AY327" s="14" t="s">
        <v>179</v>
      </c>
      <c r="BE327" s="166">
        <f t="shared" si="93"/>
        <v>0</v>
      </c>
      <c r="BF327" s="166">
        <f t="shared" si="94"/>
        <v>0</v>
      </c>
      <c r="BG327" s="166">
        <f t="shared" si="95"/>
        <v>0</v>
      </c>
      <c r="BH327" s="166">
        <f t="shared" si="96"/>
        <v>0</v>
      </c>
      <c r="BI327" s="166">
        <f t="shared" si="97"/>
        <v>0</v>
      </c>
      <c r="BJ327" s="14" t="s">
        <v>82</v>
      </c>
      <c r="BK327" s="166">
        <f t="shared" si="98"/>
        <v>0</v>
      </c>
      <c r="BL327" s="14" t="s">
        <v>185</v>
      </c>
      <c r="BM327" s="165" t="s">
        <v>860</v>
      </c>
    </row>
    <row r="328" spans="1:65" s="2" customFormat="1" ht="16.5" customHeight="1">
      <c r="A328" s="29"/>
      <c r="B328" s="152"/>
      <c r="C328" s="153" t="s">
        <v>492</v>
      </c>
      <c r="D328" s="153" t="s">
        <v>181</v>
      </c>
      <c r="E328" s="154" t="s">
        <v>1705</v>
      </c>
      <c r="F328" s="155" t="s">
        <v>1706</v>
      </c>
      <c r="G328" s="156" t="s">
        <v>217</v>
      </c>
      <c r="H328" s="157">
        <v>2</v>
      </c>
      <c r="I328" s="158"/>
      <c r="J328" s="151">
        <v>0</v>
      </c>
      <c r="K328" s="160"/>
      <c r="L328" s="30"/>
      <c r="M328" s="161" t="s">
        <v>1</v>
      </c>
      <c r="N328" s="162" t="s">
        <v>35</v>
      </c>
      <c r="O328" s="58"/>
      <c r="P328" s="163">
        <f t="shared" si="90"/>
        <v>0</v>
      </c>
      <c r="Q328" s="163">
        <v>0</v>
      </c>
      <c r="R328" s="163">
        <f t="shared" si="91"/>
        <v>0</v>
      </c>
      <c r="S328" s="163">
        <v>0</v>
      </c>
      <c r="T328" s="164">
        <f t="shared" si="92"/>
        <v>0</v>
      </c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R328" s="165" t="s">
        <v>185</v>
      </c>
      <c r="AT328" s="165" t="s">
        <v>181</v>
      </c>
      <c r="AU328" s="165" t="s">
        <v>82</v>
      </c>
      <c r="AY328" s="14" t="s">
        <v>179</v>
      </c>
      <c r="BE328" s="166">
        <f t="shared" si="93"/>
        <v>0</v>
      </c>
      <c r="BF328" s="166">
        <f t="shared" si="94"/>
        <v>0</v>
      </c>
      <c r="BG328" s="166">
        <f t="shared" si="95"/>
        <v>0</v>
      </c>
      <c r="BH328" s="166">
        <f t="shared" si="96"/>
        <v>0</v>
      </c>
      <c r="BI328" s="166">
        <f t="shared" si="97"/>
        <v>0</v>
      </c>
      <c r="BJ328" s="14" t="s">
        <v>82</v>
      </c>
      <c r="BK328" s="166">
        <f t="shared" si="98"/>
        <v>0</v>
      </c>
      <c r="BL328" s="14" t="s">
        <v>185</v>
      </c>
      <c r="BM328" s="165" t="s">
        <v>864</v>
      </c>
    </row>
    <row r="329" spans="1:65" s="2" customFormat="1" ht="33" customHeight="1">
      <c r="A329" s="29"/>
      <c r="B329" s="152"/>
      <c r="C329" s="153" t="s">
        <v>792</v>
      </c>
      <c r="D329" s="153" t="s">
        <v>181</v>
      </c>
      <c r="E329" s="154" t="s">
        <v>1707</v>
      </c>
      <c r="F329" s="155" t="s">
        <v>1708</v>
      </c>
      <c r="G329" s="156" t="s">
        <v>217</v>
      </c>
      <c r="H329" s="157">
        <v>18</v>
      </c>
      <c r="I329" s="158"/>
      <c r="J329" s="151">
        <v>0</v>
      </c>
      <c r="K329" s="160"/>
      <c r="L329" s="30"/>
      <c r="M329" s="161" t="s">
        <v>1</v>
      </c>
      <c r="N329" s="162" t="s">
        <v>35</v>
      </c>
      <c r="O329" s="58"/>
      <c r="P329" s="163">
        <f t="shared" si="90"/>
        <v>0</v>
      </c>
      <c r="Q329" s="163">
        <v>0</v>
      </c>
      <c r="R329" s="163">
        <f t="shared" si="91"/>
        <v>0</v>
      </c>
      <c r="S329" s="163">
        <v>0</v>
      </c>
      <c r="T329" s="164">
        <f t="shared" si="92"/>
        <v>0</v>
      </c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R329" s="165" t="s">
        <v>185</v>
      </c>
      <c r="AT329" s="165" t="s">
        <v>181</v>
      </c>
      <c r="AU329" s="165" t="s">
        <v>82</v>
      </c>
      <c r="AY329" s="14" t="s">
        <v>179</v>
      </c>
      <c r="BE329" s="166">
        <f t="shared" si="93"/>
        <v>0</v>
      </c>
      <c r="BF329" s="166">
        <f t="shared" si="94"/>
        <v>0</v>
      </c>
      <c r="BG329" s="166">
        <f t="shared" si="95"/>
        <v>0</v>
      </c>
      <c r="BH329" s="166">
        <f t="shared" si="96"/>
        <v>0</v>
      </c>
      <c r="BI329" s="166">
        <f t="shared" si="97"/>
        <v>0</v>
      </c>
      <c r="BJ329" s="14" t="s">
        <v>82</v>
      </c>
      <c r="BK329" s="166">
        <f t="shared" si="98"/>
        <v>0</v>
      </c>
      <c r="BL329" s="14" t="s">
        <v>185</v>
      </c>
      <c r="BM329" s="165" t="s">
        <v>867</v>
      </c>
    </row>
    <row r="330" spans="1:65" s="2" customFormat="1" ht="16.5" customHeight="1">
      <c r="A330" s="29"/>
      <c r="B330" s="152"/>
      <c r="C330" s="153" t="s">
        <v>496</v>
      </c>
      <c r="D330" s="153" t="s">
        <v>181</v>
      </c>
      <c r="E330" s="154" t="s">
        <v>1709</v>
      </c>
      <c r="F330" s="155" t="s">
        <v>1710</v>
      </c>
      <c r="G330" s="156" t="s">
        <v>217</v>
      </c>
      <c r="H330" s="157">
        <v>18</v>
      </c>
      <c r="I330" s="158"/>
      <c r="J330" s="151">
        <v>0</v>
      </c>
      <c r="K330" s="160"/>
      <c r="L330" s="30"/>
      <c r="M330" s="161" t="s">
        <v>1</v>
      </c>
      <c r="N330" s="162" t="s">
        <v>35</v>
      </c>
      <c r="O330" s="58"/>
      <c r="P330" s="163">
        <f t="shared" si="90"/>
        <v>0</v>
      </c>
      <c r="Q330" s="163">
        <v>0</v>
      </c>
      <c r="R330" s="163">
        <f t="shared" si="91"/>
        <v>0</v>
      </c>
      <c r="S330" s="163">
        <v>0</v>
      </c>
      <c r="T330" s="164">
        <f t="shared" si="92"/>
        <v>0</v>
      </c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R330" s="165" t="s">
        <v>185</v>
      </c>
      <c r="AT330" s="165" t="s">
        <v>181</v>
      </c>
      <c r="AU330" s="165" t="s">
        <v>82</v>
      </c>
      <c r="AY330" s="14" t="s">
        <v>179</v>
      </c>
      <c r="BE330" s="166">
        <f t="shared" si="93"/>
        <v>0</v>
      </c>
      <c r="BF330" s="166">
        <f t="shared" si="94"/>
        <v>0</v>
      </c>
      <c r="BG330" s="166">
        <f t="shared" si="95"/>
        <v>0</v>
      </c>
      <c r="BH330" s="166">
        <f t="shared" si="96"/>
        <v>0</v>
      </c>
      <c r="BI330" s="166">
        <f t="shared" si="97"/>
        <v>0</v>
      </c>
      <c r="BJ330" s="14" t="s">
        <v>82</v>
      </c>
      <c r="BK330" s="166">
        <f t="shared" si="98"/>
        <v>0</v>
      </c>
      <c r="BL330" s="14" t="s">
        <v>185</v>
      </c>
      <c r="BM330" s="165" t="s">
        <v>871</v>
      </c>
    </row>
    <row r="331" spans="1:65" s="2" customFormat="1" ht="37.9" customHeight="1">
      <c r="A331" s="29"/>
      <c r="B331" s="152"/>
      <c r="C331" s="153" t="s">
        <v>799</v>
      </c>
      <c r="D331" s="153" t="s">
        <v>181</v>
      </c>
      <c r="E331" s="154" t="s">
        <v>1711</v>
      </c>
      <c r="F331" s="155" t="s">
        <v>1712</v>
      </c>
      <c r="G331" s="156" t="s">
        <v>217</v>
      </c>
      <c r="H331" s="157">
        <v>18</v>
      </c>
      <c r="I331" s="158"/>
      <c r="J331" s="151">
        <v>0</v>
      </c>
      <c r="K331" s="160"/>
      <c r="L331" s="30"/>
      <c r="M331" s="161" t="s">
        <v>1</v>
      </c>
      <c r="N331" s="162" t="s">
        <v>35</v>
      </c>
      <c r="O331" s="58"/>
      <c r="P331" s="163">
        <f t="shared" si="90"/>
        <v>0</v>
      </c>
      <c r="Q331" s="163">
        <v>0</v>
      </c>
      <c r="R331" s="163">
        <f t="shared" si="91"/>
        <v>0</v>
      </c>
      <c r="S331" s="163">
        <v>0</v>
      </c>
      <c r="T331" s="164">
        <f t="shared" si="92"/>
        <v>0</v>
      </c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R331" s="165" t="s">
        <v>185</v>
      </c>
      <c r="AT331" s="165" t="s">
        <v>181</v>
      </c>
      <c r="AU331" s="165" t="s">
        <v>82</v>
      </c>
      <c r="AY331" s="14" t="s">
        <v>179</v>
      </c>
      <c r="BE331" s="166">
        <f t="shared" si="93"/>
        <v>0</v>
      </c>
      <c r="BF331" s="166">
        <f t="shared" si="94"/>
        <v>0</v>
      </c>
      <c r="BG331" s="166">
        <f t="shared" si="95"/>
        <v>0</v>
      </c>
      <c r="BH331" s="166">
        <f t="shared" si="96"/>
        <v>0</v>
      </c>
      <c r="BI331" s="166">
        <f t="shared" si="97"/>
        <v>0</v>
      </c>
      <c r="BJ331" s="14" t="s">
        <v>82</v>
      </c>
      <c r="BK331" s="166">
        <f t="shared" si="98"/>
        <v>0</v>
      </c>
      <c r="BL331" s="14" t="s">
        <v>185</v>
      </c>
      <c r="BM331" s="165" t="s">
        <v>874</v>
      </c>
    </row>
    <row r="332" spans="1:65" s="2" customFormat="1" ht="16.5" customHeight="1">
      <c r="A332" s="29"/>
      <c r="B332" s="152"/>
      <c r="C332" s="153" t="s">
        <v>499</v>
      </c>
      <c r="D332" s="153" t="s">
        <v>181</v>
      </c>
      <c r="E332" s="154" t="s">
        <v>1713</v>
      </c>
      <c r="F332" s="155" t="s">
        <v>1714</v>
      </c>
      <c r="G332" s="156" t="s">
        <v>293</v>
      </c>
      <c r="H332" s="157">
        <v>470</v>
      </c>
      <c r="I332" s="158"/>
      <c r="J332" s="151">
        <v>0</v>
      </c>
      <c r="K332" s="160"/>
      <c r="L332" s="30"/>
      <c r="M332" s="161" t="s">
        <v>1</v>
      </c>
      <c r="N332" s="162" t="s">
        <v>35</v>
      </c>
      <c r="O332" s="58"/>
      <c r="P332" s="163">
        <f t="shared" si="90"/>
        <v>0</v>
      </c>
      <c r="Q332" s="163">
        <v>0</v>
      </c>
      <c r="R332" s="163">
        <f t="shared" si="91"/>
        <v>0</v>
      </c>
      <c r="S332" s="163">
        <v>0</v>
      </c>
      <c r="T332" s="164">
        <f t="shared" si="92"/>
        <v>0</v>
      </c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R332" s="165" t="s">
        <v>185</v>
      </c>
      <c r="AT332" s="165" t="s">
        <v>181</v>
      </c>
      <c r="AU332" s="165" t="s">
        <v>82</v>
      </c>
      <c r="AY332" s="14" t="s">
        <v>179</v>
      </c>
      <c r="BE332" s="166">
        <f t="shared" si="93"/>
        <v>0</v>
      </c>
      <c r="BF332" s="166">
        <f t="shared" si="94"/>
        <v>0</v>
      </c>
      <c r="BG332" s="166">
        <f t="shared" si="95"/>
        <v>0</v>
      </c>
      <c r="BH332" s="166">
        <f t="shared" si="96"/>
        <v>0</v>
      </c>
      <c r="BI332" s="166">
        <f t="shared" si="97"/>
        <v>0</v>
      </c>
      <c r="BJ332" s="14" t="s">
        <v>82</v>
      </c>
      <c r="BK332" s="166">
        <f t="shared" si="98"/>
        <v>0</v>
      </c>
      <c r="BL332" s="14" t="s">
        <v>185</v>
      </c>
      <c r="BM332" s="165" t="s">
        <v>878</v>
      </c>
    </row>
    <row r="333" spans="1:65" s="2" customFormat="1" ht="24.2" customHeight="1">
      <c r="A333" s="29"/>
      <c r="B333" s="152"/>
      <c r="C333" s="153" t="s">
        <v>806</v>
      </c>
      <c r="D333" s="153" t="s">
        <v>181</v>
      </c>
      <c r="E333" s="154" t="s">
        <v>1715</v>
      </c>
      <c r="F333" s="155" t="s">
        <v>1716</v>
      </c>
      <c r="G333" s="156" t="s">
        <v>217</v>
      </c>
      <c r="H333" s="157">
        <v>150</v>
      </c>
      <c r="I333" s="158"/>
      <c r="J333" s="151">
        <v>0</v>
      </c>
      <c r="K333" s="160"/>
      <c r="L333" s="30"/>
      <c r="M333" s="161" t="s">
        <v>1</v>
      </c>
      <c r="N333" s="162" t="s">
        <v>35</v>
      </c>
      <c r="O333" s="58"/>
      <c r="P333" s="163">
        <f t="shared" si="90"/>
        <v>0</v>
      </c>
      <c r="Q333" s="163">
        <v>0</v>
      </c>
      <c r="R333" s="163">
        <f t="shared" si="91"/>
        <v>0</v>
      </c>
      <c r="S333" s="163">
        <v>0</v>
      </c>
      <c r="T333" s="164">
        <f t="shared" si="92"/>
        <v>0</v>
      </c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R333" s="165" t="s">
        <v>185</v>
      </c>
      <c r="AT333" s="165" t="s">
        <v>181</v>
      </c>
      <c r="AU333" s="165" t="s">
        <v>82</v>
      </c>
      <c r="AY333" s="14" t="s">
        <v>179</v>
      </c>
      <c r="BE333" s="166">
        <f t="shared" si="93"/>
        <v>0</v>
      </c>
      <c r="BF333" s="166">
        <f t="shared" si="94"/>
        <v>0</v>
      </c>
      <c r="BG333" s="166">
        <f t="shared" si="95"/>
        <v>0</v>
      </c>
      <c r="BH333" s="166">
        <f t="shared" si="96"/>
        <v>0</v>
      </c>
      <c r="BI333" s="166">
        <f t="shared" si="97"/>
        <v>0</v>
      </c>
      <c r="BJ333" s="14" t="s">
        <v>82</v>
      </c>
      <c r="BK333" s="166">
        <f t="shared" si="98"/>
        <v>0</v>
      </c>
      <c r="BL333" s="14" t="s">
        <v>185</v>
      </c>
      <c r="BM333" s="165" t="s">
        <v>881</v>
      </c>
    </row>
    <row r="334" spans="1:65" s="2" customFormat="1" ht="37.9" customHeight="1">
      <c r="A334" s="29"/>
      <c r="B334" s="152"/>
      <c r="C334" s="153" t="s">
        <v>503</v>
      </c>
      <c r="D334" s="153" t="s">
        <v>181</v>
      </c>
      <c r="E334" s="154" t="s">
        <v>1717</v>
      </c>
      <c r="F334" s="155" t="s">
        <v>1718</v>
      </c>
      <c r="G334" s="156" t="s">
        <v>217</v>
      </c>
      <c r="H334" s="157">
        <v>165</v>
      </c>
      <c r="I334" s="158"/>
      <c r="J334" s="151">
        <v>0</v>
      </c>
      <c r="K334" s="160"/>
      <c r="L334" s="30"/>
      <c r="M334" s="161" t="s">
        <v>1</v>
      </c>
      <c r="N334" s="162" t="s">
        <v>35</v>
      </c>
      <c r="O334" s="58"/>
      <c r="P334" s="163">
        <f t="shared" si="90"/>
        <v>0</v>
      </c>
      <c r="Q334" s="163">
        <v>0</v>
      </c>
      <c r="R334" s="163">
        <f t="shared" si="91"/>
        <v>0</v>
      </c>
      <c r="S334" s="163">
        <v>0</v>
      </c>
      <c r="T334" s="164">
        <f t="shared" si="92"/>
        <v>0</v>
      </c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R334" s="165" t="s">
        <v>185</v>
      </c>
      <c r="AT334" s="165" t="s">
        <v>181</v>
      </c>
      <c r="AU334" s="165" t="s">
        <v>82</v>
      </c>
      <c r="AY334" s="14" t="s">
        <v>179</v>
      </c>
      <c r="BE334" s="166">
        <f t="shared" si="93"/>
        <v>0</v>
      </c>
      <c r="BF334" s="166">
        <f t="shared" si="94"/>
        <v>0</v>
      </c>
      <c r="BG334" s="166">
        <f t="shared" si="95"/>
        <v>0</v>
      </c>
      <c r="BH334" s="166">
        <f t="shared" si="96"/>
        <v>0</v>
      </c>
      <c r="BI334" s="166">
        <f t="shared" si="97"/>
        <v>0</v>
      </c>
      <c r="BJ334" s="14" t="s">
        <v>82</v>
      </c>
      <c r="BK334" s="166">
        <f t="shared" si="98"/>
        <v>0</v>
      </c>
      <c r="BL334" s="14" t="s">
        <v>185</v>
      </c>
      <c r="BM334" s="165" t="s">
        <v>885</v>
      </c>
    </row>
    <row r="335" spans="1:65" s="2" customFormat="1" ht="37.9" customHeight="1">
      <c r="A335" s="29"/>
      <c r="B335" s="152"/>
      <c r="C335" s="153" t="s">
        <v>812</v>
      </c>
      <c r="D335" s="153" t="s">
        <v>181</v>
      </c>
      <c r="E335" s="154" t="s">
        <v>1719</v>
      </c>
      <c r="F335" s="155" t="s">
        <v>1720</v>
      </c>
      <c r="G335" s="156" t="s">
        <v>217</v>
      </c>
      <c r="H335" s="157">
        <v>110</v>
      </c>
      <c r="I335" s="158"/>
      <c r="J335" s="151">
        <v>0</v>
      </c>
      <c r="K335" s="160"/>
      <c r="L335" s="30"/>
      <c r="M335" s="161" t="s">
        <v>1</v>
      </c>
      <c r="N335" s="162" t="s">
        <v>35</v>
      </c>
      <c r="O335" s="58"/>
      <c r="P335" s="163">
        <f t="shared" si="90"/>
        <v>0</v>
      </c>
      <c r="Q335" s="163">
        <v>0</v>
      </c>
      <c r="R335" s="163">
        <f t="shared" si="91"/>
        <v>0</v>
      </c>
      <c r="S335" s="163">
        <v>0</v>
      </c>
      <c r="T335" s="164">
        <f t="shared" si="92"/>
        <v>0</v>
      </c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R335" s="165" t="s">
        <v>185</v>
      </c>
      <c r="AT335" s="165" t="s">
        <v>181</v>
      </c>
      <c r="AU335" s="165" t="s">
        <v>82</v>
      </c>
      <c r="AY335" s="14" t="s">
        <v>179</v>
      </c>
      <c r="BE335" s="166">
        <f t="shared" si="93"/>
        <v>0</v>
      </c>
      <c r="BF335" s="166">
        <f t="shared" si="94"/>
        <v>0</v>
      </c>
      <c r="BG335" s="166">
        <f t="shared" si="95"/>
        <v>0</v>
      </c>
      <c r="BH335" s="166">
        <f t="shared" si="96"/>
        <v>0</v>
      </c>
      <c r="BI335" s="166">
        <f t="shared" si="97"/>
        <v>0</v>
      </c>
      <c r="BJ335" s="14" t="s">
        <v>82</v>
      </c>
      <c r="BK335" s="166">
        <f t="shared" si="98"/>
        <v>0</v>
      </c>
      <c r="BL335" s="14" t="s">
        <v>185</v>
      </c>
      <c r="BM335" s="165" t="s">
        <v>890</v>
      </c>
    </row>
    <row r="336" spans="1:65" s="12" customFormat="1" ht="22.9" customHeight="1">
      <c r="B336" s="139"/>
      <c r="D336" s="140" t="s">
        <v>68</v>
      </c>
      <c r="E336" s="150" t="s">
        <v>1721</v>
      </c>
      <c r="F336" s="150" t="s">
        <v>1722</v>
      </c>
      <c r="I336" s="142"/>
      <c r="J336" s="151">
        <v>0</v>
      </c>
      <c r="L336" s="139"/>
      <c r="M336" s="144"/>
      <c r="N336" s="145"/>
      <c r="O336" s="145"/>
      <c r="P336" s="146">
        <f>SUM(P337:P340)</f>
        <v>0</v>
      </c>
      <c r="Q336" s="145"/>
      <c r="R336" s="146">
        <f>SUM(R337:R340)</f>
        <v>0</v>
      </c>
      <c r="S336" s="145"/>
      <c r="T336" s="147">
        <f>SUM(T337:T340)</f>
        <v>0</v>
      </c>
      <c r="AR336" s="140" t="s">
        <v>76</v>
      </c>
      <c r="AT336" s="148" t="s">
        <v>68</v>
      </c>
      <c r="AU336" s="148" t="s">
        <v>76</v>
      </c>
      <c r="AY336" s="140" t="s">
        <v>179</v>
      </c>
      <c r="BK336" s="149">
        <f>SUM(BK337:BK340)</f>
        <v>0</v>
      </c>
    </row>
    <row r="337" spans="1:65" s="2" customFormat="1" ht="37.9" customHeight="1">
      <c r="A337" s="29"/>
      <c r="B337" s="152"/>
      <c r="C337" s="153" t="s">
        <v>506</v>
      </c>
      <c r="D337" s="153" t="s">
        <v>181</v>
      </c>
      <c r="E337" s="154" t="s">
        <v>1723</v>
      </c>
      <c r="F337" s="155" t="s">
        <v>1724</v>
      </c>
      <c r="G337" s="156" t="s">
        <v>217</v>
      </c>
      <c r="H337" s="157">
        <v>8</v>
      </c>
      <c r="I337" s="158"/>
      <c r="J337" s="151">
        <v>0</v>
      </c>
      <c r="K337" s="160"/>
      <c r="L337" s="30"/>
      <c r="M337" s="161" t="s">
        <v>1</v>
      </c>
      <c r="N337" s="162" t="s">
        <v>35</v>
      </c>
      <c r="O337" s="58"/>
      <c r="P337" s="163">
        <f>O337*H337</f>
        <v>0</v>
      </c>
      <c r="Q337" s="163">
        <v>0</v>
      </c>
      <c r="R337" s="163">
        <f>Q337*H337</f>
        <v>0</v>
      </c>
      <c r="S337" s="163">
        <v>0</v>
      </c>
      <c r="T337" s="164">
        <f>S337*H337</f>
        <v>0</v>
      </c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R337" s="165" t="s">
        <v>185</v>
      </c>
      <c r="AT337" s="165" t="s">
        <v>181</v>
      </c>
      <c r="AU337" s="165" t="s">
        <v>82</v>
      </c>
      <c r="AY337" s="14" t="s">
        <v>179</v>
      </c>
      <c r="BE337" s="166">
        <f>IF(N337="základná",J337,0)</f>
        <v>0</v>
      </c>
      <c r="BF337" s="166">
        <f>IF(N337="znížená",J337,0)</f>
        <v>0</v>
      </c>
      <c r="BG337" s="166">
        <f>IF(N337="zákl. prenesená",J337,0)</f>
        <v>0</v>
      </c>
      <c r="BH337" s="166">
        <f>IF(N337="zníž. prenesená",J337,0)</f>
        <v>0</v>
      </c>
      <c r="BI337" s="166">
        <f>IF(N337="nulová",J337,0)</f>
        <v>0</v>
      </c>
      <c r="BJ337" s="14" t="s">
        <v>82</v>
      </c>
      <c r="BK337" s="166">
        <f>ROUND(I337*H337,2)</f>
        <v>0</v>
      </c>
      <c r="BL337" s="14" t="s">
        <v>185</v>
      </c>
      <c r="BM337" s="165" t="s">
        <v>894</v>
      </c>
    </row>
    <row r="338" spans="1:65" s="2" customFormat="1" ht="16.5" customHeight="1">
      <c r="A338" s="29"/>
      <c r="B338" s="152"/>
      <c r="C338" s="153" t="s">
        <v>819</v>
      </c>
      <c r="D338" s="153" t="s">
        <v>181</v>
      </c>
      <c r="E338" s="154" t="s">
        <v>1725</v>
      </c>
      <c r="F338" s="155" t="s">
        <v>1726</v>
      </c>
      <c r="G338" s="156" t="s">
        <v>217</v>
      </c>
      <c r="H338" s="157">
        <v>8</v>
      </c>
      <c r="I338" s="158"/>
      <c r="J338" s="151">
        <v>0</v>
      </c>
      <c r="K338" s="160"/>
      <c r="L338" s="30"/>
      <c r="M338" s="161" t="s">
        <v>1</v>
      </c>
      <c r="N338" s="162" t="s">
        <v>35</v>
      </c>
      <c r="O338" s="58"/>
      <c r="P338" s="163">
        <f>O338*H338</f>
        <v>0</v>
      </c>
      <c r="Q338" s="163">
        <v>0</v>
      </c>
      <c r="R338" s="163">
        <f>Q338*H338</f>
        <v>0</v>
      </c>
      <c r="S338" s="163">
        <v>0</v>
      </c>
      <c r="T338" s="164">
        <f>S338*H338</f>
        <v>0</v>
      </c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R338" s="165" t="s">
        <v>185</v>
      </c>
      <c r="AT338" s="165" t="s">
        <v>181</v>
      </c>
      <c r="AU338" s="165" t="s">
        <v>82</v>
      </c>
      <c r="AY338" s="14" t="s">
        <v>179</v>
      </c>
      <c r="BE338" s="166">
        <f>IF(N338="základná",J338,0)</f>
        <v>0</v>
      </c>
      <c r="BF338" s="166">
        <f>IF(N338="znížená",J338,0)</f>
        <v>0</v>
      </c>
      <c r="BG338" s="166">
        <f>IF(N338="zákl. prenesená",J338,0)</f>
        <v>0</v>
      </c>
      <c r="BH338" s="166">
        <f>IF(N338="zníž. prenesená",J338,0)</f>
        <v>0</v>
      </c>
      <c r="BI338" s="166">
        <f>IF(N338="nulová",J338,0)</f>
        <v>0</v>
      </c>
      <c r="BJ338" s="14" t="s">
        <v>82</v>
      </c>
      <c r="BK338" s="166">
        <f>ROUND(I338*H338,2)</f>
        <v>0</v>
      </c>
      <c r="BL338" s="14" t="s">
        <v>185</v>
      </c>
      <c r="BM338" s="165" t="s">
        <v>899</v>
      </c>
    </row>
    <row r="339" spans="1:65" s="2" customFormat="1" ht="16.5" customHeight="1">
      <c r="A339" s="29"/>
      <c r="B339" s="152"/>
      <c r="C339" s="153" t="s">
        <v>510</v>
      </c>
      <c r="D339" s="153" t="s">
        <v>181</v>
      </c>
      <c r="E339" s="154" t="s">
        <v>1727</v>
      </c>
      <c r="F339" s="155" t="s">
        <v>1728</v>
      </c>
      <c r="G339" s="156" t="s">
        <v>217</v>
      </c>
      <c r="H339" s="157">
        <v>8</v>
      </c>
      <c r="I339" s="158"/>
      <c r="J339" s="151">
        <v>0</v>
      </c>
      <c r="K339" s="160"/>
      <c r="L339" s="30"/>
      <c r="M339" s="161" t="s">
        <v>1</v>
      </c>
      <c r="N339" s="162" t="s">
        <v>35</v>
      </c>
      <c r="O339" s="58"/>
      <c r="P339" s="163">
        <f>O339*H339</f>
        <v>0</v>
      </c>
      <c r="Q339" s="163">
        <v>0</v>
      </c>
      <c r="R339" s="163">
        <f>Q339*H339</f>
        <v>0</v>
      </c>
      <c r="S339" s="163">
        <v>0</v>
      </c>
      <c r="T339" s="164">
        <f>S339*H339</f>
        <v>0</v>
      </c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R339" s="165" t="s">
        <v>185</v>
      </c>
      <c r="AT339" s="165" t="s">
        <v>181</v>
      </c>
      <c r="AU339" s="165" t="s">
        <v>82</v>
      </c>
      <c r="AY339" s="14" t="s">
        <v>179</v>
      </c>
      <c r="BE339" s="166">
        <f>IF(N339="základná",J339,0)</f>
        <v>0</v>
      </c>
      <c r="BF339" s="166">
        <f>IF(N339="znížená",J339,0)</f>
        <v>0</v>
      </c>
      <c r="BG339" s="166">
        <f>IF(N339="zákl. prenesená",J339,0)</f>
        <v>0</v>
      </c>
      <c r="BH339" s="166">
        <f>IF(N339="zníž. prenesená",J339,0)</f>
        <v>0</v>
      </c>
      <c r="BI339" s="166">
        <f>IF(N339="nulová",J339,0)</f>
        <v>0</v>
      </c>
      <c r="BJ339" s="14" t="s">
        <v>82</v>
      </c>
      <c r="BK339" s="166">
        <f>ROUND(I339*H339,2)</f>
        <v>0</v>
      </c>
      <c r="BL339" s="14" t="s">
        <v>185</v>
      </c>
      <c r="BM339" s="165" t="s">
        <v>903</v>
      </c>
    </row>
    <row r="340" spans="1:65" s="2" customFormat="1" ht="16.5" customHeight="1">
      <c r="A340" s="29"/>
      <c r="B340" s="152"/>
      <c r="C340" s="153" t="s">
        <v>826</v>
      </c>
      <c r="D340" s="153" t="s">
        <v>181</v>
      </c>
      <c r="E340" s="154" t="s">
        <v>1729</v>
      </c>
      <c r="F340" s="155" t="s">
        <v>1730</v>
      </c>
      <c r="G340" s="156" t="s">
        <v>217</v>
      </c>
      <c r="H340" s="157">
        <v>8</v>
      </c>
      <c r="I340" s="158"/>
      <c r="J340" s="151">
        <v>0</v>
      </c>
      <c r="K340" s="160"/>
      <c r="L340" s="30"/>
      <c r="M340" s="161" t="s">
        <v>1</v>
      </c>
      <c r="N340" s="162" t="s">
        <v>35</v>
      </c>
      <c r="O340" s="58"/>
      <c r="P340" s="163">
        <f>O340*H340</f>
        <v>0</v>
      </c>
      <c r="Q340" s="163">
        <v>0</v>
      </c>
      <c r="R340" s="163">
        <f>Q340*H340</f>
        <v>0</v>
      </c>
      <c r="S340" s="163">
        <v>0</v>
      </c>
      <c r="T340" s="164">
        <f>S340*H340</f>
        <v>0</v>
      </c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R340" s="165" t="s">
        <v>185</v>
      </c>
      <c r="AT340" s="165" t="s">
        <v>181</v>
      </c>
      <c r="AU340" s="165" t="s">
        <v>82</v>
      </c>
      <c r="AY340" s="14" t="s">
        <v>179</v>
      </c>
      <c r="BE340" s="166">
        <f>IF(N340="základná",J340,0)</f>
        <v>0</v>
      </c>
      <c r="BF340" s="166">
        <f>IF(N340="znížená",J340,0)</f>
        <v>0</v>
      </c>
      <c r="BG340" s="166">
        <f>IF(N340="zákl. prenesená",J340,0)</f>
        <v>0</v>
      </c>
      <c r="BH340" s="166">
        <f>IF(N340="zníž. prenesená",J340,0)</f>
        <v>0</v>
      </c>
      <c r="BI340" s="166">
        <f>IF(N340="nulová",J340,0)</f>
        <v>0</v>
      </c>
      <c r="BJ340" s="14" t="s">
        <v>82</v>
      </c>
      <c r="BK340" s="166">
        <f>ROUND(I340*H340,2)</f>
        <v>0</v>
      </c>
      <c r="BL340" s="14" t="s">
        <v>185</v>
      </c>
      <c r="BM340" s="165" t="s">
        <v>906</v>
      </c>
    </row>
    <row r="341" spans="1:65" s="12" customFormat="1" ht="22.9" customHeight="1">
      <c r="B341" s="139"/>
      <c r="D341" s="140" t="s">
        <v>68</v>
      </c>
      <c r="E341" s="150" t="s">
        <v>1731</v>
      </c>
      <c r="F341" s="150" t="s">
        <v>1732</v>
      </c>
      <c r="I341" s="142"/>
      <c r="J341" s="151">
        <v>0</v>
      </c>
      <c r="L341" s="139"/>
      <c r="M341" s="144"/>
      <c r="N341" s="145"/>
      <c r="O341" s="145"/>
      <c r="P341" s="146">
        <f>SUM(P342:P345)</f>
        <v>0</v>
      </c>
      <c r="Q341" s="145"/>
      <c r="R341" s="146">
        <f>SUM(R342:R345)</f>
        <v>0</v>
      </c>
      <c r="S341" s="145"/>
      <c r="T341" s="147">
        <f>SUM(T342:T345)</f>
        <v>0</v>
      </c>
      <c r="AR341" s="140" t="s">
        <v>76</v>
      </c>
      <c r="AT341" s="148" t="s">
        <v>68</v>
      </c>
      <c r="AU341" s="148" t="s">
        <v>76</v>
      </c>
      <c r="AY341" s="140" t="s">
        <v>179</v>
      </c>
      <c r="BK341" s="149">
        <f>SUM(BK342:BK345)</f>
        <v>0</v>
      </c>
    </row>
    <row r="342" spans="1:65" s="2" customFormat="1" ht="37.9" customHeight="1">
      <c r="A342" s="29"/>
      <c r="B342" s="152"/>
      <c r="C342" s="153" t="s">
        <v>517</v>
      </c>
      <c r="D342" s="153" t="s">
        <v>181</v>
      </c>
      <c r="E342" s="154" t="s">
        <v>1733</v>
      </c>
      <c r="F342" s="155" t="s">
        <v>1734</v>
      </c>
      <c r="G342" s="156" t="s">
        <v>217</v>
      </c>
      <c r="H342" s="157">
        <v>1</v>
      </c>
      <c r="I342" s="158"/>
      <c r="J342" s="151">
        <v>0</v>
      </c>
      <c r="K342" s="160"/>
      <c r="L342" s="30"/>
      <c r="M342" s="161" t="s">
        <v>1</v>
      </c>
      <c r="N342" s="162" t="s">
        <v>35</v>
      </c>
      <c r="O342" s="58"/>
      <c r="P342" s="163">
        <f>O342*H342</f>
        <v>0</v>
      </c>
      <c r="Q342" s="163">
        <v>0</v>
      </c>
      <c r="R342" s="163">
        <f>Q342*H342</f>
        <v>0</v>
      </c>
      <c r="S342" s="163">
        <v>0</v>
      </c>
      <c r="T342" s="164">
        <f>S342*H342</f>
        <v>0</v>
      </c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R342" s="165" t="s">
        <v>185</v>
      </c>
      <c r="AT342" s="165" t="s">
        <v>181</v>
      </c>
      <c r="AU342" s="165" t="s">
        <v>82</v>
      </c>
      <c r="AY342" s="14" t="s">
        <v>179</v>
      </c>
      <c r="BE342" s="166">
        <f>IF(N342="základná",J342,0)</f>
        <v>0</v>
      </c>
      <c r="BF342" s="166">
        <f>IF(N342="znížená",J342,0)</f>
        <v>0</v>
      </c>
      <c r="BG342" s="166">
        <f>IF(N342="zákl. prenesená",J342,0)</f>
        <v>0</v>
      </c>
      <c r="BH342" s="166">
        <f>IF(N342="zníž. prenesená",J342,0)</f>
        <v>0</v>
      </c>
      <c r="BI342" s="166">
        <f>IF(N342="nulová",J342,0)</f>
        <v>0</v>
      </c>
      <c r="BJ342" s="14" t="s">
        <v>82</v>
      </c>
      <c r="BK342" s="166">
        <f>ROUND(I342*H342,2)</f>
        <v>0</v>
      </c>
      <c r="BL342" s="14" t="s">
        <v>185</v>
      </c>
      <c r="BM342" s="165" t="s">
        <v>910</v>
      </c>
    </row>
    <row r="343" spans="1:65" s="2" customFormat="1" ht="16.5" customHeight="1">
      <c r="A343" s="29"/>
      <c r="B343" s="152"/>
      <c r="C343" s="153" t="s">
        <v>833</v>
      </c>
      <c r="D343" s="153" t="s">
        <v>181</v>
      </c>
      <c r="E343" s="154" t="s">
        <v>1735</v>
      </c>
      <c r="F343" s="155" t="s">
        <v>1726</v>
      </c>
      <c r="G343" s="156" t="s">
        <v>217</v>
      </c>
      <c r="H343" s="157">
        <v>1</v>
      </c>
      <c r="I343" s="158"/>
      <c r="J343" s="151">
        <v>0</v>
      </c>
      <c r="K343" s="160"/>
      <c r="L343" s="30"/>
      <c r="M343" s="161" t="s">
        <v>1</v>
      </c>
      <c r="N343" s="162" t="s">
        <v>35</v>
      </c>
      <c r="O343" s="58"/>
      <c r="P343" s="163">
        <f>O343*H343</f>
        <v>0</v>
      </c>
      <c r="Q343" s="163">
        <v>0</v>
      </c>
      <c r="R343" s="163">
        <f>Q343*H343</f>
        <v>0</v>
      </c>
      <c r="S343" s="163">
        <v>0</v>
      </c>
      <c r="T343" s="164">
        <f>S343*H343</f>
        <v>0</v>
      </c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R343" s="165" t="s">
        <v>185</v>
      </c>
      <c r="AT343" s="165" t="s">
        <v>181</v>
      </c>
      <c r="AU343" s="165" t="s">
        <v>82</v>
      </c>
      <c r="AY343" s="14" t="s">
        <v>179</v>
      </c>
      <c r="BE343" s="166">
        <f>IF(N343="základná",J343,0)</f>
        <v>0</v>
      </c>
      <c r="BF343" s="166">
        <f>IF(N343="znížená",J343,0)</f>
        <v>0</v>
      </c>
      <c r="BG343" s="166">
        <f>IF(N343="zákl. prenesená",J343,0)</f>
        <v>0</v>
      </c>
      <c r="BH343" s="166">
        <f>IF(N343="zníž. prenesená",J343,0)</f>
        <v>0</v>
      </c>
      <c r="BI343" s="166">
        <f>IF(N343="nulová",J343,0)</f>
        <v>0</v>
      </c>
      <c r="BJ343" s="14" t="s">
        <v>82</v>
      </c>
      <c r="BK343" s="166">
        <f>ROUND(I343*H343,2)</f>
        <v>0</v>
      </c>
      <c r="BL343" s="14" t="s">
        <v>185</v>
      </c>
      <c r="BM343" s="165" t="s">
        <v>915</v>
      </c>
    </row>
    <row r="344" spans="1:65" s="2" customFormat="1" ht="16.5" customHeight="1">
      <c r="A344" s="29"/>
      <c r="B344" s="152"/>
      <c r="C344" s="153" t="s">
        <v>520</v>
      </c>
      <c r="D344" s="153" t="s">
        <v>181</v>
      </c>
      <c r="E344" s="154" t="s">
        <v>1736</v>
      </c>
      <c r="F344" s="155" t="s">
        <v>1728</v>
      </c>
      <c r="G344" s="156" t="s">
        <v>217</v>
      </c>
      <c r="H344" s="157">
        <v>1</v>
      </c>
      <c r="I344" s="158"/>
      <c r="J344" s="151">
        <v>0</v>
      </c>
      <c r="K344" s="160"/>
      <c r="L344" s="30"/>
      <c r="M344" s="161" t="s">
        <v>1</v>
      </c>
      <c r="N344" s="162" t="s">
        <v>35</v>
      </c>
      <c r="O344" s="58"/>
      <c r="P344" s="163">
        <f>O344*H344</f>
        <v>0</v>
      </c>
      <c r="Q344" s="163">
        <v>0</v>
      </c>
      <c r="R344" s="163">
        <f>Q344*H344</f>
        <v>0</v>
      </c>
      <c r="S344" s="163">
        <v>0</v>
      </c>
      <c r="T344" s="164">
        <f>S344*H344</f>
        <v>0</v>
      </c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R344" s="165" t="s">
        <v>185</v>
      </c>
      <c r="AT344" s="165" t="s">
        <v>181</v>
      </c>
      <c r="AU344" s="165" t="s">
        <v>82</v>
      </c>
      <c r="AY344" s="14" t="s">
        <v>179</v>
      </c>
      <c r="BE344" s="166">
        <f>IF(N344="základná",J344,0)</f>
        <v>0</v>
      </c>
      <c r="BF344" s="166">
        <f>IF(N344="znížená",J344,0)</f>
        <v>0</v>
      </c>
      <c r="BG344" s="166">
        <f>IF(N344="zákl. prenesená",J344,0)</f>
        <v>0</v>
      </c>
      <c r="BH344" s="166">
        <f>IF(N344="zníž. prenesená",J344,0)</f>
        <v>0</v>
      </c>
      <c r="BI344" s="166">
        <f>IF(N344="nulová",J344,0)</f>
        <v>0</v>
      </c>
      <c r="BJ344" s="14" t="s">
        <v>82</v>
      </c>
      <c r="BK344" s="166">
        <f>ROUND(I344*H344,2)</f>
        <v>0</v>
      </c>
      <c r="BL344" s="14" t="s">
        <v>185</v>
      </c>
      <c r="BM344" s="165" t="s">
        <v>919</v>
      </c>
    </row>
    <row r="345" spans="1:65" s="2" customFormat="1" ht="16.5" customHeight="1">
      <c r="A345" s="29"/>
      <c r="B345" s="152"/>
      <c r="C345" s="153" t="s">
        <v>840</v>
      </c>
      <c r="D345" s="153" t="s">
        <v>181</v>
      </c>
      <c r="E345" s="154" t="s">
        <v>1737</v>
      </c>
      <c r="F345" s="155" t="s">
        <v>1730</v>
      </c>
      <c r="G345" s="156" t="s">
        <v>217</v>
      </c>
      <c r="H345" s="157">
        <v>1</v>
      </c>
      <c r="I345" s="158"/>
      <c r="J345" s="151">
        <v>0</v>
      </c>
      <c r="K345" s="160"/>
      <c r="L345" s="30"/>
      <c r="M345" s="161" t="s">
        <v>1</v>
      </c>
      <c r="N345" s="162" t="s">
        <v>35</v>
      </c>
      <c r="O345" s="58"/>
      <c r="P345" s="163">
        <f>O345*H345</f>
        <v>0</v>
      </c>
      <c r="Q345" s="163">
        <v>0</v>
      </c>
      <c r="R345" s="163">
        <f>Q345*H345</f>
        <v>0</v>
      </c>
      <c r="S345" s="163">
        <v>0</v>
      </c>
      <c r="T345" s="164">
        <f>S345*H345</f>
        <v>0</v>
      </c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R345" s="165" t="s">
        <v>185</v>
      </c>
      <c r="AT345" s="165" t="s">
        <v>181</v>
      </c>
      <c r="AU345" s="165" t="s">
        <v>82</v>
      </c>
      <c r="AY345" s="14" t="s">
        <v>179</v>
      </c>
      <c r="BE345" s="166">
        <f>IF(N345="základná",J345,0)</f>
        <v>0</v>
      </c>
      <c r="BF345" s="166">
        <f>IF(N345="znížená",J345,0)</f>
        <v>0</v>
      </c>
      <c r="BG345" s="166">
        <f>IF(N345="zákl. prenesená",J345,0)</f>
        <v>0</v>
      </c>
      <c r="BH345" s="166">
        <f>IF(N345="zníž. prenesená",J345,0)</f>
        <v>0</v>
      </c>
      <c r="BI345" s="166">
        <f>IF(N345="nulová",J345,0)</f>
        <v>0</v>
      </c>
      <c r="BJ345" s="14" t="s">
        <v>82</v>
      </c>
      <c r="BK345" s="166">
        <f>ROUND(I345*H345,2)</f>
        <v>0</v>
      </c>
      <c r="BL345" s="14" t="s">
        <v>185</v>
      </c>
      <c r="BM345" s="165" t="s">
        <v>922</v>
      </c>
    </row>
    <row r="346" spans="1:65" s="12" customFormat="1" ht="22.9" customHeight="1">
      <c r="B346" s="139"/>
      <c r="D346" s="140" t="s">
        <v>68</v>
      </c>
      <c r="E346" s="150" t="s">
        <v>1738</v>
      </c>
      <c r="F346" s="150" t="s">
        <v>1739</v>
      </c>
      <c r="I346" s="142"/>
      <c r="J346" s="151">
        <v>0</v>
      </c>
      <c r="L346" s="139"/>
      <c r="M346" s="144"/>
      <c r="N346" s="145"/>
      <c r="O346" s="145"/>
      <c r="P346" s="146">
        <f>SUM(P347:P351)</f>
        <v>0</v>
      </c>
      <c r="Q346" s="145"/>
      <c r="R346" s="146">
        <f>SUM(R347:R351)</f>
        <v>0</v>
      </c>
      <c r="S346" s="145"/>
      <c r="T346" s="147">
        <f>SUM(T347:T351)</f>
        <v>0</v>
      </c>
      <c r="AR346" s="140" t="s">
        <v>76</v>
      </c>
      <c r="AT346" s="148" t="s">
        <v>68</v>
      </c>
      <c r="AU346" s="148" t="s">
        <v>76</v>
      </c>
      <c r="AY346" s="140" t="s">
        <v>179</v>
      </c>
      <c r="BK346" s="149">
        <f>SUM(BK347:BK351)</f>
        <v>0</v>
      </c>
    </row>
    <row r="347" spans="1:65" s="2" customFormat="1" ht="24.2" customHeight="1">
      <c r="A347" s="29"/>
      <c r="B347" s="152"/>
      <c r="C347" s="153" t="s">
        <v>524</v>
      </c>
      <c r="D347" s="153" t="s">
        <v>181</v>
      </c>
      <c r="E347" s="154" t="s">
        <v>1740</v>
      </c>
      <c r="F347" s="155" t="s">
        <v>1741</v>
      </c>
      <c r="G347" s="156" t="s">
        <v>217</v>
      </c>
      <c r="H347" s="157">
        <v>5</v>
      </c>
      <c r="I347" s="158"/>
      <c r="J347" s="151">
        <v>0</v>
      </c>
      <c r="K347" s="160"/>
      <c r="L347" s="30"/>
      <c r="M347" s="161" t="s">
        <v>1</v>
      </c>
      <c r="N347" s="162" t="s">
        <v>35</v>
      </c>
      <c r="O347" s="58"/>
      <c r="P347" s="163">
        <f>O347*H347</f>
        <v>0</v>
      </c>
      <c r="Q347" s="163">
        <v>0</v>
      </c>
      <c r="R347" s="163">
        <f>Q347*H347</f>
        <v>0</v>
      </c>
      <c r="S347" s="163">
        <v>0</v>
      </c>
      <c r="T347" s="164">
        <f>S347*H347</f>
        <v>0</v>
      </c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R347" s="165" t="s">
        <v>185</v>
      </c>
      <c r="AT347" s="165" t="s">
        <v>181</v>
      </c>
      <c r="AU347" s="165" t="s">
        <v>82</v>
      </c>
      <c r="AY347" s="14" t="s">
        <v>179</v>
      </c>
      <c r="BE347" s="166">
        <f>IF(N347="základná",J347,0)</f>
        <v>0</v>
      </c>
      <c r="BF347" s="166">
        <f>IF(N347="znížená",J347,0)</f>
        <v>0</v>
      </c>
      <c r="BG347" s="166">
        <f>IF(N347="zákl. prenesená",J347,0)</f>
        <v>0</v>
      </c>
      <c r="BH347" s="166">
        <f>IF(N347="zníž. prenesená",J347,0)</f>
        <v>0</v>
      </c>
      <c r="BI347" s="166">
        <f>IF(N347="nulová",J347,0)</f>
        <v>0</v>
      </c>
      <c r="BJ347" s="14" t="s">
        <v>82</v>
      </c>
      <c r="BK347" s="166">
        <f>ROUND(I347*H347,2)</f>
        <v>0</v>
      </c>
      <c r="BL347" s="14" t="s">
        <v>185</v>
      </c>
      <c r="BM347" s="165" t="s">
        <v>928</v>
      </c>
    </row>
    <row r="348" spans="1:65" s="2" customFormat="1" ht="16.5" customHeight="1">
      <c r="A348" s="29"/>
      <c r="B348" s="152"/>
      <c r="C348" s="153" t="s">
        <v>847</v>
      </c>
      <c r="D348" s="153" t="s">
        <v>181</v>
      </c>
      <c r="E348" s="154" t="s">
        <v>1742</v>
      </c>
      <c r="F348" s="155" t="s">
        <v>1728</v>
      </c>
      <c r="G348" s="156" t="s">
        <v>217</v>
      </c>
      <c r="H348" s="157">
        <v>45</v>
      </c>
      <c r="I348" s="158"/>
      <c r="J348" s="151">
        <v>0</v>
      </c>
      <c r="K348" s="160"/>
      <c r="L348" s="30"/>
      <c r="M348" s="161" t="s">
        <v>1</v>
      </c>
      <c r="N348" s="162" t="s">
        <v>35</v>
      </c>
      <c r="O348" s="58"/>
      <c r="P348" s="163">
        <f>O348*H348</f>
        <v>0</v>
      </c>
      <c r="Q348" s="163">
        <v>0</v>
      </c>
      <c r="R348" s="163">
        <f>Q348*H348</f>
        <v>0</v>
      </c>
      <c r="S348" s="163">
        <v>0</v>
      </c>
      <c r="T348" s="164">
        <f>S348*H348</f>
        <v>0</v>
      </c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R348" s="165" t="s">
        <v>185</v>
      </c>
      <c r="AT348" s="165" t="s">
        <v>181</v>
      </c>
      <c r="AU348" s="165" t="s">
        <v>82</v>
      </c>
      <c r="AY348" s="14" t="s">
        <v>179</v>
      </c>
      <c r="BE348" s="166">
        <f>IF(N348="základná",J348,0)</f>
        <v>0</v>
      </c>
      <c r="BF348" s="166">
        <f>IF(N348="znížená",J348,0)</f>
        <v>0</v>
      </c>
      <c r="BG348" s="166">
        <f>IF(N348="zákl. prenesená",J348,0)</f>
        <v>0</v>
      </c>
      <c r="BH348" s="166">
        <f>IF(N348="zníž. prenesená",J348,0)</f>
        <v>0</v>
      </c>
      <c r="BI348" s="166">
        <f>IF(N348="nulová",J348,0)</f>
        <v>0</v>
      </c>
      <c r="BJ348" s="14" t="s">
        <v>82</v>
      </c>
      <c r="BK348" s="166">
        <f>ROUND(I348*H348,2)</f>
        <v>0</v>
      </c>
      <c r="BL348" s="14" t="s">
        <v>185</v>
      </c>
      <c r="BM348" s="165" t="s">
        <v>931</v>
      </c>
    </row>
    <row r="349" spans="1:65" s="2" customFormat="1" ht="16.5" customHeight="1">
      <c r="A349" s="29"/>
      <c r="B349" s="152"/>
      <c r="C349" s="153" t="s">
        <v>527</v>
      </c>
      <c r="D349" s="153" t="s">
        <v>181</v>
      </c>
      <c r="E349" s="154" t="s">
        <v>1743</v>
      </c>
      <c r="F349" s="155" t="s">
        <v>1730</v>
      </c>
      <c r="G349" s="156" t="s">
        <v>217</v>
      </c>
      <c r="H349" s="157">
        <v>9</v>
      </c>
      <c r="I349" s="158"/>
      <c r="J349" s="151">
        <v>0</v>
      </c>
      <c r="K349" s="160"/>
      <c r="L349" s="30"/>
      <c r="M349" s="161" t="s">
        <v>1</v>
      </c>
      <c r="N349" s="162" t="s">
        <v>35</v>
      </c>
      <c r="O349" s="58"/>
      <c r="P349" s="163">
        <f>O349*H349</f>
        <v>0</v>
      </c>
      <c r="Q349" s="163">
        <v>0</v>
      </c>
      <c r="R349" s="163">
        <f>Q349*H349</f>
        <v>0</v>
      </c>
      <c r="S349" s="163">
        <v>0</v>
      </c>
      <c r="T349" s="164">
        <f>S349*H349</f>
        <v>0</v>
      </c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R349" s="165" t="s">
        <v>185</v>
      </c>
      <c r="AT349" s="165" t="s">
        <v>181</v>
      </c>
      <c r="AU349" s="165" t="s">
        <v>82</v>
      </c>
      <c r="AY349" s="14" t="s">
        <v>179</v>
      </c>
      <c r="BE349" s="166">
        <f>IF(N349="základná",J349,0)</f>
        <v>0</v>
      </c>
      <c r="BF349" s="166">
        <f>IF(N349="znížená",J349,0)</f>
        <v>0</v>
      </c>
      <c r="BG349" s="166">
        <f>IF(N349="zákl. prenesená",J349,0)</f>
        <v>0</v>
      </c>
      <c r="BH349" s="166">
        <f>IF(N349="zníž. prenesená",J349,0)</f>
        <v>0</v>
      </c>
      <c r="BI349" s="166">
        <f>IF(N349="nulová",J349,0)</f>
        <v>0</v>
      </c>
      <c r="BJ349" s="14" t="s">
        <v>82</v>
      </c>
      <c r="BK349" s="166">
        <f>ROUND(I349*H349,2)</f>
        <v>0</v>
      </c>
      <c r="BL349" s="14" t="s">
        <v>185</v>
      </c>
      <c r="BM349" s="165" t="s">
        <v>935</v>
      </c>
    </row>
    <row r="350" spans="1:65" s="2" customFormat="1" ht="16.5" customHeight="1">
      <c r="A350" s="29"/>
      <c r="B350" s="152"/>
      <c r="C350" s="153" t="s">
        <v>854</v>
      </c>
      <c r="D350" s="153" t="s">
        <v>181</v>
      </c>
      <c r="E350" s="154" t="s">
        <v>1744</v>
      </c>
      <c r="F350" s="155" t="s">
        <v>1745</v>
      </c>
      <c r="G350" s="156" t="s">
        <v>585</v>
      </c>
      <c r="H350" s="178"/>
      <c r="I350" s="158"/>
      <c r="J350" s="151">
        <v>0</v>
      </c>
      <c r="K350" s="160"/>
      <c r="L350" s="30"/>
      <c r="M350" s="161" t="s">
        <v>1</v>
      </c>
      <c r="N350" s="162" t="s">
        <v>35</v>
      </c>
      <c r="O350" s="58"/>
      <c r="P350" s="163">
        <f>O350*H350</f>
        <v>0</v>
      </c>
      <c r="Q350" s="163">
        <v>0</v>
      </c>
      <c r="R350" s="163">
        <f>Q350*H350</f>
        <v>0</v>
      </c>
      <c r="S350" s="163">
        <v>0</v>
      </c>
      <c r="T350" s="164">
        <f>S350*H350</f>
        <v>0</v>
      </c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R350" s="165" t="s">
        <v>185</v>
      </c>
      <c r="AT350" s="165" t="s">
        <v>181</v>
      </c>
      <c r="AU350" s="165" t="s">
        <v>82</v>
      </c>
      <c r="AY350" s="14" t="s">
        <v>179</v>
      </c>
      <c r="BE350" s="166">
        <f>IF(N350="základná",J350,0)</f>
        <v>0</v>
      </c>
      <c r="BF350" s="166">
        <f>IF(N350="znížená",J350,0)</f>
        <v>0</v>
      </c>
      <c r="BG350" s="166">
        <f>IF(N350="zákl. prenesená",J350,0)</f>
        <v>0</v>
      </c>
      <c r="BH350" s="166">
        <f>IF(N350="zníž. prenesená",J350,0)</f>
        <v>0</v>
      </c>
      <c r="BI350" s="166">
        <f>IF(N350="nulová",J350,0)</f>
        <v>0</v>
      </c>
      <c r="BJ350" s="14" t="s">
        <v>82</v>
      </c>
      <c r="BK350" s="166">
        <f>ROUND(I350*H350,2)</f>
        <v>0</v>
      </c>
      <c r="BL350" s="14" t="s">
        <v>185</v>
      </c>
      <c r="BM350" s="165" t="s">
        <v>938</v>
      </c>
    </row>
    <row r="351" spans="1:65" s="2" customFormat="1" ht="16.5" customHeight="1">
      <c r="A351" s="29"/>
      <c r="B351" s="152"/>
      <c r="C351" s="153" t="s">
        <v>531</v>
      </c>
      <c r="D351" s="153" t="s">
        <v>181</v>
      </c>
      <c r="E351" s="154" t="s">
        <v>971</v>
      </c>
      <c r="F351" s="155" t="s">
        <v>1746</v>
      </c>
      <c r="G351" s="156" t="s">
        <v>585</v>
      </c>
      <c r="H351" s="178"/>
      <c r="I351" s="158"/>
      <c r="J351" s="151">
        <v>0</v>
      </c>
      <c r="K351" s="160"/>
      <c r="L351" s="30"/>
      <c r="M351" s="161" t="s">
        <v>1</v>
      </c>
      <c r="N351" s="162" t="s">
        <v>35</v>
      </c>
      <c r="O351" s="58"/>
      <c r="P351" s="163">
        <f>O351*H351</f>
        <v>0</v>
      </c>
      <c r="Q351" s="163">
        <v>0</v>
      </c>
      <c r="R351" s="163">
        <f>Q351*H351</f>
        <v>0</v>
      </c>
      <c r="S351" s="163">
        <v>0</v>
      </c>
      <c r="T351" s="164">
        <f>S351*H351</f>
        <v>0</v>
      </c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R351" s="165" t="s">
        <v>185</v>
      </c>
      <c r="AT351" s="165" t="s">
        <v>181</v>
      </c>
      <c r="AU351" s="165" t="s">
        <v>82</v>
      </c>
      <c r="AY351" s="14" t="s">
        <v>179</v>
      </c>
      <c r="BE351" s="166">
        <f>IF(N351="základná",J351,0)</f>
        <v>0</v>
      </c>
      <c r="BF351" s="166">
        <f>IF(N351="znížená",J351,0)</f>
        <v>0</v>
      </c>
      <c r="BG351" s="166">
        <f>IF(N351="zákl. prenesená",J351,0)</f>
        <v>0</v>
      </c>
      <c r="BH351" s="166">
        <f>IF(N351="zníž. prenesená",J351,0)</f>
        <v>0</v>
      </c>
      <c r="BI351" s="166">
        <f>IF(N351="nulová",J351,0)</f>
        <v>0</v>
      </c>
      <c r="BJ351" s="14" t="s">
        <v>82</v>
      </c>
      <c r="BK351" s="166">
        <f>ROUND(I351*H351,2)</f>
        <v>0</v>
      </c>
      <c r="BL351" s="14" t="s">
        <v>185</v>
      </c>
      <c r="BM351" s="165" t="s">
        <v>944</v>
      </c>
    </row>
    <row r="352" spans="1:65" s="12" customFormat="1" ht="22.9" customHeight="1">
      <c r="B352" s="139"/>
      <c r="D352" s="140" t="s">
        <v>68</v>
      </c>
      <c r="E352" s="150" t="s">
        <v>1747</v>
      </c>
      <c r="F352" s="150" t="s">
        <v>1748</v>
      </c>
      <c r="I352" s="142"/>
      <c r="J352" s="151">
        <v>0</v>
      </c>
      <c r="L352" s="139"/>
      <c r="M352" s="144"/>
      <c r="N352" s="145"/>
      <c r="O352" s="145"/>
      <c r="P352" s="146">
        <f>SUM(P353:P365)</f>
        <v>0</v>
      </c>
      <c r="Q352" s="145"/>
      <c r="R352" s="146">
        <f>SUM(R353:R365)</f>
        <v>0</v>
      </c>
      <c r="S352" s="145"/>
      <c r="T352" s="147">
        <f>SUM(T353:T365)</f>
        <v>0</v>
      </c>
      <c r="AR352" s="140" t="s">
        <v>76</v>
      </c>
      <c r="AT352" s="148" t="s">
        <v>68</v>
      </c>
      <c r="AU352" s="148" t="s">
        <v>76</v>
      </c>
      <c r="AY352" s="140" t="s">
        <v>179</v>
      </c>
      <c r="BK352" s="149">
        <f>SUM(BK353:BK365)</f>
        <v>0</v>
      </c>
    </row>
    <row r="353" spans="1:65" s="2" customFormat="1" ht="16.5" customHeight="1">
      <c r="A353" s="29"/>
      <c r="B353" s="152"/>
      <c r="C353" s="153" t="s">
        <v>861</v>
      </c>
      <c r="D353" s="153" t="s">
        <v>181</v>
      </c>
      <c r="E353" s="154" t="s">
        <v>1749</v>
      </c>
      <c r="F353" s="155" t="s">
        <v>1750</v>
      </c>
      <c r="G353" s="156" t="s">
        <v>293</v>
      </c>
      <c r="H353" s="157">
        <v>160</v>
      </c>
      <c r="I353" s="158"/>
      <c r="J353" s="151">
        <v>0</v>
      </c>
      <c r="K353" s="160"/>
      <c r="L353" s="30"/>
      <c r="M353" s="161" t="s">
        <v>1</v>
      </c>
      <c r="N353" s="162" t="s">
        <v>35</v>
      </c>
      <c r="O353" s="58"/>
      <c r="P353" s="163">
        <f t="shared" ref="P353:P365" si="99">O353*H353</f>
        <v>0</v>
      </c>
      <c r="Q353" s="163">
        <v>0</v>
      </c>
      <c r="R353" s="163">
        <f t="shared" ref="R353:R365" si="100">Q353*H353</f>
        <v>0</v>
      </c>
      <c r="S353" s="163">
        <v>0</v>
      </c>
      <c r="T353" s="164">
        <f t="shared" ref="T353:T365" si="101">S353*H353</f>
        <v>0</v>
      </c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R353" s="165" t="s">
        <v>185</v>
      </c>
      <c r="AT353" s="165" t="s">
        <v>181</v>
      </c>
      <c r="AU353" s="165" t="s">
        <v>82</v>
      </c>
      <c r="AY353" s="14" t="s">
        <v>179</v>
      </c>
      <c r="BE353" s="166">
        <f t="shared" ref="BE353:BE365" si="102">IF(N353="základná",J353,0)</f>
        <v>0</v>
      </c>
      <c r="BF353" s="166">
        <f t="shared" ref="BF353:BF365" si="103">IF(N353="znížená",J353,0)</f>
        <v>0</v>
      </c>
      <c r="BG353" s="166">
        <f t="shared" ref="BG353:BG365" si="104">IF(N353="zákl. prenesená",J353,0)</f>
        <v>0</v>
      </c>
      <c r="BH353" s="166">
        <f t="shared" ref="BH353:BH365" si="105">IF(N353="zníž. prenesená",J353,0)</f>
        <v>0</v>
      </c>
      <c r="BI353" s="166">
        <f t="shared" ref="BI353:BI365" si="106">IF(N353="nulová",J353,0)</f>
        <v>0</v>
      </c>
      <c r="BJ353" s="14" t="s">
        <v>82</v>
      </c>
      <c r="BK353" s="166">
        <f t="shared" ref="BK353:BK365" si="107">ROUND(I353*H353,2)</f>
        <v>0</v>
      </c>
      <c r="BL353" s="14" t="s">
        <v>185</v>
      </c>
      <c r="BM353" s="165" t="s">
        <v>947</v>
      </c>
    </row>
    <row r="354" spans="1:65" s="2" customFormat="1" ht="16.5" customHeight="1">
      <c r="A354" s="29"/>
      <c r="B354" s="152"/>
      <c r="C354" s="153" t="s">
        <v>534</v>
      </c>
      <c r="D354" s="153" t="s">
        <v>181</v>
      </c>
      <c r="E354" s="154" t="s">
        <v>1751</v>
      </c>
      <c r="F354" s="155" t="s">
        <v>1752</v>
      </c>
      <c r="G354" s="156" t="s">
        <v>293</v>
      </c>
      <c r="H354" s="157">
        <v>120</v>
      </c>
      <c r="I354" s="158"/>
      <c r="J354" s="151">
        <v>0</v>
      </c>
      <c r="K354" s="160"/>
      <c r="L354" s="30"/>
      <c r="M354" s="161" t="s">
        <v>1</v>
      </c>
      <c r="N354" s="162" t="s">
        <v>35</v>
      </c>
      <c r="O354" s="58"/>
      <c r="P354" s="163">
        <f t="shared" si="99"/>
        <v>0</v>
      </c>
      <c r="Q354" s="163">
        <v>0</v>
      </c>
      <c r="R354" s="163">
        <f t="shared" si="100"/>
        <v>0</v>
      </c>
      <c r="S354" s="163">
        <v>0</v>
      </c>
      <c r="T354" s="164">
        <f t="shared" si="101"/>
        <v>0</v>
      </c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R354" s="165" t="s">
        <v>185</v>
      </c>
      <c r="AT354" s="165" t="s">
        <v>181</v>
      </c>
      <c r="AU354" s="165" t="s">
        <v>82</v>
      </c>
      <c r="AY354" s="14" t="s">
        <v>179</v>
      </c>
      <c r="BE354" s="166">
        <f t="shared" si="102"/>
        <v>0</v>
      </c>
      <c r="BF354" s="166">
        <f t="shared" si="103"/>
        <v>0</v>
      </c>
      <c r="BG354" s="166">
        <f t="shared" si="104"/>
        <v>0</v>
      </c>
      <c r="BH354" s="166">
        <f t="shared" si="105"/>
        <v>0</v>
      </c>
      <c r="BI354" s="166">
        <f t="shared" si="106"/>
        <v>0</v>
      </c>
      <c r="BJ354" s="14" t="s">
        <v>82</v>
      </c>
      <c r="BK354" s="166">
        <f t="shared" si="107"/>
        <v>0</v>
      </c>
      <c r="BL354" s="14" t="s">
        <v>185</v>
      </c>
      <c r="BM354" s="165" t="s">
        <v>951</v>
      </c>
    </row>
    <row r="355" spans="1:65" s="2" customFormat="1" ht="16.5" customHeight="1">
      <c r="A355" s="29"/>
      <c r="B355" s="152"/>
      <c r="C355" s="153" t="s">
        <v>868</v>
      </c>
      <c r="D355" s="153" t="s">
        <v>181</v>
      </c>
      <c r="E355" s="154" t="s">
        <v>1753</v>
      </c>
      <c r="F355" s="155" t="s">
        <v>1754</v>
      </c>
      <c r="G355" s="156" t="s">
        <v>196</v>
      </c>
      <c r="H355" s="157">
        <v>6.5</v>
      </c>
      <c r="I355" s="158"/>
      <c r="J355" s="151">
        <v>0</v>
      </c>
      <c r="K355" s="160"/>
      <c r="L355" s="30"/>
      <c r="M355" s="161" t="s">
        <v>1</v>
      </c>
      <c r="N355" s="162" t="s">
        <v>35</v>
      </c>
      <c r="O355" s="58"/>
      <c r="P355" s="163">
        <f t="shared" si="99"/>
        <v>0</v>
      </c>
      <c r="Q355" s="163">
        <v>0</v>
      </c>
      <c r="R355" s="163">
        <f t="shared" si="100"/>
        <v>0</v>
      </c>
      <c r="S355" s="163">
        <v>0</v>
      </c>
      <c r="T355" s="164">
        <f t="shared" si="101"/>
        <v>0</v>
      </c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R355" s="165" t="s">
        <v>185</v>
      </c>
      <c r="AT355" s="165" t="s">
        <v>181</v>
      </c>
      <c r="AU355" s="165" t="s">
        <v>82</v>
      </c>
      <c r="AY355" s="14" t="s">
        <v>179</v>
      </c>
      <c r="BE355" s="166">
        <f t="shared" si="102"/>
        <v>0</v>
      </c>
      <c r="BF355" s="166">
        <f t="shared" si="103"/>
        <v>0</v>
      </c>
      <c r="BG355" s="166">
        <f t="shared" si="104"/>
        <v>0</v>
      </c>
      <c r="BH355" s="166">
        <f t="shared" si="105"/>
        <v>0</v>
      </c>
      <c r="BI355" s="166">
        <f t="shared" si="106"/>
        <v>0</v>
      </c>
      <c r="BJ355" s="14" t="s">
        <v>82</v>
      </c>
      <c r="BK355" s="166">
        <f t="shared" si="107"/>
        <v>0</v>
      </c>
      <c r="BL355" s="14" t="s">
        <v>185</v>
      </c>
      <c r="BM355" s="165" t="s">
        <v>955</v>
      </c>
    </row>
    <row r="356" spans="1:65" s="2" customFormat="1" ht="16.5" customHeight="1">
      <c r="A356" s="29"/>
      <c r="B356" s="152"/>
      <c r="C356" s="153" t="s">
        <v>538</v>
      </c>
      <c r="D356" s="153" t="s">
        <v>181</v>
      </c>
      <c r="E356" s="154" t="s">
        <v>1755</v>
      </c>
      <c r="F356" s="155" t="s">
        <v>1756</v>
      </c>
      <c r="G356" s="156" t="s">
        <v>1757</v>
      </c>
      <c r="H356" s="157">
        <v>1</v>
      </c>
      <c r="I356" s="158"/>
      <c r="J356" s="151">
        <v>0</v>
      </c>
      <c r="K356" s="160"/>
      <c r="L356" s="30"/>
      <c r="M356" s="161" t="s">
        <v>1</v>
      </c>
      <c r="N356" s="162" t="s">
        <v>35</v>
      </c>
      <c r="O356" s="58"/>
      <c r="P356" s="163">
        <f t="shared" si="99"/>
        <v>0</v>
      </c>
      <c r="Q356" s="163">
        <v>0</v>
      </c>
      <c r="R356" s="163">
        <f t="shared" si="100"/>
        <v>0</v>
      </c>
      <c r="S356" s="163">
        <v>0</v>
      </c>
      <c r="T356" s="164">
        <f t="shared" si="101"/>
        <v>0</v>
      </c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R356" s="165" t="s">
        <v>185</v>
      </c>
      <c r="AT356" s="165" t="s">
        <v>181</v>
      </c>
      <c r="AU356" s="165" t="s">
        <v>82</v>
      </c>
      <c r="AY356" s="14" t="s">
        <v>179</v>
      </c>
      <c r="BE356" s="166">
        <f t="shared" si="102"/>
        <v>0</v>
      </c>
      <c r="BF356" s="166">
        <f t="shared" si="103"/>
        <v>0</v>
      </c>
      <c r="BG356" s="166">
        <f t="shared" si="104"/>
        <v>0</v>
      </c>
      <c r="BH356" s="166">
        <f t="shared" si="105"/>
        <v>0</v>
      </c>
      <c r="BI356" s="166">
        <f t="shared" si="106"/>
        <v>0</v>
      </c>
      <c r="BJ356" s="14" t="s">
        <v>82</v>
      </c>
      <c r="BK356" s="166">
        <f t="shared" si="107"/>
        <v>0</v>
      </c>
      <c r="BL356" s="14" t="s">
        <v>185</v>
      </c>
      <c r="BM356" s="165" t="s">
        <v>960</v>
      </c>
    </row>
    <row r="357" spans="1:65" s="2" customFormat="1" ht="16.5" customHeight="1">
      <c r="A357" s="29"/>
      <c r="B357" s="152"/>
      <c r="C357" s="153" t="s">
        <v>875</v>
      </c>
      <c r="D357" s="153" t="s">
        <v>181</v>
      </c>
      <c r="E357" s="154" t="s">
        <v>1758</v>
      </c>
      <c r="F357" s="155" t="s">
        <v>1759</v>
      </c>
      <c r="G357" s="156" t="s">
        <v>196</v>
      </c>
      <c r="H357" s="157">
        <v>6.5</v>
      </c>
      <c r="I357" s="158"/>
      <c r="J357" s="151">
        <v>0</v>
      </c>
      <c r="K357" s="160"/>
      <c r="L357" s="30"/>
      <c r="M357" s="161" t="s">
        <v>1</v>
      </c>
      <c r="N357" s="162" t="s">
        <v>35</v>
      </c>
      <c r="O357" s="58"/>
      <c r="P357" s="163">
        <f t="shared" si="99"/>
        <v>0</v>
      </c>
      <c r="Q357" s="163">
        <v>0</v>
      </c>
      <c r="R357" s="163">
        <f t="shared" si="100"/>
        <v>0</v>
      </c>
      <c r="S357" s="163">
        <v>0</v>
      </c>
      <c r="T357" s="164">
        <f t="shared" si="101"/>
        <v>0</v>
      </c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R357" s="165" t="s">
        <v>185</v>
      </c>
      <c r="AT357" s="165" t="s">
        <v>181</v>
      </c>
      <c r="AU357" s="165" t="s">
        <v>82</v>
      </c>
      <c r="AY357" s="14" t="s">
        <v>179</v>
      </c>
      <c r="BE357" s="166">
        <f t="shared" si="102"/>
        <v>0</v>
      </c>
      <c r="BF357" s="166">
        <f t="shared" si="103"/>
        <v>0</v>
      </c>
      <c r="BG357" s="166">
        <f t="shared" si="104"/>
        <v>0</v>
      </c>
      <c r="BH357" s="166">
        <f t="shared" si="105"/>
        <v>0</v>
      </c>
      <c r="BI357" s="166">
        <f t="shared" si="106"/>
        <v>0</v>
      </c>
      <c r="BJ357" s="14" t="s">
        <v>82</v>
      </c>
      <c r="BK357" s="166">
        <f t="shared" si="107"/>
        <v>0</v>
      </c>
      <c r="BL357" s="14" t="s">
        <v>185</v>
      </c>
      <c r="BM357" s="165" t="s">
        <v>962</v>
      </c>
    </row>
    <row r="358" spans="1:65" s="2" customFormat="1" ht="21.75" customHeight="1">
      <c r="A358" s="29"/>
      <c r="B358" s="152"/>
      <c r="C358" s="153" t="s">
        <v>541</v>
      </c>
      <c r="D358" s="153" t="s">
        <v>181</v>
      </c>
      <c r="E358" s="154" t="s">
        <v>1760</v>
      </c>
      <c r="F358" s="155" t="s">
        <v>1761</v>
      </c>
      <c r="G358" s="156" t="s">
        <v>293</v>
      </c>
      <c r="H358" s="157">
        <v>180</v>
      </c>
      <c r="I358" s="158"/>
      <c r="J358" s="151">
        <v>0</v>
      </c>
      <c r="K358" s="160"/>
      <c r="L358" s="30"/>
      <c r="M358" s="161" t="s">
        <v>1</v>
      </c>
      <c r="N358" s="162" t="s">
        <v>35</v>
      </c>
      <c r="O358" s="58"/>
      <c r="P358" s="163">
        <f t="shared" si="99"/>
        <v>0</v>
      </c>
      <c r="Q358" s="163">
        <v>0</v>
      </c>
      <c r="R358" s="163">
        <f t="shared" si="100"/>
        <v>0</v>
      </c>
      <c r="S358" s="163">
        <v>0</v>
      </c>
      <c r="T358" s="164">
        <f t="shared" si="101"/>
        <v>0</v>
      </c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R358" s="165" t="s">
        <v>185</v>
      </c>
      <c r="AT358" s="165" t="s">
        <v>181</v>
      </c>
      <c r="AU358" s="165" t="s">
        <v>82</v>
      </c>
      <c r="AY358" s="14" t="s">
        <v>179</v>
      </c>
      <c r="BE358" s="166">
        <f t="shared" si="102"/>
        <v>0</v>
      </c>
      <c r="BF358" s="166">
        <f t="shared" si="103"/>
        <v>0</v>
      </c>
      <c r="BG358" s="166">
        <f t="shared" si="104"/>
        <v>0</v>
      </c>
      <c r="BH358" s="166">
        <f t="shared" si="105"/>
        <v>0</v>
      </c>
      <c r="BI358" s="166">
        <f t="shared" si="106"/>
        <v>0</v>
      </c>
      <c r="BJ358" s="14" t="s">
        <v>82</v>
      </c>
      <c r="BK358" s="166">
        <f t="shared" si="107"/>
        <v>0</v>
      </c>
      <c r="BL358" s="14" t="s">
        <v>185</v>
      </c>
      <c r="BM358" s="165" t="s">
        <v>966</v>
      </c>
    </row>
    <row r="359" spans="1:65" s="2" customFormat="1" ht="33" customHeight="1">
      <c r="A359" s="29"/>
      <c r="B359" s="152"/>
      <c r="C359" s="153" t="s">
        <v>882</v>
      </c>
      <c r="D359" s="153" t="s">
        <v>181</v>
      </c>
      <c r="E359" s="154" t="s">
        <v>1762</v>
      </c>
      <c r="F359" s="155" t="s">
        <v>1763</v>
      </c>
      <c r="G359" s="156" t="s">
        <v>293</v>
      </c>
      <c r="H359" s="157">
        <v>50</v>
      </c>
      <c r="I359" s="158"/>
      <c r="J359" s="151">
        <v>0</v>
      </c>
      <c r="K359" s="160"/>
      <c r="L359" s="30"/>
      <c r="M359" s="161" t="s">
        <v>1</v>
      </c>
      <c r="N359" s="162" t="s">
        <v>35</v>
      </c>
      <c r="O359" s="58"/>
      <c r="P359" s="163">
        <f t="shared" si="99"/>
        <v>0</v>
      </c>
      <c r="Q359" s="163">
        <v>0</v>
      </c>
      <c r="R359" s="163">
        <f t="shared" si="100"/>
        <v>0</v>
      </c>
      <c r="S359" s="163">
        <v>0</v>
      </c>
      <c r="T359" s="164">
        <f t="shared" si="101"/>
        <v>0</v>
      </c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R359" s="165" t="s">
        <v>185</v>
      </c>
      <c r="AT359" s="165" t="s">
        <v>181</v>
      </c>
      <c r="AU359" s="165" t="s">
        <v>82</v>
      </c>
      <c r="AY359" s="14" t="s">
        <v>179</v>
      </c>
      <c r="BE359" s="166">
        <f t="shared" si="102"/>
        <v>0</v>
      </c>
      <c r="BF359" s="166">
        <f t="shared" si="103"/>
        <v>0</v>
      </c>
      <c r="BG359" s="166">
        <f t="shared" si="104"/>
        <v>0</v>
      </c>
      <c r="BH359" s="166">
        <f t="shared" si="105"/>
        <v>0</v>
      </c>
      <c r="BI359" s="166">
        <f t="shared" si="106"/>
        <v>0</v>
      </c>
      <c r="BJ359" s="14" t="s">
        <v>82</v>
      </c>
      <c r="BK359" s="166">
        <f t="shared" si="107"/>
        <v>0</v>
      </c>
      <c r="BL359" s="14" t="s">
        <v>185</v>
      </c>
      <c r="BM359" s="165" t="s">
        <v>969</v>
      </c>
    </row>
    <row r="360" spans="1:65" s="2" customFormat="1" ht="21.75" customHeight="1">
      <c r="A360" s="29"/>
      <c r="B360" s="152"/>
      <c r="C360" s="153" t="s">
        <v>545</v>
      </c>
      <c r="D360" s="153" t="s">
        <v>181</v>
      </c>
      <c r="E360" s="154" t="s">
        <v>1764</v>
      </c>
      <c r="F360" s="155" t="s">
        <v>1765</v>
      </c>
      <c r="G360" s="156" t="s">
        <v>293</v>
      </c>
      <c r="H360" s="157">
        <v>50</v>
      </c>
      <c r="I360" s="158"/>
      <c r="J360" s="151">
        <v>0</v>
      </c>
      <c r="K360" s="160"/>
      <c r="L360" s="30"/>
      <c r="M360" s="161" t="s">
        <v>1</v>
      </c>
      <c r="N360" s="162" t="s">
        <v>35</v>
      </c>
      <c r="O360" s="58"/>
      <c r="P360" s="163">
        <f t="shared" si="99"/>
        <v>0</v>
      </c>
      <c r="Q360" s="163">
        <v>0</v>
      </c>
      <c r="R360" s="163">
        <f t="shared" si="100"/>
        <v>0</v>
      </c>
      <c r="S360" s="163">
        <v>0</v>
      </c>
      <c r="T360" s="164">
        <f t="shared" si="101"/>
        <v>0</v>
      </c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R360" s="165" t="s">
        <v>185</v>
      </c>
      <c r="AT360" s="165" t="s">
        <v>181</v>
      </c>
      <c r="AU360" s="165" t="s">
        <v>82</v>
      </c>
      <c r="AY360" s="14" t="s">
        <v>179</v>
      </c>
      <c r="BE360" s="166">
        <f t="shared" si="102"/>
        <v>0</v>
      </c>
      <c r="BF360" s="166">
        <f t="shared" si="103"/>
        <v>0</v>
      </c>
      <c r="BG360" s="166">
        <f t="shared" si="104"/>
        <v>0</v>
      </c>
      <c r="BH360" s="166">
        <f t="shared" si="105"/>
        <v>0</v>
      </c>
      <c r="BI360" s="166">
        <f t="shared" si="106"/>
        <v>0</v>
      </c>
      <c r="BJ360" s="14" t="s">
        <v>82</v>
      </c>
      <c r="BK360" s="166">
        <f t="shared" si="107"/>
        <v>0</v>
      </c>
      <c r="BL360" s="14" t="s">
        <v>185</v>
      </c>
      <c r="BM360" s="165" t="s">
        <v>973</v>
      </c>
    </row>
    <row r="361" spans="1:65" s="2" customFormat="1" ht="21.75" customHeight="1">
      <c r="A361" s="29"/>
      <c r="B361" s="152"/>
      <c r="C361" s="153" t="s">
        <v>891</v>
      </c>
      <c r="D361" s="153" t="s">
        <v>181</v>
      </c>
      <c r="E361" s="154" t="s">
        <v>1766</v>
      </c>
      <c r="F361" s="155" t="s">
        <v>1767</v>
      </c>
      <c r="G361" s="156" t="s">
        <v>293</v>
      </c>
      <c r="H361" s="157">
        <v>180</v>
      </c>
      <c r="I361" s="158"/>
      <c r="J361" s="151">
        <v>0</v>
      </c>
      <c r="K361" s="160"/>
      <c r="L361" s="30"/>
      <c r="M361" s="161" t="s">
        <v>1</v>
      </c>
      <c r="N361" s="162" t="s">
        <v>35</v>
      </c>
      <c r="O361" s="58"/>
      <c r="P361" s="163">
        <f t="shared" si="99"/>
        <v>0</v>
      </c>
      <c r="Q361" s="163">
        <v>0</v>
      </c>
      <c r="R361" s="163">
        <f t="shared" si="100"/>
        <v>0</v>
      </c>
      <c r="S361" s="163">
        <v>0</v>
      </c>
      <c r="T361" s="164">
        <f t="shared" si="101"/>
        <v>0</v>
      </c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R361" s="165" t="s">
        <v>185</v>
      </c>
      <c r="AT361" s="165" t="s">
        <v>181</v>
      </c>
      <c r="AU361" s="165" t="s">
        <v>82</v>
      </c>
      <c r="AY361" s="14" t="s">
        <v>179</v>
      </c>
      <c r="BE361" s="166">
        <f t="shared" si="102"/>
        <v>0</v>
      </c>
      <c r="BF361" s="166">
        <f t="shared" si="103"/>
        <v>0</v>
      </c>
      <c r="BG361" s="166">
        <f t="shared" si="104"/>
        <v>0</v>
      </c>
      <c r="BH361" s="166">
        <f t="shared" si="105"/>
        <v>0</v>
      </c>
      <c r="BI361" s="166">
        <f t="shared" si="106"/>
        <v>0</v>
      </c>
      <c r="BJ361" s="14" t="s">
        <v>82</v>
      </c>
      <c r="BK361" s="166">
        <f t="shared" si="107"/>
        <v>0</v>
      </c>
      <c r="BL361" s="14" t="s">
        <v>185</v>
      </c>
      <c r="BM361" s="165" t="s">
        <v>1768</v>
      </c>
    </row>
    <row r="362" spans="1:65" s="2" customFormat="1" ht="16.5" customHeight="1">
      <c r="A362" s="29"/>
      <c r="B362" s="152"/>
      <c r="C362" s="153" t="s">
        <v>548</v>
      </c>
      <c r="D362" s="153" t="s">
        <v>181</v>
      </c>
      <c r="E362" s="154" t="s">
        <v>1769</v>
      </c>
      <c r="F362" s="155" t="s">
        <v>1770</v>
      </c>
      <c r="G362" s="156" t="s">
        <v>1771</v>
      </c>
      <c r="H362" s="157">
        <v>1</v>
      </c>
      <c r="I362" s="158"/>
      <c r="J362" s="151">
        <v>0</v>
      </c>
      <c r="K362" s="160"/>
      <c r="L362" s="30"/>
      <c r="M362" s="161" t="s">
        <v>1</v>
      </c>
      <c r="N362" s="162" t="s">
        <v>35</v>
      </c>
      <c r="O362" s="58"/>
      <c r="P362" s="163">
        <f t="shared" si="99"/>
        <v>0</v>
      </c>
      <c r="Q362" s="163">
        <v>0</v>
      </c>
      <c r="R362" s="163">
        <f t="shared" si="100"/>
        <v>0</v>
      </c>
      <c r="S362" s="163">
        <v>0</v>
      </c>
      <c r="T362" s="164">
        <f t="shared" si="101"/>
        <v>0</v>
      </c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R362" s="165" t="s">
        <v>185</v>
      </c>
      <c r="AT362" s="165" t="s">
        <v>181</v>
      </c>
      <c r="AU362" s="165" t="s">
        <v>82</v>
      </c>
      <c r="AY362" s="14" t="s">
        <v>179</v>
      </c>
      <c r="BE362" s="166">
        <f t="shared" si="102"/>
        <v>0</v>
      </c>
      <c r="BF362" s="166">
        <f t="shared" si="103"/>
        <v>0</v>
      </c>
      <c r="BG362" s="166">
        <f t="shared" si="104"/>
        <v>0</v>
      </c>
      <c r="BH362" s="166">
        <f t="shared" si="105"/>
        <v>0</v>
      </c>
      <c r="BI362" s="166">
        <f t="shared" si="106"/>
        <v>0</v>
      </c>
      <c r="BJ362" s="14" t="s">
        <v>82</v>
      </c>
      <c r="BK362" s="166">
        <f t="shared" si="107"/>
        <v>0</v>
      </c>
      <c r="BL362" s="14" t="s">
        <v>185</v>
      </c>
      <c r="BM362" s="165" t="s">
        <v>1772</v>
      </c>
    </row>
    <row r="363" spans="1:65" s="2" customFormat="1" ht="16.5" customHeight="1">
      <c r="A363" s="29"/>
      <c r="B363" s="152"/>
      <c r="C363" s="153" t="s">
        <v>900</v>
      </c>
      <c r="D363" s="153" t="s">
        <v>181</v>
      </c>
      <c r="E363" s="154" t="s">
        <v>1773</v>
      </c>
      <c r="F363" s="155" t="s">
        <v>1774</v>
      </c>
      <c r="G363" s="156" t="s">
        <v>1771</v>
      </c>
      <c r="H363" s="157">
        <v>1</v>
      </c>
      <c r="I363" s="158"/>
      <c r="J363" s="151">
        <v>0</v>
      </c>
      <c r="K363" s="160"/>
      <c r="L363" s="30"/>
      <c r="M363" s="161" t="s">
        <v>1</v>
      </c>
      <c r="N363" s="162" t="s">
        <v>35</v>
      </c>
      <c r="O363" s="58"/>
      <c r="P363" s="163">
        <f t="shared" si="99"/>
        <v>0</v>
      </c>
      <c r="Q363" s="163">
        <v>0</v>
      </c>
      <c r="R363" s="163">
        <f t="shared" si="100"/>
        <v>0</v>
      </c>
      <c r="S363" s="163">
        <v>0</v>
      </c>
      <c r="T363" s="164">
        <f t="shared" si="101"/>
        <v>0</v>
      </c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R363" s="165" t="s">
        <v>185</v>
      </c>
      <c r="AT363" s="165" t="s">
        <v>181</v>
      </c>
      <c r="AU363" s="165" t="s">
        <v>82</v>
      </c>
      <c r="AY363" s="14" t="s">
        <v>179</v>
      </c>
      <c r="BE363" s="166">
        <f t="shared" si="102"/>
        <v>0</v>
      </c>
      <c r="BF363" s="166">
        <f t="shared" si="103"/>
        <v>0</v>
      </c>
      <c r="BG363" s="166">
        <f t="shared" si="104"/>
        <v>0</v>
      </c>
      <c r="BH363" s="166">
        <f t="shared" si="105"/>
        <v>0</v>
      </c>
      <c r="BI363" s="166">
        <f t="shared" si="106"/>
        <v>0</v>
      </c>
      <c r="BJ363" s="14" t="s">
        <v>82</v>
      </c>
      <c r="BK363" s="166">
        <f t="shared" si="107"/>
        <v>0</v>
      </c>
      <c r="BL363" s="14" t="s">
        <v>185</v>
      </c>
      <c r="BM363" s="165" t="s">
        <v>1775</v>
      </c>
    </row>
    <row r="364" spans="1:65" s="2" customFormat="1" ht="16.5" customHeight="1">
      <c r="A364" s="29"/>
      <c r="B364" s="152"/>
      <c r="C364" s="153" t="s">
        <v>553</v>
      </c>
      <c r="D364" s="153" t="s">
        <v>181</v>
      </c>
      <c r="E364" s="154" t="s">
        <v>1776</v>
      </c>
      <c r="F364" s="155" t="s">
        <v>1777</v>
      </c>
      <c r="G364" s="156" t="s">
        <v>1771</v>
      </c>
      <c r="H364" s="157">
        <v>1</v>
      </c>
      <c r="I364" s="158"/>
      <c r="J364" s="151">
        <v>0</v>
      </c>
      <c r="K364" s="160"/>
      <c r="L364" s="30"/>
      <c r="M364" s="161" t="s">
        <v>1</v>
      </c>
      <c r="N364" s="162" t="s">
        <v>35</v>
      </c>
      <c r="O364" s="58"/>
      <c r="P364" s="163">
        <f t="shared" si="99"/>
        <v>0</v>
      </c>
      <c r="Q364" s="163">
        <v>0</v>
      </c>
      <c r="R364" s="163">
        <f t="shared" si="100"/>
        <v>0</v>
      </c>
      <c r="S364" s="163">
        <v>0</v>
      </c>
      <c r="T364" s="164">
        <f t="shared" si="101"/>
        <v>0</v>
      </c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R364" s="165" t="s">
        <v>185</v>
      </c>
      <c r="AT364" s="165" t="s">
        <v>181</v>
      </c>
      <c r="AU364" s="165" t="s">
        <v>82</v>
      </c>
      <c r="AY364" s="14" t="s">
        <v>179</v>
      </c>
      <c r="BE364" s="166">
        <f t="shared" si="102"/>
        <v>0</v>
      </c>
      <c r="BF364" s="166">
        <f t="shared" si="103"/>
        <v>0</v>
      </c>
      <c r="BG364" s="166">
        <f t="shared" si="104"/>
        <v>0</v>
      </c>
      <c r="BH364" s="166">
        <f t="shared" si="105"/>
        <v>0</v>
      </c>
      <c r="BI364" s="166">
        <f t="shared" si="106"/>
        <v>0</v>
      </c>
      <c r="BJ364" s="14" t="s">
        <v>82</v>
      </c>
      <c r="BK364" s="166">
        <f t="shared" si="107"/>
        <v>0</v>
      </c>
      <c r="BL364" s="14" t="s">
        <v>185</v>
      </c>
      <c r="BM364" s="165" t="s">
        <v>1778</v>
      </c>
    </row>
    <row r="365" spans="1:65" s="2" customFormat="1" ht="16.5" customHeight="1">
      <c r="A365" s="29"/>
      <c r="B365" s="152"/>
      <c r="C365" s="153" t="s">
        <v>907</v>
      </c>
      <c r="D365" s="153" t="s">
        <v>181</v>
      </c>
      <c r="E365" s="154" t="s">
        <v>1779</v>
      </c>
      <c r="F365" s="155" t="s">
        <v>1780</v>
      </c>
      <c r="G365" s="156" t="s">
        <v>1771</v>
      </c>
      <c r="H365" s="157">
        <v>1</v>
      </c>
      <c r="I365" s="158"/>
      <c r="J365" s="151">
        <v>0</v>
      </c>
      <c r="K365" s="160"/>
      <c r="L365" s="30"/>
      <c r="M365" s="179" t="s">
        <v>1</v>
      </c>
      <c r="N365" s="180" t="s">
        <v>35</v>
      </c>
      <c r="O365" s="181"/>
      <c r="P365" s="182">
        <f t="shared" si="99"/>
        <v>0</v>
      </c>
      <c r="Q365" s="182">
        <v>0</v>
      </c>
      <c r="R365" s="182">
        <f t="shared" si="100"/>
        <v>0</v>
      </c>
      <c r="S365" s="182">
        <v>0</v>
      </c>
      <c r="T365" s="183">
        <f t="shared" si="101"/>
        <v>0</v>
      </c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R365" s="165" t="s">
        <v>185</v>
      </c>
      <c r="AT365" s="165" t="s">
        <v>181</v>
      </c>
      <c r="AU365" s="165" t="s">
        <v>82</v>
      </c>
      <c r="AY365" s="14" t="s">
        <v>179</v>
      </c>
      <c r="BE365" s="166">
        <f t="shared" si="102"/>
        <v>0</v>
      </c>
      <c r="BF365" s="166">
        <f t="shared" si="103"/>
        <v>0</v>
      </c>
      <c r="BG365" s="166">
        <f t="shared" si="104"/>
        <v>0</v>
      </c>
      <c r="BH365" s="166">
        <f t="shared" si="105"/>
        <v>0</v>
      </c>
      <c r="BI365" s="166">
        <f t="shared" si="106"/>
        <v>0</v>
      </c>
      <c r="BJ365" s="14" t="s">
        <v>82</v>
      </c>
      <c r="BK365" s="166">
        <f t="shared" si="107"/>
        <v>0</v>
      </c>
      <c r="BL365" s="14" t="s">
        <v>185</v>
      </c>
      <c r="BM365" s="165" t="s">
        <v>1781</v>
      </c>
    </row>
    <row r="366" spans="1:65" s="2" customFormat="1" ht="6.95" customHeight="1">
      <c r="A366" s="29"/>
      <c r="B366" s="47"/>
      <c r="C366" s="48"/>
      <c r="D366" s="48"/>
      <c r="E366" s="48"/>
      <c r="F366" s="48"/>
      <c r="G366" s="48"/>
      <c r="H366" s="48"/>
      <c r="I366" s="48"/>
      <c r="J366" s="48"/>
      <c r="K366" s="48"/>
      <c r="L366" s="30"/>
      <c r="M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</row>
  </sheetData>
  <autoFilter ref="C141:K365"/>
  <mergeCells count="12">
    <mergeCell ref="E134:H134"/>
    <mergeCell ref="L2:V2"/>
    <mergeCell ref="E85:H85"/>
    <mergeCell ref="E87:H87"/>
    <mergeCell ref="E89:H89"/>
    <mergeCell ref="E130:H130"/>
    <mergeCell ref="E132:H13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BM233"/>
  <sheetViews>
    <sheetView showGridLines="0" topLeftCell="A6" workbookViewId="0">
      <selection activeCell="J44" sqref="J44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0" t="s">
        <v>5</v>
      </c>
      <c r="M2" s="351"/>
      <c r="N2" s="351"/>
      <c r="O2" s="351"/>
      <c r="P2" s="351"/>
      <c r="Q2" s="351"/>
      <c r="R2" s="351"/>
      <c r="S2" s="351"/>
      <c r="T2" s="351"/>
      <c r="U2" s="351"/>
      <c r="V2" s="351"/>
      <c r="AT2" s="14" t="s">
        <v>95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5" customHeight="1">
      <c r="B4" s="17"/>
      <c r="D4" s="18" t="s">
        <v>129</v>
      </c>
      <c r="L4" s="17"/>
      <c r="M4" s="98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387" t="str">
        <f>'Rekapitulácia stavby'!K6</f>
        <v>Topoľčianky, Centrálny logistický sklad - rekonštrukcia tepelného hospodárstva</v>
      </c>
      <c r="F7" s="388"/>
      <c r="G7" s="388"/>
      <c r="H7" s="388"/>
      <c r="L7" s="17"/>
    </row>
    <row r="8" spans="1:46" s="1" customFormat="1" ht="12" customHeight="1">
      <c r="B8" s="17"/>
      <c r="D8" s="24" t="s">
        <v>130</v>
      </c>
      <c r="L8" s="17"/>
    </row>
    <row r="9" spans="1:46" s="2" customFormat="1" ht="16.5" customHeight="1">
      <c r="A9" s="29"/>
      <c r="B9" s="30"/>
      <c r="C9" s="29"/>
      <c r="D9" s="29"/>
      <c r="E9" s="387" t="s">
        <v>131</v>
      </c>
      <c r="F9" s="386"/>
      <c r="G9" s="386"/>
      <c r="H9" s="386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>
      <c r="A10" s="29"/>
      <c r="B10" s="30"/>
      <c r="C10" s="29"/>
      <c r="D10" s="24" t="s">
        <v>132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>
      <c r="A11" s="29"/>
      <c r="B11" s="30"/>
      <c r="C11" s="29"/>
      <c r="D11" s="29"/>
      <c r="E11" s="382" t="s">
        <v>1782</v>
      </c>
      <c r="F11" s="386"/>
      <c r="G11" s="386"/>
      <c r="H11" s="386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>
      <c r="A13" s="29"/>
      <c r="B13" s="30"/>
      <c r="C13" s="29"/>
      <c r="D13" s="24" t="s">
        <v>15</v>
      </c>
      <c r="E13" s="29"/>
      <c r="F13" s="22" t="s">
        <v>1</v>
      </c>
      <c r="G13" s="29"/>
      <c r="H13" s="29"/>
      <c r="I13" s="24" t="s">
        <v>16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17</v>
      </c>
      <c r="E14" s="29"/>
      <c r="F14" s="22" t="s">
        <v>18</v>
      </c>
      <c r="G14" s="29"/>
      <c r="H14" s="29"/>
      <c r="I14" s="24" t="s">
        <v>19</v>
      </c>
      <c r="J14" s="55">
        <f>'Rekapitulácia stavby'!AN8</f>
        <v>45945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>
      <c r="A16" s="29"/>
      <c r="B16" s="30"/>
      <c r="C16" s="29"/>
      <c r="D16" s="24" t="s">
        <v>20</v>
      </c>
      <c r="E16" s="29"/>
      <c r="F16" s="29"/>
      <c r="G16" s="29"/>
      <c r="H16" s="29"/>
      <c r="I16" s="24" t="s">
        <v>21</v>
      </c>
      <c r="J16" s="22" t="str">
        <f>IF('Rekapitulácia stavby'!AN10="","",'Rekapitulácia stavby'!AN10)</f>
        <v/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>
      <c r="A17" s="29"/>
      <c r="B17" s="30"/>
      <c r="C17" s="29"/>
      <c r="D17" s="29"/>
      <c r="E17" s="22" t="str">
        <f>IF('Rekapitulácia stavby'!E11="","",'Rekapitulácia stavby'!E11)</f>
        <v xml:space="preserve"> </v>
      </c>
      <c r="F17" s="29"/>
      <c r="G17" s="29"/>
      <c r="H17" s="29"/>
      <c r="I17" s="24" t="s">
        <v>22</v>
      </c>
      <c r="J17" s="22" t="str">
        <f>IF('Rekapitulácia stavby'!AN11="","",'Rekapitulácia stavby'!AN11)</f>
        <v/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customHeight="1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>
      <c r="A19" s="29"/>
      <c r="B19" s="30"/>
      <c r="C19" s="29"/>
      <c r="D19" s="24" t="s">
        <v>23</v>
      </c>
      <c r="E19" s="29"/>
      <c r="F19" s="29"/>
      <c r="G19" s="29"/>
      <c r="H19" s="29"/>
      <c r="I19" s="24" t="s">
        <v>21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>
      <c r="A20" s="29"/>
      <c r="B20" s="30"/>
      <c r="C20" s="29"/>
      <c r="D20" s="29"/>
      <c r="E20" s="389" t="str">
        <f>'Rekapitulácia stavby'!E14</f>
        <v>Vyplň údaj</v>
      </c>
      <c r="F20" s="390"/>
      <c r="G20" s="390"/>
      <c r="H20" s="390"/>
      <c r="I20" s="24" t="s">
        <v>22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customHeight="1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>
      <c r="A22" s="29"/>
      <c r="B22" s="30"/>
      <c r="C22" s="29"/>
      <c r="D22" s="24" t="s">
        <v>25</v>
      </c>
      <c r="E22" s="29"/>
      <c r="F22" s="29"/>
      <c r="G22" s="29"/>
      <c r="H22" s="29"/>
      <c r="I22" s="24" t="s">
        <v>21</v>
      </c>
      <c r="J22" s="22" t="str">
        <f>IF('Rekapitulácia stavby'!AN16="","",'Rekapitulácia stavby'!AN16)</f>
        <v/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>
      <c r="A23" s="29"/>
      <c r="B23" s="30"/>
      <c r="C23" s="29"/>
      <c r="D23" s="29"/>
      <c r="E23" s="22" t="str">
        <f>IF('Rekapitulácia stavby'!E17="","",'Rekapitulácia stavby'!E17)</f>
        <v xml:space="preserve"> </v>
      </c>
      <c r="F23" s="29"/>
      <c r="G23" s="29"/>
      <c r="H23" s="29"/>
      <c r="I23" s="24" t="s">
        <v>22</v>
      </c>
      <c r="J23" s="22" t="str">
        <f>IF('Rekapitulácia stavby'!AN17="","",'Rekapitulácia stavby'!AN17)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customHeight="1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>
      <c r="A25" s="29"/>
      <c r="B25" s="30"/>
      <c r="C25" s="29"/>
      <c r="D25" s="24" t="s">
        <v>26</v>
      </c>
      <c r="E25" s="29"/>
      <c r="F25" s="29"/>
      <c r="G25" s="29"/>
      <c r="H25" s="29"/>
      <c r="I25" s="24" t="s">
        <v>21</v>
      </c>
      <c r="J25" s="22" t="str">
        <f>IF('Rekapitulácia stavby'!AN19="","",'Rekapitulácia stavby'!AN19)</f>
        <v/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24" t="s">
        <v>22</v>
      </c>
      <c r="J26" s="22" t="str">
        <f>IF('Rekapitulácia stavby'!AN20="","",'Rekapitulácia stavby'!AN20)</f>
        <v/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>
      <c r="A28" s="29"/>
      <c r="B28" s="30"/>
      <c r="C28" s="29"/>
      <c r="D28" s="24" t="s">
        <v>28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>
      <c r="A29" s="99"/>
      <c r="B29" s="100"/>
      <c r="C29" s="99"/>
      <c r="D29" s="99"/>
      <c r="E29" s="378" t="s">
        <v>1</v>
      </c>
      <c r="F29" s="378"/>
      <c r="G29" s="378"/>
      <c r="H29" s="378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102" t="s">
        <v>29</v>
      </c>
      <c r="E32" s="29"/>
      <c r="F32" s="29"/>
      <c r="G32" s="29"/>
      <c r="H32" s="29"/>
      <c r="I32" s="29"/>
      <c r="J32" s="71"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31</v>
      </c>
      <c r="G34" s="29"/>
      <c r="H34" s="29"/>
      <c r="I34" s="33" t="s">
        <v>30</v>
      </c>
      <c r="J34" s="33" t="s">
        <v>32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3" t="s">
        <v>33</v>
      </c>
      <c r="E35" s="35" t="s">
        <v>34</v>
      </c>
      <c r="F35" s="104">
        <f>ROUND((SUM(BE134:BE232)),  2)</f>
        <v>0</v>
      </c>
      <c r="G35" s="105"/>
      <c r="H35" s="105"/>
      <c r="I35" s="106">
        <v>0.23</v>
      </c>
      <c r="J35" s="104">
        <f>ROUND(((SUM(BE134:BE232))*I35),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35</v>
      </c>
      <c r="F36" s="104">
        <f>ROUND((SUM(BF134:BF232)),  2)</f>
        <v>0</v>
      </c>
      <c r="G36" s="105"/>
      <c r="H36" s="105"/>
      <c r="I36" s="106">
        <v>0.23</v>
      </c>
      <c r="J36" s="104">
        <f>ROUND(((SUM(BF134:BF232))*I36),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36</v>
      </c>
      <c r="F37" s="107">
        <f>ROUND((SUM(BG134:BG232)),  2)</f>
        <v>0</v>
      </c>
      <c r="G37" s="29"/>
      <c r="H37" s="29"/>
      <c r="I37" s="108">
        <v>0.23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37</v>
      </c>
      <c r="F38" s="107">
        <f>ROUND((SUM(BH134:BH232)),  2)</f>
        <v>0</v>
      </c>
      <c r="G38" s="29"/>
      <c r="H38" s="29"/>
      <c r="I38" s="108">
        <v>0.23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38</v>
      </c>
      <c r="F39" s="104">
        <f>ROUND((SUM(BI134:BI232)), 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9"/>
      <c r="D41" s="110" t="s">
        <v>39</v>
      </c>
      <c r="E41" s="60"/>
      <c r="F41" s="60"/>
      <c r="G41" s="111" t="s">
        <v>40</v>
      </c>
      <c r="H41" s="112" t="s">
        <v>41</v>
      </c>
      <c r="I41" s="60"/>
      <c r="J41" s="113"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42</v>
      </c>
      <c r="E50" s="44"/>
      <c r="F50" s="44"/>
      <c r="G50" s="43" t="s">
        <v>43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44</v>
      </c>
      <c r="E61" s="32"/>
      <c r="F61" s="115" t="s">
        <v>45</v>
      </c>
      <c r="G61" s="45" t="s">
        <v>44</v>
      </c>
      <c r="H61" s="32"/>
      <c r="I61" s="32"/>
      <c r="J61" s="116" t="s">
        <v>45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46</v>
      </c>
      <c r="E65" s="46"/>
      <c r="F65" s="46"/>
      <c r="G65" s="43" t="s">
        <v>47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44</v>
      </c>
      <c r="E76" s="32"/>
      <c r="F76" s="115" t="s">
        <v>45</v>
      </c>
      <c r="G76" s="45" t="s">
        <v>44</v>
      </c>
      <c r="H76" s="32"/>
      <c r="I76" s="32"/>
      <c r="J76" s="116" t="s">
        <v>45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hidden="1" customHeight="1">
      <c r="A82" s="29"/>
      <c r="B82" s="30"/>
      <c r="C82" s="18" t="s">
        <v>134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hidden="1" customHeight="1">
      <c r="A85" s="29"/>
      <c r="B85" s="30"/>
      <c r="C85" s="29"/>
      <c r="D85" s="29"/>
      <c r="E85" s="387" t="str">
        <f>E7</f>
        <v>Topoľčianky, Centrálny logistický sklad - rekonštrukcia tepelného hospodárstva</v>
      </c>
      <c r="F85" s="388"/>
      <c r="G85" s="388"/>
      <c r="H85" s="388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hidden="1" customHeight="1">
      <c r="B86" s="17"/>
      <c r="C86" s="24" t="s">
        <v>130</v>
      </c>
      <c r="L86" s="17"/>
    </row>
    <row r="87" spans="1:31" s="2" customFormat="1" ht="16.5" hidden="1" customHeight="1">
      <c r="A87" s="29"/>
      <c r="B87" s="30"/>
      <c r="C87" s="29"/>
      <c r="D87" s="29"/>
      <c r="E87" s="387" t="s">
        <v>131</v>
      </c>
      <c r="F87" s="386"/>
      <c r="G87" s="386"/>
      <c r="H87" s="386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hidden="1" customHeight="1">
      <c r="A88" s="29"/>
      <c r="B88" s="30"/>
      <c r="C88" s="24" t="s">
        <v>132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hidden="1" customHeight="1">
      <c r="A89" s="29"/>
      <c r="B89" s="30"/>
      <c r="C89" s="29"/>
      <c r="D89" s="29"/>
      <c r="E89" s="382" t="str">
        <f>E11</f>
        <v>E1.6-3 - ELI + MaR - DT03</v>
      </c>
      <c r="F89" s="386"/>
      <c r="G89" s="386"/>
      <c r="H89" s="386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hidden="1" customHeight="1">
      <c r="A91" s="29"/>
      <c r="B91" s="30"/>
      <c r="C91" s="24" t="s">
        <v>17</v>
      </c>
      <c r="D91" s="29"/>
      <c r="E91" s="29"/>
      <c r="F91" s="22" t="str">
        <f>F14</f>
        <v xml:space="preserve"> </v>
      </c>
      <c r="G91" s="29"/>
      <c r="H91" s="29"/>
      <c r="I91" s="24" t="s">
        <v>19</v>
      </c>
      <c r="J91" s="55">
        <f>IF(J14="","",J14)</f>
        <v>45945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hidden="1" customHeight="1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hidden="1" customHeight="1">
      <c r="A93" s="29"/>
      <c r="B93" s="30"/>
      <c r="C93" s="24" t="s">
        <v>20</v>
      </c>
      <c r="D93" s="29"/>
      <c r="E93" s="29"/>
      <c r="F93" s="22" t="str">
        <f>E17</f>
        <v xml:space="preserve"> </v>
      </c>
      <c r="G93" s="29"/>
      <c r="H93" s="29"/>
      <c r="I93" s="24" t="s">
        <v>25</v>
      </c>
      <c r="J93" s="27" t="str">
        <f>E23</f>
        <v xml:space="preserve">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hidden="1" customHeight="1">
      <c r="A94" s="29"/>
      <c r="B94" s="30"/>
      <c r="C94" s="24" t="s">
        <v>23</v>
      </c>
      <c r="D94" s="29"/>
      <c r="E94" s="29"/>
      <c r="F94" s="22" t="str">
        <f>IF(E20="","",E20)</f>
        <v>Vyplň údaj</v>
      </c>
      <c r="G94" s="29"/>
      <c r="H94" s="29"/>
      <c r="I94" s="24" t="s">
        <v>26</v>
      </c>
      <c r="J94" s="27" t="str">
        <f>E26</f>
        <v xml:space="preserve">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hidden="1" customHeight="1">
      <c r="A96" s="29"/>
      <c r="B96" s="30"/>
      <c r="C96" s="117" t="s">
        <v>135</v>
      </c>
      <c r="D96" s="109"/>
      <c r="E96" s="109"/>
      <c r="F96" s="109"/>
      <c r="G96" s="109"/>
      <c r="H96" s="109"/>
      <c r="I96" s="109"/>
      <c r="J96" s="118" t="s">
        <v>136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hidden="1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hidden="1" customHeight="1">
      <c r="A98" s="29"/>
      <c r="B98" s="30"/>
      <c r="C98" s="119" t="s">
        <v>137</v>
      </c>
      <c r="D98" s="29"/>
      <c r="E98" s="29"/>
      <c r="F98" s="29"/>
      <c r="G98" s="29"/>
      <c r="H98" s="29"/>
      <c r="I98" s="29"/>
      <c r="J98" s="71">
        <f>J134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138</v>
      </c>
    </row>
    <row r="99" spans="1:47" s="9" customFormat="1" ht="24.95" hidden="1" customHeight="1">
      <c r="B99" s="120"/>
      <c r="D99" s="121" t="s">
        <v>1783</v>
      </c>
      <c r="E99" s="122"/>
      <c r="F99" s="122"/>
      <c r="G99" s="122"/>
      <c r="H99" s="122"/>
      <c r="I99" s="122"/>
      <c r="J99" s="123">
        <f>J135</f>
        <v>0</v>
      </c>
      <c r="L99" s="120"/>
    </row>
    <row r="100" spans="1:47" s="10" customFormat="1" ht="19.899999999999999" hidden="1" customHeight="1">
      <c r="B100" s="124"/>
      <c r="D100" s="125" t="s">
        <v>1784</v>
      </c>
      <c r="E100" s="126"/>
      <c r="F100" s="126"/>
      <c r="G100" s="126"/>
      <c r="H100" s="126"/>
      <c r="I100" s="126"/>
      <c r="J100" s="127">
        <f>J136</f>
        <v>0</v>
      </c>
      <c r="L100" s="124"/>
    </row>
    <row r="101" spans="1:47" s="10" customFormat="1" ht="19.899999999999999" hidden="1" customHeight="1">
      <c r="B101" s="124"/>
      <c r="D101" s="125" t="s">
        <v>1785</v>
      </c>
      <c r="E101" s="126"/>
      <c r="F101" s="126"/>
      <c r="G101" s="126"/>
      <c r="H101" s="126"/>
      <c r="I101" s="126"/>
      <c r="J101" s="127">
        <f>J143</f>
        <v>0</v>
      </c>
      <c r="L101" s="124"/>
    </row>
    <row r="102" spans="1:47" s="10" customFormat="1" ht="19.899999999999999" hidden="1" customHeight="1">
      <c r="B102" s="124"/>
      <c r="D102" s="125" t="s">
        <v>1786</v>
      </c>
      <c r="E102" s="126"/>
      <c r="F102" s="126"/>
      <c r="G102" s="126"/>
      <c r="H102" s="126"/>
      <c r="I102" s="126"/>
      <c r="J102" s="127">
        <f>J146</f>
        <v>0</v>
      </c>
      <c r="L102" s="124"/>
    </row>
    <row r="103" spans="1:47" s="10" customFormat="1" ht="19.899999999999999" hidden="1" customHeight="1">
      <c r="B103" s="124"/>
      <c r="D103" s="125" t="s">
        <v>1787</v>
      </c>
      <c r="E103" s="126"/>
      <c r="F103" s="126"/>
      <c r="G103" s="126"/>
      <c r="H103" s="126"/>
      <c r="I103" s="126"/>
      <c r="J103" s="127">
        <f>J147</f>
        <v>0</v>
      </c>
      <c r="L103" s="124"/>
    </row>
    <row r="104" spans="1:47" s="10" customFormat="1" ht="19.899999999999999" hidden="1" customHeight="1">
      <c r="B104" s="124"/>
      <c r="D104" s="125" t="s">
        <v>1788</v>
      </c>
      <c r="E104" s="126"/>
      <c r="F104" s="126"/>
      <c r="G104" s="126"/>
      <c r="H104" s="126"/>
      <c r="I104" s="126"/>
      <c r="J104" s="127">
        <f>J149</f>
        <v>0</v>
      </c>
      <c r="L104" s="124"/>
    </row>
    <row r="105" spans="1:47" s="9" customFormat="1" ht="24.95" hidden="1" customHeight="1">
      <c r="B105" s="120"/>
      <c r="D105" s="121" t="s">
        <v>1789</v>
      </c>
      <c r="E105" s="122"/>
      <c r="F105" s="122"/>
      <c r="G105" s="122"/>
      <c r="H105" s="122"/>
      <c r="I105" s="122"/>
      <c r="J105" s="123">
        <f>J155</f>
        <v>0</v>
      </c>
      <c r="L105" s="120"/>
    </row>
    <row r="106" spans="1:47" s="9" customFormat="1" ht="24.95" hidden="1" customHeight="1">
      <c r="B106" s="120"/>
      <c r="D106" s="121" t="s">
        <v>1790</v>
      </c>
      <c r="E106" s="122"/>
      <c r="F106" s="122"/>
      <c r="G106" s="122"/>
      <c r="H106" s="122"/>
      <c r="I106" s="122"/>
      <c r="J106" s="123">
        <f>J164</f>
        <v>0</v>
      </c>
      <c r="L106" s="120"/>
    </row>
    <row r="107" spans="1:47" s="10" customFormat="1" ht="19.899999999999999" hidden="1" customHeight="1">
      <c r="B107" s="124"/>
      <c r="D107" s="125" t="s">
        <v>1791</v>
      </c>
      <c r="E107" s="126"/>
      <c r="F107" s="126"/>
      <c r="G107" s="126"/>
      <c r="H107" s="126"/>
      <c r="I107" s="126"/>
      <c r="J107" s="127">
        <f>J165</f>
        <v>0</v>
      </c>
      <c r="L107" s="124"/>
    </row>
    <row r="108" spans="1:47" s="10" customFormat="1" ht="19.899999999999999" hidden="1" customHeight="1">
      <c r="B108" s="124"/>
      <c r="D108" s="125" t="s">
        <v>1792</v>
      </c>
      <c r="E108" s="126"/>
      <c r="F108" s="126"/>
      <c r="G108" s="126"/>
      <c r="H108" s="126"/>
      <c r="I108" s="126"/>
      <c r="J108" s="127">
        <f>J167</f>
        <v>0</v>
      </c>
      <c r="L108" s="124"/>
    </row>
    <row r="109" spans="1:47" s="9" customFormat="1" ht="24.95" hidden="1" customHeight="1">
      <c r="B109" s="120"/>
      <c r="D109" s="121" t="s">
        <v>1367</v>
      </c>
      <c r="E109" s="122"/>
      <c r="F109" s="122"/>
      <c r="G109" s="122"/>
      <c r="H109" s="122"/>
      <c r="I109" s="122"/>
      <c r="J109" s="123">
        <f>J169</f>
        <v>0</v>
      </c>
      <c r="L109" s="120"/>
    </row>
    <row r="110" spans="1:47" s="10" customFormat="1" ht="19.899999999999999" hidden="1" customHeight="1">
      <c r="B110" s="124"/>
      <c r="D110" s="125" t="s">
        <v>1793</v>
      </c>
      <c r="E110" s="126"/>
      <c r="F110" s="126"/>
      <c r="G110" s="126"/>
      <c r="H110" s="126"/>
      <c r="I110" s="126"/>
      <c r="J110" s="127">
        <f>J212</f>
        <v>0</v>
      </c>
      <c r="L110" s="124"/>
    </row>
    <row r="111" spans="1:47" s="10" customFormat="1" ht="19.899999999999999" hidden="1" customHeight="1">
      <c r="B111" s="124"/>
      <c r="D111" s="125" t="s">
        <v>1794</v>
      </c>
      <c r="E111" s="126"/>
      <c r="F111" s="126"/>
      <c r="G111" s="126"/>
      <c r="H111" s="126"/>
      <c r="I111" s="126"/>
      <c r="J111" s="127">
        <f>J220</f>
        <v>0</v>
      </c>
      <c r="L111" s="124"/>
    </row>
    <row r="112" spans="1:47" s="10" customFormat="1" ht="19.899999999999999" hidden="1" customHeight="1">
      <c r="B112" s="124"/>
      <c r="D112" s="125" t="s">
        <v>1795</v>
      </c>
      <c r="E112" s="126"/>
      <c r="F112" s="126"/>
      <c r="G112" s="126"/>
      <c r="H112" s="126"/>
      <c r="I112" s="126"/>
      <c r="J112" s="127">
        <f>J223</f>
        <v>0</v>
      </c>
      <c r="L112" s="124"/>
    </row>
    <row r="113" spans="1:31" s="2" customFormat="1" ht="21.75" hidden="1" customHeigh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31" s="2" customFormat="1" ht="6.95" hidden="1" customHeight="1">
      <c r="A114" s="29"/>
      <c r="B114" s="47"/>
      <c r="C114" s="48"/>
      <c r="D114" s="48"/>
      <c r="E114" s="48"/>
      <c r="F114" s="48"/>
      <c r="G114" s="48"/>
      <c r="H114" s="48"/>
      <c r="I114" s="48"/>
      <c r="J114" s="48"/>
      <c r="K114" s="48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31" hidden="1"/>
    <row r="116" spans="1:31" hidden="1"/>
    <row r="117" spans="1:31" hidden="1"/>
    <row r="118" spans="1:31" s="2" customFormat="1" ht="6.95" customHeight="1">
      <c r="A118" s="29"/>
      <c r="B118" s="49"/>
      <c r="C118" s="50"/>
      <c r="D118" s="50"/>
      <c r="E118" s="50"/>
      <c r="F118" s="50"/>
      <c r="G118" s="50"/>
      <c r="H118" s="50"/>
      <c r="I118" s="50"/>
      <c r="J118" s="50"/>
      <c r="K118" s="50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24.95" customHeight="1">
      <c r="A119" s="29"/>
      <c r="B119" s="30"/>
      <c r="C119" s="18" t="s">
        <v>165</v>
      </c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6.9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2" customHeight="1">
      <c r="A121" s="29"/>
      <c r="B121" s="30"/>
      <c r="C121" s="24" t="s">
        <v>14</v>
      </c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6.5" customHeight="1">
      <c r="A122" s="29"/>
      <c r="B122" s="30"/>
      <c r="C122" s="29"/>
      <c r="D122" s="29"/>
      <c r="E122" s="387" t="str">
        <f>E7</f>
        <v>Topoľčianky, Centrálny logistický sklad - rekonštrukcia tepelného hospodárstva</v>
      </c>
      <c r="F122" s="388"/>
      <c r="G122" s="388"/>
      <c r="H122" s="388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1" customFormat="1" ht="12" customHeight="1">
      <c r="B123" s="17"/>
      <c r="C123" s="24" t="s">
        <v>130</v>
      </c>
      <c r="L123" s="17"/>
    </row>
    <row r="124" spans="1:31" s="2" customFormat="1" ht="16.5" customHeight="1">
      <c r="A124" s="29"/>
      <c r="B124" s="30"/>
      <c r="C124" s="29"/>
      <c r="D124" s="29"/>
      <c r="E124" s="387" t="s">
        <v>131</v>
      </c>
      <c r="F124" s="386"/>
      <c r="G124" s="386"/>
      <c r="H124" s="386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2" customHeight="1">
      <c r="A125" s="29"/>
      <c r="B125" s="30"/>
      <c r="C125" s="24" t="s">
        <v>132</v>
      </c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6.5" customHeight="1">
      <c r="A126" s="29"/>
      <c r="B126" s="30"/>
      <c r="C126" s="29"/>
      <c r="D126" s="29"/>
      <c r="E126" s="382" t="str">
        <f>E11</f>
        <v>E1.6-3 - ELI + MaR - DT03</v>
      </c>
      <c r="F126" s="386"/>
      <c r="G126" s="386"/>
      <c r="H126" s="386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6.95" customHeight="1">
      <c r="A127" s="29"/>
      <c r="B127" s="30"/>
      <c r="C127" s="29"/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2" customHeight="1">
      <c r="A128" s="29"/>
      <c r="B128" s="30"/>
      <c r="C128" s="24" t="s">
        <v>17</v>
      </c>
      <c r="D128" s="29"/>
      <c r="E128" s="29"/>
      <c r="F128" s="22" t="str">
        <f>F14</f>
        <v xml:space="preserve"> </v>
      </c>
      <c r="G128" s="29"/>
      <c r="H128" s="29"/>
      <c r="I128" s="24" t="s">
        <v>19</v>
      </c>
      <c r="J128" s="55">
        <f>IF(J14="","",J14)</f>
        <v>45945</v>
      </c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6.95" customHeight="1">
      <c r="A129" s="29"/>
      <c r="B129" s="30"/>
      <c r="C129" s="29"/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5.2" customHeight="1">
      <c r="A130" s="29"/>
      <c r="B130" s="30"/>
      <c r="C130" s="24" t="s">
        <v>20</v>
      </c>
      <c r="D130" s="29"/>
      <c r="E130" s="29"/>
      <c r="F130" s="22" t="str">
        <f>E17</f>
        <v xml:space="preserve"> </v>
      </c>
      <c r="G130" s="29"/>
      <c r="H130" s="29"/>
      <c r="I130" s="24" t="s">
        <v>25</v>
      </c>
      <c r="J130" s="27" t="str">
        <f>E23</f>
        <v xml:space="preserve"> </v>
      </c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5.2" customHeight="1">
      <c r="A131" s="29"/>
      <c r="B131" s="30"/>
      <c r="C131" s="24" t="s">
        <v>23</v>
      </c>
      <c r="D131" s="29"/>
      <c r="E131" s="29"/>
      <c r="F131" s="22" t="str">
        <f>IF(E20="","",E20)</f>
        <v>Vyplň údaj</v>
      </c>
      <c r="G131" s="29"/>
      <c r="H131" s="29"/>
      <c r="I131" s="24" t="s">
        <v>26</v>
      </c>
      <c r="J131" s="27" t="str">
        <f>E26</f>
        <v xml:space="preserve"> </v>
      </c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0.35" customHeight="1">
      <c r="A132" s="29"/>
      <c r="B132" s="30"/>
      <c r="C132" s="29"/>
      <c r="D132" s="29"/>
      <c r="E132" s="29"/>
      <c r="F132" s="29"/>
      <c r="G132" s="29"/>
      <c r="H132" s="29"/>
      <c r="I132" s="29"/>
      <c r="J132" s="29"/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11" customFormat="1" ht="29.25" customHeight="1">
      <c r="A133" s="128"/>
      <c r="B133" s="129"/>
      <c r="C133" s="130" t="s">
        <v>166</v>
      </c>
      <c r="D133" s="131" t="s">
        <v>54</v>
      </c>
      <c r="E133" s="131" t="s">
        <v>50</v>
      </c>
      <c r="F133" s="131" t="s">
        <v>51</v>
      </c>
      <c r="G133" s="131" t="s">
        <v>167</v>
      </c>
      <c r="H133" s="131" t="s">
        <v>168</v>
      </c>
      <c r="I133" s="131" t="s">
        <v>169</v>
      </c>
      <c r="J133" s="132" t="s">
        <v>136</v>
      </c>
      <c r="K133" s="133" t="s">
        <v>170</v>
      </c>
      <c r="L133" s="134"/>
      <c r="M133" s="62" t="s">
        <v>1</v>
      </c>
      <c r="N133" s="63" t="s">
        <v>33</v>
      </c>
      <c r="O133" s="63" t="s">
        <v>171</v>
      </c>
      <c r="P133" s="63" t="s">
        <v>172</v>
      </c>
      <c r="Q133" s="63" t="s">
        <v>173</v>
      </c>
      <c r="R133" s="63" t="s">
        <v>174</v>
      </c>
      <c r="S133" s="63" t="s">
        <v>175</v>
      </c>
      <c r="T133" s="64" t="s">
        <v>176</v>
      </c>
      <c r="U133" s="128"/>
      <c r="V133" s="128"/>
      <c r="W133" s="128"/>
      <c r="X133" s="128"/>
      <c r="Y133" s="128"/>
      <c r="Z133" s="128"/>
      <c r="AA133" s="128"/>
      <c r="AB133" s="128"/>
      <c r="AC133" s="128"/>
      <c r="AD133" s="128"/>
      <c r="AE133" s="128"/>
    </row>
    <row r="134" spans="1:65" s="2" customFormat="1" ht="22.9" customHeight="1">
      <c r="A134" s="29"/>
      <c r="B134" s="30"/>
      <c r="C134" s="69" t="s">
        <v>137</v>
      </c>
      <c r="D134" s="29"/>
      <c r="E134" s="29"/>
      <c r="F134" s="29"/>
      <c r="G134" s="29"/>
      <c r="H134" s="29"/>
      <c r="I134" s="29"/>
      <c r="J134" s="135">
        <v>0</v>
      </c>
      <c r="K134" s="29"/>
      <c r="L134" s="30"/>
      <c r="M134" s="65"/>
      <c r="N134" s="56"/>
      <c r="O134" s="66"/>
      <c r="P134" s="136">
        <f>P135+P155+P164+P169</f>
        <v>0</v>
      </c>
      <c r="Q134" s="66"/>
      <c r="R134" s="136">
        <f>R135+R155+R164+R169</f>
        <v>0</v>
      </c>
      <c r="S134" s="66"/>
      <c r="T134" s="137">
        <f>T135+T155+T164+T169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T134" s="14" t="s">
        <v>68</v>
      </c>
      <c r="AU134" s="14" t="s">
        <v>138</v>
      </c>
      <c r="BK134" s="138">
        <f>BK135+BK155+BK164+BK169</f>
        <v>0</v>
      </c>
    </row>
    <row r="135" spans="1:65" s="12" customFormat="1" ht="25.9" customHeight="1">
      <c r="B135" s="139"/>
      <c r="D135" s="140" t="s">
        <v>68</v>
      </c>
      <c r="E135" s="141" t="s">
        <v>1796</v>
      </c>
      <c r="F135" s="141" t="s">
        <v>1796</v>
      </c>
      <c r="I135" s="142"/>
      <c r="J135" s="143">
        <v>0</v>
      </c>
      <c r="L135" s="139"/>
      <c r="M135" s="144"/>
      <c r="N135" s="145"/>
      <c r="O135" s="145"/>
      <c r="P135" s="146">
        <f>P136+P143+P146+P147+P149</f>
        <v>0</v>
      </c>
      <c r="Q135" s="145"/>
      <c r="R135" s="146">
        <f>R136+R143+R146+R147+R149</f>
        <v>0</v>
      </c>
      <c r="S135" s="145"/>
      <c r="T135" s="147">
        <f>T136+T143+T146+T147+T149</f>
        <v>0</v>
      </c>
      <c r="AR135" s="140" t="s">
        <v>76</v>
      </c>
      <c r="AT135" s="148" t="s">
        <v>68</v>
      </c>
      <c r="AU135" s="148" t="s">
        <v>69</v>
      </c>
      <c r="AY135" s="140" t="s">
        <v>179</v>
      </c>
      <c r="BK135" s="149">
        <f>BK136+BK143+BK146+BK147+BK149</f>
        <v>0</v>
      </c>
    </row>
    <row r="136" spans="1:65" s="12" customFormat="1" ht="22.9" customHeight="1">
      <c r="B136" s="139"/>
      <c r="D136" s="140" t="s">
        <v>68</v>
      </c>
      <c r="E136" s="150" t="s">
        <v>1376</v>
      </c>
      <c r="F136" s="150" t="s">
        <v>1797</v>
      </c>
      <c r="I136" s="142"/>
      <c r="J136" s="151">
        <v>0</v>
      </c>
      <c r="L136" s="139"/>
      <c r="M136" s="144"/>
      <c r="N136" s="145"/>
      <c r="O136" s="145"/>
      <c r="P136" s="146">
        <f>SUM(P137:P142)</f>
        <v>0</v>
      </c>
      <c r="Q136" s="145"/>
      <c r="R136" s="146">
        <f>SUM(R137:R142)</f>
        <v>0</v>
      </c>
      <c r="S136" s="145"/>
      <c r="T136" s="147">
        <f>SUM(T137:T142)</f>
        <v>0</v>
      </c>
      <c r="AR136" s="140" t="s">
        <v>76</v>
      </c>
      <c r="AT136" s="148" t="s">
        <v>68</v>
      </c>
      <c r="AU136" s="148" t="s">
        <v>76</v>
      </c>
      <c r="AY136" s="140" t="s">
        <v>179</v>
      </c>
      <c r="BK136" s="149">
        <f>SUM(BK137:BK142)</f>
        <v>0</v>
      </c>
    </row>
    <row r="137" spans="1:65" s="2" customFormat="1" ht="16.5" customHeight="1">
      <c r="A137" s="29"/>
      <c r="B137" s="152"/>
      <c r="C137" s="153" t="s">
        <v>76</v>
      </c>
      <c r="D137" s="153" t="s">
        <v>181</v>
      </c>
      <c r="E137" s="154" t="s">
        <v>1798</v>
      </c>
      <c r="F137" s="155" t="s">
        <v>1799</v>
      </c>
      <c r="G137" s="156" t="s">
        <v>217</v>
      </c>
      <c r="H137" s="157">
        <v>1</v>
      </c>
      <c r="I137" s="158"/>
      <c r="J137" s="151">
        <v>0</v>
      </c>
      <c r="K137" s="160"/>
      <c r="L137" s="30"/>
      <c r="M137" s="161" t="s">
        <v>1</v>
      </c>
      <c r="N137" s="162" t="s">
        <v>35</v>
      </c>
      <c r="O137" s="58"/>
      <c r="P137" s="163">
        <f t="shared" ref="P137:P142" si="0">O137*H137</f>
        <v>0</v>
      </c>
      <c r="Q137" s="163">
        <v>0</v>
      </c>
      <c r="R137" s="163">
        <f t="shared" ref="R137:R142" si="1">Q137*H137</f>
        <v>0</v>
      </c>
      <c r="S137" s="163">
        <v>0</v>
      </c>
      <c r="T137" s="164">
        <f t="shared" ref="T137:T142" si="2"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185</v>
      </c>
      <c r="AT137" s="165" t="s">
        <v>181</v>
      </c>
      <c r="AU137" s="165" t="s">
        <v>82</v>
      </c>
      <c r="AY137" s="14" t="s">
        <v>179</v>
      </c>
      <c r="BE137" s="166">
        <f t="shared" ref="BE137:BE142" si="3">IF(N137="základná",J137,0)</f>
        <v>0</v>
      </c>
      <c r="BF137" s="166">
        <f t="shared" ref="BF137:BF142" si="4">IF(N137="znížená",J137,0)</f>
        <v>0</v>
      </c>
      <c r="BG137" s="166">
        <f t="shared" ref="BG137:BG142" si="5">IF(N137="zákl. prenesená",J137,0)</f>
        <v>0</v>
      </c>
      <c r="BH137" s="166">
        <f t="shared" ref="BH137:BH142" si="6">IF(N137="zníž. prenesená",J137,0)</f>
        <v>0</v>
      </c>
      <c r="BI137" s="166">
        <f t="shared" ref="BI137:BI142" si="7">IF(N137="nulová",J137,0)</f>
        <v>0</v>
      </c>
      <c r="BJ137" s="14" t="s">
        <v>82</v>
      </c>
      <c r="BK137" s="166">
        <f t="shared" ref="BK137:BK142" si="8">ROUND(I137*H137,2)</f>
        <v>0</v>
      </c>
      <c r="BL137" s="14" t="s">
        <v>185</v>
      </c>
      <c r="BM137" s="165" t="s">
        <v>82</v>
      </c>
    </row>
    <row r="138" spans="1:65" s="2" customFormat="1" ht="16.5" customHeight="1">
      <c r="A138" s="29"/>
      <c r="B138" s="152"/>
      <c r="C138" s="153" t="s">
        <v>82</v>
      </c>
      <c r="D138" s="153" t="s">
        <v>181</v>
      </c>
      <c r="E138" s="154" t="s">
        <v>1800</v>
      </c>
      <c r="F138" s="155" t="s">
        <v>1801</v>
      </c>
      <c r="G138" s="156" t="s">
        <v>217</v>
      </c>
      <c r="H138" s="157">
        <v>1</v>
      </c>
      <c r="I138" s="158"/>
      <c r="J138" s="151">
        <v>0</v>
      </c>
      <c r="K138" s="160"/>
      <c r="L138" s="30"/>
      <c r="M138" s="161" t="s">
        <v>1</v>
      </c>
      <c r="N138" s="162" t="s">
        <v>35</v>
      </c>
      <c r="O138" s="58"/>
      <c r="P138" s="163">
        <f t="shared" si="0"/>
        <v>0</v>
      </c>
      <c r="Q138" s="163">
        <v>0</v>
      </c>
      <c r="R138" s="163">
        <f t="shared" si="1"/>
        <v>0</v>
      </c>
      <c r="S138" s="163">
        <v>0</v>
      </c>
      <c r="T138" s="164">
        <f t="shared" si="2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185</v>
      </c>
      <c r="AT138" s="165" t="s">
        <v>181</v>
      </c>
      <c r="AU138" s="165" t="s">
        <v>82</v>
      </c>
      <c r="AY138" s="14" t="s">
        <v>179</v>
      </c>
      <c r="BE138" s="166">
        <f t="shared" si="3"/>
        <v>0</v>
      </c>
      <c r="BF138" s="166">
        <f t="shared" si="4"/>
        <v>0</v>
      </c>
      <c r="BG138" s="166">
        <f t="shared" si="5"/>
        <v>0</v>
      </c>
      <c r="BH138" s="166">
        <f t="shared" si="6"/>
        <v>0</v>
      </c>
      <c r="BI138" s="166">
        <f t="shared" si="7"/>
        <v>0</v>
      </c>
      <c r="BJ138" s="14" t="s">
        <v>82</v>
      </c>
      <c r="BK138" s="166">
        <f t="shared" si="8"/>
        <v>0</v>
      </c>
      <c r="BL138" s="14" t="s">
        <v>185</v>
      </c>
      <c r="BM138" s="165" t="s">
        <v>185</v>
      </c>
    </row>
    <row r="139" spans="1:65" s="2" customFormat="1" ht="16.5" customHeight="1">
      <c r="A139" s="29"/>
      <c r="B139" s="152"/>
      <c r="C139" s="153" t="s">
        <v>188</v>
      </c>
      <c r="D139" s="153" t="s">
        <v>181</v>
      </c>
      <c r="E139" s="154" t="s">
        <v>1802</v>
      </c>
      <c r="F139" s="155" t="s">
        <v>1801</v>
      </c>
      <c r="G139" s="156" t="s">
        <v>217</v>
      </c>
      <c r="H139" s="157">
        <v>1</v>
      </c>
      <c r="I139" s="158"/>
      <c r="J139" s="151">
        <v>0</v>
      </c>
      <c r="K139" s="160"/>
      <c r="L139" s="30"/>
      <c r="M139" s="161" t="s">
        <v>1</v>
      </c>
      <c r="N139" s="162" t="s">
        <v>35</v>
      </c>
      <c r="O139" s="58"/>
      <c r="P139" s="163">
        <f t="shared" si="0"/>
        <v>0</v>
      </c>
      <c r="Q139" s="163">
        <v>0</v>
      </c>
      <c r="R139" s="163">
        <f t="shared" si="1"/>
        <v>0</v>
      </c>
      <c r="S139" s="163">
        <v>0</v>
      </c>
      <c r="T139" s="164">
        <f t="shared" si="2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185</v>
      </c>
      <c r="AT139" s="165" t="s">
        <v>181</v>
      </c>
      <c r="AU139" s="165" t="s">
        <v>82</v>
      </c>
      <c r="AY139" s="14" t="s">
        <v>179</v>
      </c>
      <c r="BE139" s="166">
        <f t="shared" si="3"/>
        <v>0</v>
      </c>
      <c r="BF139" s="166">
        <f t="shared" si="4"/>
        <v>0</v>
      </c>
      <c r="BG139" s="166">
        <f t="shared" si="5"/>
        <v>0</v>
      </c>
      <c r="BH139" s="166">
        <f t="shared" si="6"/>
        <v>0</v>
      </c>
      <c r="BI139" s="166">
        <f t="shared" si="7"/>
        <v>0</v>
      </c>
      <c r="BJ139" s="14" t="s">
        <v>82</v>
      </c>
      <c r="BK139" s="166">
        <f t="shared" si="8"/>
        <v>0</v>
      </c>
      <c r="BL139" s="14" t="s">
        <v>185</v>
      </c>
      <c r="BM139" s="165" t="s">
        <v>192</v>
      </c>
    </row>
    <row r="140" spans="1:65" s="2" customFormat="1" ht="55.5" customHeight="1">
      <c r="A140" s="29"/>
      <c r="B140" s="152"/>
      <c r="C140" s="153" t="s">
        <v>185</v>
      </c>
      <c r="D140" s="153" t="s">
        <v>181</v>
      </c>
      <c r="E140" s="154" t="s">
        <v>1803</v>
      </c>
      <c r="F140" s="155" t="s">
        <v>1804</v>
      </c>
      <c r="G140" s="156" t="s">
        <v>217</v>
      </c>
      <c r="H140" s="157">
        <v>1</v>
      </c>
      <c r="I140" s="158"/>
      <c r="J140" s="151">
        <v>0</v>
      </c>
      <c r="K140" s="160"/>
      <c r="L140" s="30"/>
      <c r="M140" s="161" t="s">
        <v>1</v>
      </c>
      <c r="N140" s="162" t="s">
        <v>35</v>
      </c>
      <c r="O140" s="58"/>
      <c r="P140" s="163">
        <f t="shared" si="0"/>
        <v>0</v>
      </c>
      <c r="Q140" s="163">
        <v>0</v>
      </c>
      <c r="R140" s="163">
        <f t="shared" si="1"/>
        <v>0</v>
      </c>
      <c r="S140" s="163">
        <v>0</v>
      </c>
      <c r="T140" s="164">
        <f t="shared" si="2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185</v>
      </c>
      <c r="AT140" s="165" t="s">
        <v>181</v>
      </c>
      <c r="AU140" s="165" t="s">
        <v>82</v>
      </c>
      <c r="AY140" s="14" t="s">
        <v>179</v>
      </c>
      <c r="BE140" s="166">
        <f t="shared" si="3"/>
        <v>0</v>
      </c>
      <c r="BF140" s="166">
        <f t="shared" si="4"/>
        <v>0</v>
      </c>
      <c r="BG140" s="166">
        <f t="shared" si="5"/>
        <v>0</v>
      </c>
      <c r="BH140" s="166">
        <f t="shared" si="6"/>
        <v>0</v>
      </c>
      <c r="BI140" s="166">
        <f t="shared" si="7"/>
        <v>0</v>
      </c>
      <c r="BJ140" s="14" t="s">
        <v>82</v>
      </c>
      <c r="BK140" s="166">
        <f t="shared" si="8"/>
        <v>0</v>
      </c>
      <c r="BL140" s="14" t="s">
        <v>185</v>
      </c>
      <c r="BM140" s="165" t="s">
        <v>197</v>
      </c>
    </row>
    <row r="141" spans="1:65" s="2" customFormat="1" ht="55.5" customHeight="1">
      <c r="A141" s="29"/>
      <c r="B141" s="152"/>
      <c r="C141" s="153" t="s">
        <v>198</v>
      </c>
      <c r="D141" s="153" t="s">
        <v>181</v>
      </c>
      <c r="E141" s="154" t="s">
        <v>1805</v>
      </c>
      <c r="F141" s="155" t="s">
        <v>1806</v>
      </c>
      <c r="G141" s="156" t="s">
        <v>217</v>
      </c>
      <c r="H141" s="157">
        <v>1</v>
      </c>
      <c r="I141" s="158"/>
      <c r="J141" s="151">
        <v>0</v>
      </c>
      <c r="K141" s="160"/>
      <c r="L141" s="30"/>
      <c r="M141" s="161" t="s">
        <v>1</v>
      </c>
      <c r="N141" s="162" t="s">
        <v>35</v>
      </c>
      <c r="O141" s="58"/>
      <c r="P141" s="163">
        <f t="shared" si="0"/>
        <v>0</v>
      </c>
      <c r="Q141" s="163">
        <v>0</v>
      </c>
      <c r="R141" s="163">
        <f t="shared" si="1"/>
        <v>0</v>
      </c>
      <c r="S141" s="163">
        <v>0</v>
      </c>
      <c r="T141" s="164">
        <f t="shared" si="2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5" t="s">
        <v>185</v>
      </c>
      <c r="AT141" s="165" t="s">
        <v>181</v>
      </c>
      <c r="AU141" s="165" t="s">
        <v>82</v>
      </c>
      <c r="AY141" s="14" t="s">
        <v>179</v>
      </c>
      <c r="BE141" s="166">
        <f t="shared" si="3"/>
        <v>0</v>
      </c>
      <c r="BF141" s="166">
        <f t="shared" si="4"/>
        <v>0</v>
      </c>
      <c r="BG141" s="166">
        <f t="shared" si="5"/>
        <v>0</v>
      </c>
      <c r="BH141" s="166">
        <f t="shared" si="6"/>
        <v>0</v>
      </c>
      <c r="BI141" s="166">
        <f t="shared" si="7"/>
        <v>0</v>
      </c>
      <c r="BJ141" s="14" t="s">
        <v>82</v>
      </c>
      <c r="BK141" s="166">
        <f t="shared" si="8"/>
        <v>0</v>
      </c>
      <c r="BL141" s="14" t="s">
        <v>185</v>
      </c>
      <c r="BM141" s="165" t="s">
        <v>201</v>
      </c>
    </row>
    <row r="142" spans="1:65" s="2" customFormat="1" ht="21.75" customHeight="1">
      <c r="A142" s="29"/>
      <c r="B142" s="152"/>
      <c r="C142" s="153" t="s">
        <v>192</v>
      </c>
      <c r="D142" s="153" t="s">
        <v>181</v>
      </c>
      <c r="E142" s="154" t="s">
        <v>1807</v>
      </c>
      <c r="F142" s="155" t="s">
        <v>1388</v>
      </c>
      <c r="G142" s="156" t="s">
        <v>217</v>
      </c>
      <c r="H142" s="157">
        <v>1</v>
      </c>
      <c r="I142" s="158"/>
      <c r="J142" s="151">
        <v>0</v>
      </c>
      <c r="K142" s="160"/>
      <c r="L142" s="30"/>
      <c r="M142" s="161" t="s">
        <v>1</v>
      </c>
      <c r="N142" s="162" t="s">
        <v>35</v>
      </c>
      <c r="O142" s="58"/>
      <c r="P142" s="163">
        <f t="shared" si="0"/>
        <v>0</v>
      </c>
      <c r="Q142" s="163">
        <v>0</v>
      </c>
      <c r="R142" s="163">
        <f t="shared" si="1"/>
        <v>0</v>
      </c>
      <c r="S142" s="163">
        <v>0</v>
      </c>
      <c r="T142" s="164">
        <f t="shared" si="2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5" t="s">
        <v>185</v>
      </c>
      <c r="AT142" s="165" t="s">
        <v>181</v>
      </c>
      <c r="AU142" s="165" t="s">
        <v>82</v>
      </c>
      <c r="AY142" s="14" t="s">
        <v>179</v>
      </c>
      <c r="BE142" s="166">
        <f t="shared" si="3"/>
        <v>0</v>
      </c>
      <c r="BF142" s="166">
        <f t="shared" si="4"/>
        <v>0</v>
      </c>
      <c r="BG142" s="166">
        <f t="shared" si="5"/>
        <v>0</v>
      </c>
      <c r="BH142" s="166">
        <f t="shared" si="6"/>
        <v>0</v>
      </c>
      <c r="BI142" s="166">
        <f t="shared" si="7"/>
        <v>0</v>
      </c>
      <c r="BJ142" s="14" t="s">
        <v>82</v>
      </c>
      <c r="BK142" s="166">
        <f t="shared" si="8"/>
        <v>0</v>
      </c>
      <c r="BL142" s="14" t="s">
        <v>185</v>
      </c>
      <c r="BM142" s="165" t="s">
        <v>205</v>
      </c>
    </row>
    <row r="143" spans="1:65" s="12" customFormat="1" ht="22.9" customHeight="1">
      <c r="B143" s="139"/>
      <c r="D143" s="140" t="s">
        <v>68</v>
      </c>
      <c r="E143" s="150" t="s">
        <v>1389</v>
      </c>
      <c r="F143" s="150" t="s">
        <v>1808</v>
      </c>
      <c r="I143" s="142"/>
      <c r="J143" s="151">
        <v>0</v>
      </c>
      <c r="L143" s="139"/>
      <c r="M143" s="144"/>
      <c r="N143" s="145"/>
      <c r="O143" s="145"/>
      <c r="P143" s="146">
        <f>SUM(P144:P145)</f>
        <v>0</v>
      </c>
      <c r="Q143" s="145"/>
      <c r="R143" s="146">
        <f>SUM(R144:R145)</f>
        <v>0</v>
      </c>
      <c r="S143" s="145"/>
      <c r="T143" s="147">
        <f>SUM(T144:T145)</f>
        <v>0</v>
      </c>
      <c r="AR143" s="140" t="s">
        <v>76</v>
      </c>
      <c r="AT143" s="148" t="s">
        <v>68</v>
      </c>
      <c r="AU143" s="148" t="s">
        <v>76</v>
      </c>
      <c r="AY143" s="140" t="s">
        <v>179</v>
      </c>
      <c r="BK143" s="149">
        <f>SUM(BK144:BK145)</f>
        <v>0</v>
      </c>
    </row>
    <row r="144" spans="1:65" s="2" customFormat="1" ht="16.5" customHeight="1">
      <c r="A144" s="29"/>
      <c r="B144" s="152"/>
      <c r="C144" s="153" t="s">
        <v>207</v>
      </c>
      <c r="D144" s="153" t="s">
        <v>181</v>
      </c>
      <c r="E144" s="154" t="s">
        <v>1809</v>
      </c>
      <c r="F144" s="155" t="s">
        <v>1801</v>
      </c>
      <c r="G144" s="156" t="s">
        <v>217</v>
      </c>
      <c r="H144" s="157">
        <v>1</v>
      </c>
      <c r="I144" s="158"/>
      <c r="J144" s="151">
        <v>0</v>
      </c>
      <c r="K144" s="160"/>
      <c r="L144" s="30"/>
      <c r="M144" s="161" t="s">
        <v>1</v>
      </c>
      <c r="N144" s="162" t="s">
        <v>35</v>
      </c>
      <c r="O144" s="58"/>
      <c r="P144" s="163">
        <f>O144*H144</f>
        <v>0</v>
      </c>
      <c r="Q144" s="163">
        <v>0</v>
      </c>
      <c r="R144" s="163">
        <f>Q144*H144</f>
        <v>0</v>
      </c>
      <c r="S144" s="163">
        <v>0</v>
      </c>
      <c r="T144" s="164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5" t="s">
        <v>185</v>
      </c>
      <c r="AT144" s="165" t="s">
        <v>181</v>
      </c>
      <c r="AU144" s="165" t="s">
        <v>82</v>
      </c>
      <c r="AY144" s="14" t="s">
        <v>179</v>
      </c>
      <c r="BE144" s="166">
        <f>IF(N144="základná",J144,0)</f>
        <v>0</v>
      </c>
      <c r="BF144" s="166">
        <f>IF(N144="znížená",J144,0)</f>
        <v>0</v>
      </c>
      <c r="BG144" s="166">
        <f>IF(N144="zákl. prenesená",J144,0)</f>
        <v>0</v>
      </c>
      <c r="BH144" s="166">
        <f>IF(N144="zníž. prenesená",J144,0)</f>
        <v>0</v>
      </c>
      <c r="BI144" s="166">
        <f>IF(N144="nulová",J144,0)</f>
        <v>0</v>
      </c>
      <c r="BJ144" s="14" t="s">
        <v>82</v>
      </c>
      <c r="BK144" s="166">
        <f>ROUND(I144*H144,2)</f>
        <v>0</v>
      </c>
      <c r="BL144" s="14" t="s">
        <v>185</v>
      </c>
      <c r="BM144" s="165" t="s">
        <v>210</v>
      </c>
    </row>
    <row r="145" spans="1:65" s="2" customFormat="1" ht="55.5" customHeight="1">
      <c r="A145" s="29"/>
      <c r="B145" s="152"/>
      <c r="C145" s="153" t="s">
        <v>197</v>
      </c>
      <c r="D145" s="153" t="s">
        <v>181</v>
      </c>
      <c r="E145" s="154" t="s">
        <v>1810</v>
      </c>
      <c r="F145" s="155" t="s">
        <v>1811</v>
      </c>
      <c r="G145" s="156" t="s">
        <v>217</v>
      </c>
      <c r="H145" s="157">
        <v>1</v>
      </c>
      <c r="I145" s="158"/>
      <c r="J145" s="151">
        <v>0</v>
      </c>
      <c r="K145" s="160"/>
      <c r="L145" s="30"/>
      <c r="M145" s="161" t="s">
        <v>1</v>
      </c>
      <c r="N145" s="162" t="s">
        <v>35</v>
      </c>
      <c r="O145" s="58"/>
      <c r="P145" s="163">
        <f>O145*H145</f>
        <v>0</v>
      </c>
      <c r="Q145" s="163">
        <v>0</v>
      </c>
      <c r="R145" s="163">
        <f>Q145*H145</f>
        <v>0</v>
      </c>
      <c r="S145" s="163">
        <v>0</v>
      </c>
      <c r="T145" s="164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5" t="s">
        <v>185</v>
      </c>
      <c r="AT145" s="165" t="s">
        <v>181</v>
      </c>
      <c r="AU145" s="165" t="s">
        <v>82</v>
      </c>
      <c r="AY145" s="14" t="s">
        <v>179</v>
      </c>
      <c r="BE145" s="166">
        <f>IF(N145="základná",J145,0)</f>
        <v>0</v>
      </c>
      <c r="BF145" s="166">
        <f>IF(N145="znížená",J145,0)</f>
        <v>0</v>
      </c>
      <c r="BG145" s="166">
        <f>IF(N145="zákl. prenesená",J145,0)</f>
        <v>0</v>
      </c>
      <c r="BH145" s="166">
        <f>IF(N145="zníž. prenesená",J145,0)</f>
        <v>0</v>
      </c>
      <c r="BI145" s="166">
        <f>IF(N145="nulová",J145,0)</f>
        <v>0</v>
      </c>
      <c r="BJ145" s="14" t="s">
        <v>82</v>
      </c>
      <c r="BK145" s="166">
        <f>ROUND(I145*H145,2)</f>
        <v>0</v>
      </c>
      <c r="BL145" s="14" t="s">
        <v>185</v>
      </c>
      <c r="BM145" s="165" t="s">
        <v>213</v>
      </c>
    </row>
    <row r="146" spans="1:65" s="12" customFormat="1" ht="22.9" customHeight="1">
      <c r="B146" s="139"/>
      <c r="D146" s="140" t="s">
        <v>68</v>
      </c>
      <c r="E146" s="150" t="s">
        <v>1391</v>
      </c>
      <c r="F146" s="150" t="s">
        <v>1812</v>
      </c>
      <c r="I146" s="142"/>
      <c r="J146" s="151">
        <v>0</v>
      </c>
      <c r="L146" s="139"/>
      <c r="M146" s="144"/>
      <c r="N146" s="145"/>
      <c r="O146" s="145"/>
      <c r="P146" s="146">
        <v>0</v>
      </c>
      <c r="Q146" s="145"/>
      <c r="R146" s="146">
        <v>0</v>
      </c>
      <c r="S146" s="145"/>
      <c r="T146" s="147">
        <v>0</v>
      </c>
      <c r="AR146" s="140" t="s">
        <v>76</v>
      </c>
      <c r="AT146" s="148" t="s">
        <v>68</v>
      </c>
      <c r="AU146" s="148" t="s">
        <v>76</v>
      </c>
      <c r="AY146" s="140" t="s">
        <v>179</v>
      </c>
      <c r="BK146" s="149">
        <v>0</v>
      </c>
    </row>
    <row r="147" spans="1:65" s="12" customFormat="1" ht="22.9" customHeight="1">
      <c r="B147" s="139"/>
      <c r="D147" s="140" t="s">
        <v>68</v>
      </c>
      <c r="E147" s="150" t="s">
        <v>1395</v>
      </c>
      <c r="F147" s="150" t="s">
        <v>1813</v>
      </c>
      <c r="I147" s="142"/>
      <c r="J147" s="151">
        <v>0</v>
      </c>
      <c r="L147" s="139"/>
      <c r="M147" s="144"/>
      <c r="N147" s="145"/>
      <c r="O147" s="145"/>
      <c r="P147" s="146">
        <f>P148</f>
        <v>0</v>
      </c>
      <c r="Q147" s="145"/>
      <c r="R147" s="146">
        <f>R148</f>
        <v>0</v>
      </c>
      <c r="S147" s="145"/>
      <c r="T147" s="147">
        <f>T148</f>
        <v>0</v>
      </c>
      <c r="AR147" s="140" t="s">
        <v>76</v>
      </c>
      <c r="AT147" s="148" t="s">
        <v>68</v>
      </c>
      <c r="AU147" s="148" t="s">
        <v>76</v>
      </c>
      <c r="AY147" s="140" t="s">
        <v>179</v>
      </c>
      <c r="BK147" s="149">
        <f>BK148</f>
        <v>0</v>
      </c>
    </row>
    <row r="148" spans="1:65" s="2" customFormat="1" ht="16.5" customHeight="1">
      <c r="A148" s="29"/>
      <c r="B148" s="152"/>
      <c r="C148" s="153" t="s">
        <v>214</v>
      </c>
      <c r="D148" s="153" t="s">
        <v>181</v>
      </c>
      <c r="E148" s="154" t="s">
        <v>1814</v>
      </c>
      <c r="F148" s="155" t="s">
        <v>1815</v>
      </c>
      <c r="G148" s="156" t="s">
        <v>217</v>
      </c>
      <c r="H148" s="157">
        <v>1</v>
      </c>
      <c r="I148" s="158"/>
      <c r="J148" s="151">
        <v>0</v>
      </c>
      <c r="K148" s="160"/>
      <c r="L148" s="30"/>
      <c r="M148" s="161" t="s">
        <v>1</v>
      </c>
      <c r="N148" s="162" t="s">
        <v>35</v>
      </c>
      <c r="O148" s="58"/>
      <c r="P148" s="163">
        <f>O148*H148</f>
        <v>0</v>
      </c>
      <c r="Q148" s="163">
        <v>0</v>
      </c>
      <c r="R148" s="163">
        <f>Q148*H148</f>
        <v>0</v>
      </c>
      <c r="S148" s="163">
        <v>0</v>
      </c>
      <c r="T148" s="164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5" t="s">
        <v>185</v>
      </c>
      <c r="AT148" s="165" t="s">
        <v>181</v>
      </c>
      <c r="AU148" s="165" t="s">
        <v>82</v>
      </c>
      <c r="AY148" s="14" t="s">
        <v>179</v>
      </c>
      <c r="BE148" s="166">
        <f>IF(N148="základná",J148,0)</f>
        <v>0</v>
      </c>
      <c r="BF148" s="166">
        <f>IF(N148="znížená",J148,0)</f>
        <v>0</v>
      </c>
      <c r="BG148" s="166">
        <f>IF(N148="zákl. prenesená",J148,0)</f>
        <v>0</v>
      </c>
      <c r="BH148" s="166">
        <f>IF(N148="zníž. prenesená",J148,0)</f>
        <v>0</v>
      </c>
      <c r="BI148" s="166">
        <f>IF(N148="nulová",J148,0)</f>
        <v>0</v>
      </c>
      <c r="BJ148" s="14" t="s">
        <v>82</v>
      </c>
      <c r="BK148" s="166">
        <f>ROUND(I148*H148,2)</f>
        <v>0</v>
      </c>
      <c r="BL148" s="14" t="s">
        <v>185</v>
      </c>
      <c r="BM148" s="165" t="s">
        <v>218</v>
      </c>
    </row>
    <row r="149" spans="1:65" s="12" customFormat="1" ht="22.9" customHeight="1">
      <c r="B149" s="139"/>
      <c r="D149" s="140" t="s">
        <v>68</v>
      </c>
      <c r="E149" s="150" t="s">
        <v>1405</v>
      </c>
      <c r="F149" s="150" t="s">
        <v>1816</v>
      </c>
      <c r="I149" s="142"/>
      <c r="J149" s="151">
        <v>0</v>
      </c>
      <c r="L149" s="139"/>
      <c r="M149" s="144"/>
      <c r="N149" s="145"/>
      <c r="O149" s="145"/>
      <c r="P149" s="146">
        <f>SUM(P150:P154)</f>
        <v>0</v>
      </c>
      <c r="Q149" s="145"/>
      <c r="R149" s="146">
        <f>SUM(R150:R154)</f>
        <v>0</v>
      </c>
      <c r="S149" s="145"/>
      <c r="T149" s="147">
        <f>SUM(T150:T154)</f>
        <v>0</v>
      </c>
      <c r="AR149" s="140" t="s">
        <v>76</v>
      </c>
      <c r="AT149" s="148" t="s">
        <v>68</v>
      </c>
      <c r="AU149" s="148" t="s">
        <v>76</v>
      </c>
      <c r="AY149" s="140" t="s">
        <v>179</v>
      </c>
      <c r="BK149" s="149">
        <f>SUM(BK150:BK154)</f>
        <v>0</v>
      </c>
    </row>
    <row r="150" spans="1:65" s="2" customFormat="1" ht="21.75" customHeight="1">
      <c r="A150" s="29"/>
      <c r="B150" s="152"/>
      <c r="C150" s="153" t="s">
        <v>201</v>
      </c>
      <c r="D150" s="153" t="s">
        <v>181</v>
      </c>
      <c r="E150" s="154" t="s">
        <v>1817</v>
      </c>
      <c r="F150" s="155" t="s">
        <v>1818</v>
      </c>
      <c r="G150" s="156" t="s">
        <v>217</v>
      </c>
      <c r="H150" s="157">
        <v>1</v>
      </c>
      <c r="I150" s="158"/>
      <c r="J150" s="151">
        <v>0</v>
      </c>
      <c r="K150" s="160"/>
      <c r="L150" s="30"/>
      <c r="M150" s="161" t="s">
        <v>1</v>
      </c>
      <c r="N150" s="162" t="s">
        <v>35</v>
      </c>
      <c r="O150" s="58"/>
      <c r="P150" s="163">
        <f>O150*H150</f>
        <v>0</v>
      </c>
      <c r="Q150" s="163">
        <v>0</v>
      </c>
      <c r="R150" s="163">
        <f>Q150*H150</f>
        <v>0</v>
      </c>
      <c r="S150" s="163">
        <v>0</v>
      </c>
      <c r="T150" s="164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5" t="s">
        <v>185</v>
      </c>
      <c r="AT150" s="165" t="s">
        <v>181</v>
      </c>
      <c r="AU150" s="165" t="s">
        <v>82</v>
      </c>
      <c r="AY150" s="14" t="s">
        <v>179</v>
      </c>
      <c r="BE150" s="166">
        <f>IF(N150="základná",J150,0)</f>
        <v>0</v>
      </c>
      <c r="BF150" s="166">
        <f>IF(N150="znížená",J150,0)</f>
        <v>0</v>
      </c>
      <c r="BG150" s="166">
        <f>IF(N150="zákl. prenesená",J150,0)</f>
        <v>0</v>
      </c>
      <c r="BH150" s="166">
        <f>IF(N150="zníž. prenesená",J150,0)</f>
        <v>0</v>
      </c>
      <c r="BI150" s="166">
        <f>IF(N150="nulová",J150,0)</f>
        <v>0</v>
      </c>
      <c r="BJ150" s="14" t="s">
        <v>82</v>
      </c>
      <c r="BK150" s="166">
        <f>ROUND(I150*H150,2)</f>
        <v>0</v>
      </c>
      <c r="BL150" s="14" t="s">
        <v>185</v>
      </c>
      <c r="BM150" s="165" t="s">
        <v>221</v>
      </c>
    </row>
    <row r="151" spans="1:65" s="2" customFormat="1" ht="24.2" customHeight="1">
      <c r="A151" s="29"/>
      <c r="B151" s="152"/>
      <c r="C151" s="153" t="s">
        <v>222</v>
      </c>
      <c r="D151" s="153" t="s">
        <v>181</v>
      </c>
      <c r="E151" s="154" t="s">
        <v>1819</v>
      </c>
      <c r="F151" s="155" t="s">
        <v>1820</v>
      </c>
      <c r="G151" s="156" t="s">
        <v>217</v>
      </c>
      <c r="H151" s="157">
        <v>1</v>
      </c>
      <c r="I151" s="158"/>
      <c r="J151" s="151">
        <v>0</v>
      </c>
      <c r="K151" s="160"/>
      <c r="L151" s="30"/>
      <c r="M151" s="161" t="s">
        <v>1</v>
      </c>
      <c r="N151" s="162" t="s">
        <v>35</v>
      </c>
      <c r="O151" s="58"/>
      <c r="P151" s="163">
        <f>O151*H151</f>
        <v>0</v>
      </c>
      <c r="Q151" s="163">
        <v>0</v>
      </c>
      <c r="R151" s="163">
        <f>Q151*H151</f>
        <v>0</v>
      </c>
      <c r="S151" s="163">
        <v>0</v>
      </c>
      <c r="T151" s="164">
        <f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5" t="s">
        <v>185</v>
      </c>
      <c r="AT151" s="165" t="s">
        <v>181</v>
      </c>
      <c r="AU151" s="165" t="s">
        <v>82</v>
      </c>
      <c r="AY151" s="14" t="s">
        <v>179</v>
      </c>
      <c r="BE151" s="166">
        <f>IF(N151="základná",J151,0)</f>
        <v>0</v>
      </c>
      <c r="BF151" s="166">
        <f>IF(N151="znížená",J151,0)</f>
        <v>0</v>
      </c>
      <c r="BG151" s="166">
        <f>IF(N151="zákl. prenesená",J151,0)</f>
        <v>0</v>
      </c>
      <c r="BH151" s="166">
        <f>IF(N151="zníž. prenesená",J151,0)</f>
        <v>0</v>
      </c>
      <c r="BI151" s="166">
        <f>IF(N151="nulová",J151,0)</f>
        <v>0</v>
      </c>
      <c r="BJ151" s="14" t="s">
        <v>82</v>
      </c>
      <c r="BK151" s="166">
        <f>ROUND(I151*H151,2)</f>
        <v>0</v>
      </c>
      <c r="BL151" s="14" t="s">
        <v>185</v>
      </c>
      <c r="BM151" s="165" t="s">
        <v>225</v>
      </c>
    </row>
    <row r="152" spans="1:65" s="2" customFormat="1" ht="44.25" customHeight="1">
      <c r="A152" s="29"/>
      <c r="B152" s="152"/>
      <c r="C152" s="153" t="s">
        <v>205</v>
      </c>
      <c r="D152" s="153" t="s">
        <v>181</v>
      </c>
      <c r="E152" s="154" t="s">
        <v>1821</v>
      </c>
      <c r="F152" s="155" t="s">
        <v>1822</v>
      </c>
      <c r="G152" s="156" t="s">
        <v>217</v>
      </c>
      <c r="H152" s="157">
        <v>1</v>
      </c>
      <c r="I152" s="158"/>
      <c r="J152" s="151">
        <v>0</v>
      </c>
      <c r="K152" s="160"/>
      <c r="L152" s="30"/>
      <c r="M152" s="161" t="s">
        <v>1</v>
      </c>
      <c r="N152" s="162" t="s">
        <v>35</v>
      </c>
      <c r="O152" s="58"/>
      <c r="P152" s="163">
        <f>O152*H152</f>
        <v>0</v>
      </c>
      <c r="Q152" s="163">
        <v>0</v>
      </c>
      <c r="R152" s="163">
        <f>Q152*H152</f>
        <v>0</v>
      </c>
      <c r="S152" s="163">
        <v>0</v>
      </c>
      <c r="T152" s="164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5" t="s">
        <v>185</v>
      </c>
      <c r="AT152" s="165" t="s">
        <v>181</v>
      </c>
      <c r="AU152" s="165" t="s">
        <v>82</v>
      </c>
      <c r="AY152" s="14" t="s">
        <v>179</v>
      </c>
      <c r="BE152" s="166">
        <f>IF(N152="základná",J152,0)</f>
        <v>0</v>
      </c>
      <c r="BF152" s="166">
        <f>IF(N152="znížená",J152,0)</f>
        <v>0</v>
      </c>
      <c r="BG152" s="166">
        <f>IF(N152="zákl. prenesená",J152,0)</f>
        <v>0</v>
      </c>
      <c r="BH152" s="166">
        <f>IF(N152="zníž. prenesená",J152,0)</f>
        <v>0</v>
      </c>
      <c r="BI152" s="166">
        <f>IF(N152="nulová",J152,0)</f>
        <v>0</v>
      </c>
      <c r="BJ152" s="14" t="s">
        <v>82</v>
      </c>
      <c r="BK152" s="166">
        <f>ROUND(I152*H152,2)</f>
        <v>0</v>
      </c>
      <c r="BL152" s="14" t="s">
        <v>185</v>
      </c>
      <c r="BM152" s="165" t="s">
        <v>228</v>
      </c>
    </row>
    <row r="153" spans="1:65" s="2" customFormat="1" ht="16.5" customHeight="1">
      <c r="A153" s="29"/>
      <c r="B153" s="152"/>
      <c r="C153" s="153" t="s">
        <v>229</v>
      </c>
      <c r="D153" s="153" t="s">
        <v>181</v>
      </c>
      <c r="E153" s="154" t="s">
        <v>1823</v>
      </c>
      <c r="F153" s="155" t="s">
        <v>1452</v>
      </c>
      <c r="G153" s="156" t="s">
        <v>217</v>
      </c>
      <c r="H153" s="157">
        <v>1</v>
      </c>
      <c r="I153" s="158"/>
      <c r="J153" s="151">
        <v>0</v>
      </c>
      <c r="K153" s="160"/>
      <c r="L153" s="30"/>
      <c r="M153" s="161" t="s">
        <v>1</v>
      </c>
      <c r="N153" s="162" t="s">
        <v>35</v>
      </c>
      <c r="O153" s="58"/>
      <c r="P153" s="163">
        <f>O153*H153</f>
        <v>0</v>
      </c>
      <c r="Q153" s="163">
        <v>0</v>
      </c>
      <c r="R153" s="163">
        <f>Q153*H153</f>
        <v>0</v>
      </c>
      <c r="S153" s="163">
        <v>0</v>
      </c>
      <c r="T153" s="164">
        <f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5" t="s">
        <v>185</v>
      </c>
      <c r="AT153" s="165" t="s">
        <v>181</v>
      </c>
      <c r="AU153" s="165" t="s">
        <v>82</v>
      </c>
      <c r="AY153" s="14" t="s">
        <v>179</v>
      </c>
      <c r="BE153" s="166">
        <f>IF(N153="základná",J153,0)</f>
        <v>0</v>
      </c>
      <c r="BF153" s="166">
        <f>IF(N153="znížená",J153,0)</f>
        <v>0</v>
      </c>
      <c r="BG153" s="166">
        <f>IF(N153="zákl. prenesená",J153,0)</f>
        <v>0</v>
      </c>
      <c r="BH153" s="166">
        <f>IF(N153="zníž. prenesená",J153,0)</f>
        <v>0</v>
      </c>
      <c r="BI153" s="166">
        <f>IF(N153="nulová",J153,0)</f>
        <v>0</v>
      </c>
      <c r="BJ153" s="14" t="s">
        <v>82</v>
      </c>
      <c r="BK153" s="166">
        <f>ROUND(I153*H153,2)</f>
        <v>0</v>
      </c>
      <c r="BL153" s="14" t="s">
        <v>185</v>
      </c>
      <c r="BM153" s="165" t="s">
        <v>232</v>
      </c>
    </row>
    <row r="154" spans="1:65" s="2" customFormat="1" ht="16.5" customHeight="1">
      <c r="A154" s="29"/>
      <c r="B154" s="152"/>
      <c r="C154" s="153" t="s">
        <v>210</v>
      </c>
      <c r="D154" s="153" t="s">
        <v>181</v>
      </c>
      <c r="E154" s="154" t="s">
        <v>1824</v>
      </c>
      <c r="F154" s="155" t="s">
        <v>1825</v>
      </c>
      <c r="G154" s="156" t="s">
        <v>217</v>
      </c>
      <c r="H154" s="157">
        <v>1</v>
      </c>
      <c r="I154" s="158"/>
      <c r="J154" s="151">
        <v>0</v>
      </c>
      <c r="K154" s="160"/>
      <c r="L154" s="30"/>
      <c r="M154" s="161" t="s">
        <v>1</v>
      </c>
      <c r="N154" s="162" t="s">
        <v>35</v>
      </c>
      <c r="O154" s="58"/>
      <c r="P154" s="163">
        <f>O154*H154</f>
        <v>0</v>
      </c>
      <c r="Q154" s="163">
        <v>0</v>
      </c>
      <c r="R154" s="163">
        <f>Q154*H154</f>
        <v>0</v>
      </c>
      <c r="S154" s="163">
        <v>0</v>
      </c>
      <c r="T154" s="164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5" t="s">
        <v>185</v>
      </c>
      <c r="AT154" s="165" t="s">
        <v>181</v>
      </c>
      <c r="AU154" s="165" t="s">
        <v>82</v>
      </c>
      <c r="AY154" s="14" t="s">
        <v>179</v>
      </c>
      <c r="BE154" s="166">
        <f>IF(N154="základná",J154,0)</f>
        <v>0</v>
      </c>
      <c r="BF154" s="166">
        <f>IF(N154="znížená",J154,0)</f>
        <v>0</v>
      </c>
      <c r="BG154" s="166">
        <f>IF(N154="zákl. prenesená",J154,0)</f>
        <v>0</v>
      </c>
      <c r="BH154" s="166">
        <f>IF(N154="zníž. prenesená",J154,0)</f>
        <v>0</v>
      </c>
      <c r="BI154" s="166">
        <f>IF(N154="nulová",J154,0)</f>
        <v>0</v>
      </c>
      <c r="BJ154" s="14" t="s">
        <v>82</v>
      </c>
      <c r="BK154" s="166">
        <f>ROUND(I154*H154,2)</f>
        <v>0</v>
      </c>
      <c r="BL154" s="14" t="s">
        <v>185</v>
      </c>
      <c r="BM154" s="165" t="s">
        <v>235</v>
      </c>
    </row>
    <row r="155" spans="1:65" s="12" customFormat="1" ht="25.9" customHeight="1">
      <c r="B155" s="139"/>
      <c r="D155" s="140" t="s">
        <v>68</v>
      </c>
      <c r="E155" s="141" t="s">
        <v>1826</v>
      </c>
      <c r="F155" s="141" t="s">
        <v>1826</v>
      </c>
      <c r="I155" s="142"/>
      <c r="J155" s="151">
        <v>0</v>
      </c>
      <c r="L155" s="139"/>
      <c r="M155" s="144"/>
      <c r="N155" s="145"/>
      <c r="O155" s="145"/>
      <c r="P155" s="146">
        <f>SUM(P156:P163)</f>
        <v>0</v>
      </c>
      <c r="Q155" s="145"/>
      <c r="R155" s="146">
        <f>SUM(R156:R163)</f>
        <v>0</v>
      </c>
      <c r="S155" s="145"/>
      <c r="T155" s="147">
        <f>SUM(T156:T163)</f>
        <v>0</v>
      </c>
      <c r="AR155" s="140" t="s">
        <v>76</v>
      </c>
      <c r="AT155" s="148" t="s">
        <v>68</v>
      </c>
      <c r="AU155" s="148" t="s">
        <v>69</v>
      </c>
      <c r="AY155" s="140" t="s">
        <v>179</v>
      </c>
      <c r="BK155" s="149">
        <f>SUM(BK156:BK163)</f>
        <v>0</v>
      </c>
    </row>
    <row r="156" spans="1:65" s="2" customFormat="1" ht="65.25" customHeight="1">
      <c r="A156" s="29"/>
      <c r="B156" s="152"/>
      <c r="C156" s="153" t="s">
        <v>236</v>
      </c>
      <c r="D156" s="153" t="s">
        <v>181</v>
      </c>
      <c r="E156" s="154" t="s">
        <v>1827</v>
      </c>
      <c r="F156" s="339" t="s">
        <v>3419</v>
      </c>
      <c r="G156" s="156" t="s">
        <v>217</v>
      </c>
      <c r="H156" s="157">
        <v>1</v>
      </c>
      <c r="I156" s="158"/>
      <c r="J156" s="151">
        <v>0</v>
      </c>
      <c r="K156" s="160"/>
      <c r="L156" s="30"/>
      <c r="M156" s="161" t="s">
        <v>1</v>
      </c>
      <c r="N156" s="162" t="s">
        <v>35</v>
      </c>
      <c r="O156" s="58"/>
      <c r="P156" s="163">
        <f t="shared" ref="P156:P163" si="9">O156*H156</f>
        <v>0</v>
      </c>
      <c r="Q156" s="163">
        <v>0</v>
      </c>
      <c r="R156" s="163">
        <f t="shared" ref="R156:R163" si="10">Q156*H156</f>
        <v>0</v>
      </c>
      <c r="S156" s="163">
        <v>0</v>
      </c>
      <c r="T156" s="164">
        <f t="shared" ref="T156:T163" si="11"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5" t="s">
        <v>185</v>
      </c>
      <c r="AT156" s="165" t="s">
        <v>181</v>
      </c>
      <c r="AU156" s="165" t="s">
        <v>76</v>
      </c>
      <c r="AY156" s="14" t="s">
        <v>179</v>
      </c>
      <c r="BE156" s="166">
        <f t="shared" ref="BE156:BE163" si="12">IF(N156="základná",J156,0)</f>
        <v>0</v>
      </c>
      <c r="BF156" s="166">
        <f t="shared" ref="BF156:BF163" si="13">IF(N156="znížená",J156,0)</f>
        <v>0</v>
      </c>
      <c r="BG156" s="166">
        <f t="shared" ref="BG156:BG163" si="14">IF(N156="zákl. prenesená",J156,0)</f>
        <v>0</v>
      </c>
      <c r="BH156" s="166">
        <f t="shared" ref="BH156:BH163" si="15">IF(N156="zníž. prenesená",J156,0)</f>
        <v>0</v>
      </c>
      <c r="BI156" s="166">
        <f t="shared" ref="BI156:BI163" si="16">IF(N156="nulová",J156,0)</f>
        <v>0</v>
      </c>
      <c r="BJ156" s="14" t="s">
        <v>82</v>
      </c>
      <c r="BK156" s="166">
        <f t="shared" ref="BK156:BK163" si="17">ROUND(I156*H156,2)</f>
        <v>0</v>
      </c>
      <c r="BL156" s="14" t="s">
        <v>185</v>
      </c>
      <c r="BM156" s="165" t="s">
        <v>239</v>
      </c>
    </row>
    <row r="157" spans="1:65" s="2" customFormat="1" ht="21.75" customHeight="1">
      <c r="A157" s="29"/>
      <c r="B157" s="152"/>
      <c r="C157" s="153" t="s">
        <v>213</v>
      </c>
      <c r="D157" s="153" t="s">
        <v>181</v>
      </c>
      <c r="E157" s="154" t="s">
        <v>1828</v>
      </c>
      <c r="F157" s="155" t="s">
        <v>1829</v>
      </c>
      <c r="G157" s="156" t="s">
        <v>217</v>
      </c>
      <c r="H157" s="157">
        <v>1</v>
      </c>
      <c r="I157" s="158"/>
      <c r="J157" s="151">
        <v>0</v>
      </c>
      <c r="K157" s="160"/>
      <c r="L157" s="30"/>
      <c r="M157" s="161" t="s">
        <v>1</v>
      </c>
      <c r="N157" s="162" t="s">
        <v>35</v>
      </c>
      <c r="O157" s="58"/>
      <c r="P157" s="163">
        <f t="shared" si="9"/>
        <v>0</v>
      </c>
      <c r="Q157" s="163">
        <v>0</v>
      </c>
      <c r="R157" s="163">
        <f t="shared" si="10"/>
        <v>0</v>
      </c>
      <c r="S157" s="163">
        <v>0</v>
      </c>
      <c r="T157" s="164">
        <f t="shared" si="11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5" t="s">
        <v>185</v>
      </c>
      <c r="AT157" s="165" t="s">
        <v>181</v>
      </c>
      <c r="AU157" s="165" t="s">
        <v>76</v>
      </c>
      <c r="AY157" s="14" t="s">
        <v>179</v>
      </c>
      <c r="BE157" s="166">
        <f t="shared" si="12"/>
        <v>0</v>
      </c>
      <c r="BF157" s="166">
        <f t="shared" si="13"/>
        <v>0</v>
      </c>
      <c r="BG157" s="166">
        <f t="shared" si="14"/>
        <v>0</v>
      </c>
      <c r="BH157" s="166">
        <f t="shared" si="15"/>
        <v>0</v>
      </c>
      <c r="BI157" s="166">
        <f t="shared" si="16"/>
        <v>0</v>
      </c>
      <c r="BJ157" s="14" t="s">
        <v>82</v>
      </c>
      <c r="BK157" s="166">
        <f t="shared" si="17"/>
        <v>0</v>
      </c>
      <c r="BL157" s="14" t="s">
        <v>185</v>
      </c>
      <c r="BM157" s="165" t="s">
        <v>242</v>
      </c>
    </row>
    <row r="158" spans="1:65" s="2" customFormat="1" ht="21.75" customHeight="1">
      <c r="A158" s="29"/>
      <c r="B158" s="152"/>
      <c r="C158" s="153" t="s">
        <v>243</v>
      </c>
      <c r="D158" s="153" t="s">
        <v>181</v>
      </c>
      <c r="E158" s="154" t="s">
        <v>1830</v>
      </c>
      <c r="F158" s="155" t="s">
        <v>1831</v>
      </c>
      <c r="G158" s="156" t="s">
        <v>217</v>
      </c>
      <c r="H158" s="157">
        <v>1</v>
      </c>
      <c r="I158" s="158"/>
      <c r="J158" s="151">
        <v>0</v>
      </c>
      <c r="K158" s="160"/>
      <c r="L158" s="30"/>
      <c r="M158" s="161" t="s">
        <v>1</v>
      </c>
      <c r="N158" s="162" t="s">
        <v>35</v>
      </c>
      <c r="O158" s="58"/>
      <c r="P158" s="163">
        <f t="shared" si="9"/>
        <v>0</v>
      </c>
      <c r="Q158" s="163">
        <v>0</v>
      </c>
      <c r="R158" s="163">
        <f t="shared" si="10"/>
        <v>0</v>
      </c>
      <c r="S158" s="163">
        <v>0</v>
      </c>
      <c r="T158" s="164">
        <f t="shared" si="11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5" t="s">
        <v>185</v>
      </c>
      <c r="AT158" s="165" t="s">
        <v>181</v>
      </c>
      <c r="AU158" s="165" t="s">
        <v>76</v>
      </c>
      <c r="AY158" s="14" t="s">
        <v>179</v>
      </c>
      <c r="BE158" s="166">
        <f t="shared" si="12"/>
        <v>0</v>
      </c>
      <c r="BF158" s="166">
        <f t="shared" si="13"/>
        <v>0</v>
      </c>
      <c r="BG158" s="166">
        <f t="shared" si="14"/>
        <v>0</v>
      </c>
      <c r="BH158" s="166">
        <f t="shared" si="15"/>
        <v>0</v>
      </c>
      <c r="BI158" s="166">
        <f t="shared" si="16"/>
        <v>0</v>
      </c>
      <c r="BJ158" s="14" t="s">
        <v>82</v>
      </c>
      <c r="BK158" s="166">
        <f t="shared" si="17"/>
        <v>0</v>
      </c>
      <c r="BL158" s="14" t="s">
        <v>185</v>
      </c>
      <c r="BM158" s="165" t="s">
        <v>246</v>
      </c>
    </row>
    <row r="159" spans="1:65" s="2" customFormat="1" ht="16.5" customHeight="1">
      <c r="A159" s="29"/>
      <c r="B159" s="152"/>
      <c r="C159" s="153" t="s">
        <v>218</v>
      </c>
      <c r="D159" s="153" t="s">
        <v>181</v>
      </c>
      <c r="E159" s="154" t="s">
        <v>1832</v>
      </c>
      <c r="F159" s="155" t="s">
        <v>1833</v>
      </c>
      <c r="G159" s="156" t="s">
        <v>217</v>
      </c>
      <c r="H159" s="157">
        <v>1</v>
      </c>
      <c r="I159" s="158"/>
      <c r="J159" s="151">
        <v>0</v>
      </c>
      <c r="K159" s="160"/>
      <c r="L159" s="30"/>
      <c r="M159" s="161" t="s">
        <v>1</v>
      </c>
      <c r="N159" s="162" t="s">
        <v>35</v>
      </c>
      <c r="O159" s="58"/>
      <c r="P159" s="163">
        <f t="shared" si="9"/>
        <v>0</v>
      </c>
      <c r="Q159" s="163">
        <v>0</v>
      </c>
      <c r="R159" s="163">
        <f t="shared" si="10"/>
        <v>0</v>
      </c>
      <c r="S159" s="163">
        <v>0</v>
      </c>
      <c r="T159" s="164">
        <f t="shared" si="11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5" t="s">
        <v>185</v>
      </c>
      <c r="AT159" s="165" t="s">
        <v>181</v>
      </c>
      <c r="AU159" s="165" t="s">
        <v>76</v>
      </c>
      <c r="AY159" s="14" t="s">
        <v>179</v>
      </c>
      <c r="BE159" s="166">
        <f t="shared" si="12"/>
        <v>0</v>
      </c>
      <c r="BF159" s="166">
        <f t="shared" si="13"/>
        <v>0</v>
      </c>
      <c r="BG159" s="166">
        <f t="shared" si="14"/>
        <v>0</v>
      </c>
      <c r="BH159" s="166">
        <f t="shared" si="15"/>
        <v>0</v>
      </c>
      <c r="BI159" s="166">
        <f t="shared" si="16"/>
        <v>0</v>
      </c>
      <c r="BJ159" s="14" t="s">
        <v>82</v>
      </c>
      <c r="BK159" s="166">
        <f t="shared" si="17"/>
        <v>0</v>
      </c>
      <c r="BL159" s="14" t="s">
        <v>185</v>
      </c>
      <c r="BM159" s="165" t="s">
        <v>250</v>
      </c>
    </row>
    <row r="160" spans="1:65" s="2" customFormat="1" ht="21.75" customHeight="1">
      <c r="A160" s="29"/>
      <c r="B160" s="152"/>
      <c r="C160" s="153" t="s">
        <v>251</v>
      </c>
      <c r="D160" s="153" t="s">
        <v>181</v>
      </c>
      <c r="E160" s="154" t="s">
        <v>1834</v>
      </c>
      <c r="F160" s="155" t="s">
        <v>1835</v>
      </c>
      <c r="G160" s="156" t="s">
        <v>217</v>
      </c>
      <c r="H160" s="157">
        <v>1</v>
      </c>
      <c r="I160" s="158"/>
      <c r="J160" s="151">
        <v>0</v>
      </c>
      <c r="K160" s="160"/>
      <c r="L160" s="30"/>
      <c r="M160" s="161" t="s">
        <v>1</v>
      </c>
      <c r="N160" s="162" t="s">
        <v>35</v>
      </c>
      <c r="O160" s="58"/>
      <c r="P160" s="163">
        <f t="shared" si="9"/>
        <v>0</v>
      </c>
      <c r="Q160" s="163">
        <v>0</v>
      </c>
      <c r="R160" s="163">
        <f t="shared" si="10"/>
        <v>0</v>
      </c>
      <c r="S160" s="163">
        <v>0</v>
      </c>
      <c r="T160" s="164">
        <f t="shared" si="11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5" t="s">
        <v>185</v>
      </c>
      <c r="AT160" s="165" t="s">
        <v>181</v>
      </c>
      <c r="AU160" s="165" t="s">
        <v>76</v>
      </c>
      <c r="AY160" s="14" t="s">
        <v>179</v>
      </c>
      <c r="BE160" s="166">
        <f t="shared" si="12"/>
        <v>0</v>
      </c>
      <c r="BF160" s="166">
        <f t="shared" si="13"/>
        <v>0</v>
      </c>
      <c r="BG160" s="166">
        <f t="shared" si="14"/>
        <v>0</v>
      </c>
      <c r="BH160" s="166">
        <f t="shared" si="15"/>
        <v>0</v>
      </c>
      <c r="BI160" s="166">
        <f t="shared" si="16"/>
        <v>0</v>
      </c>
      <c r="BJ160" s="14" t="s">
        <v>82</v>
      </c>
      <c r="BK160" s="166">
        <f t="shared" si="17"/>
        <v>0</v>
      </c>
      <c r="BL160" s="14" t="s">
        <v>185</v>
      </c>
      <c r="BM160" s="165" t="s">
        <v>254</v>
      </c>
    </row>
    <row r="161" spans="1:65" s="2" customFormat="1" ht="16.5" customHeight="1">
      <c r="A161" s="29"/>
      <c r="B161" s="152"/>
      <c r="C161" s="153" t="s">
        <v>221</v>
      </c>
      <c r="D161" s="153" t="s">
        <v>181</v>
      </c>
      <c r="E161" s="154" t="s">
        <v>1836</v>
      </c>
      <c r="F161" s="155" t="s">
        <v>1837</v>
      </c>
      <c r="G161" s="156" t="s">
        <v>217</v>
      </c>
      <c r="H161" s="157">
        <v>1</v>
      </c>
      <c r="I161" s="158"/>
      <c r="J161" s="151">
        <v>0</v>
      </c>
      <c r="K161" s="160"/>
      <c r="L161" s="30"/>
      <c r="M161" s="161" t="s">
        <v>1</v>
      </c>
      <c r="N161" s="162" t="s">
        <v>35</v>
      </c>
      <c r="O161" s="58"/>
      <c r="P161" s="163">
        <f t="shared" si="9"/>
        <v>0</v>
      </c>
      <c r="Q161" s="163">
        <v>0</v>
      </c>
      <c r="R161" s="163">
        <f t="shared" si="10"/>
        <v>0</v>
      </c>
      <c r="S161" s="163">
        <v>0</v>
      </c>
      <c r="T161" s="164">
        <f t="shared" si="11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5" t="s">
        <v>185</v>
      </c>
      <c r="AT161" s="165" t="s">
        <v>181</v>
      </c>
      <c r="AU161" s="165" t="s">
        <v>76</v>
      </c>
      <c r="AY161" s="14" t="s">
        <v>179</v>
      </c>
      <c r="BE161" s="166">
        <f t="shared" si="12"/>
        <v>0</v>
      </c>
      <c r="BF161" s="166">
        <f t="shared" si="13"/>
        <v>0</v>
      </c>
      <c r="BG161" s="166">
        <f t="shared" si="14"/>
        <v>0</v>
      </c>
      <c r="BH161" s="166">
        <f t="shared" si="15"/>
        <v>0</v>
      </c>
      <c r="BI161" s="166">
        <f t="shared" si="16"/>
        <v>0</v>
      </c>
      <c r="BJ161" s="14" t="s">
        <v>82</v>
      </c>
      <c r="BK161" s="166">
        <f t="shared" si="17"/>
        <v>0</v>
      </c>
      <c r="BL161" s="14" t="s">
        <v>185</v>
      </c>
      <c r="BM161" s="165" t="s">
        <v>257</v>
      </c>
    </row>
    <row r="162" spans="1:65" s="2" customFormat="1" ht="16.5" customHeight="1">
      <c r="A162" s="29"/>
      <c r="B162" s="152"/>
      <c r="C162" s="153" t="s">
        <v>258</v>
      </c>
      <c r="D162" s="153" t="s">
        <v>181</v>
      </c>
      <c r="E162" s="154" t="s">
        <v>1838</v>
      </c>
      <c r="F162" s="155" t="s">
        <v>1839</v>
      </c>
      <c r="G162" s="156" t="s">
        <v>217</v>
      </c>
      <c r="H162" s="157">
        <v>1</v>
      </c>
      <c r="I162" s="158"/>
      <c r="J162" s="151">
        <v>0</v>
      </c>
      <c r="K162" s="160"/>
      <c r="L162" s="30"/>
      <c r="M162" s="161" t="s">
        <v>1</v>
      </c>
      <c r="N162" s="162" t="s">
        <v>35</v>
      </c>
      <c r="O162" s="58"/>
      <c r="P162" s="163">
        <f t="shared" si="9"/>
        <v>0</v>
      </c>
      <c r="Q162" s="163">
        <v>0</v>
      </c>
      <c r="R162" s="163">
        <f t="shared" si="10"/>
        <v>0</v>
      </c>
      <c r="S162" s="163">
        <v>0</v>
      </c>
      <c r="T162" s="164">
        <f t="shared" si="11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5" t="s">
        <v>185</v>
      </c>
      <c r="AT162" s="165" t="s">
        <v>181</v>
      </c>
      <c r="AU162" s="165" t="s">
        <v>76</v>
      </c>
      <c r="AY162" s="14" t="s">
        <v>179</v>
      </c>
      <c r="BE162" s="166">
        <f t="shared" si="12"/>
        <v>0</v>
      </c>
      <c r="BF162" s="166">
        <f t="shared" si="13"/>
        <v>0</v>
      </c>
      <c r="BG162" s="166">
        <f t="shared" si="14"/>
        <v>0</v>
      </c>
      <c r="BH162" s="166">
        <f t="shared" si="15"/>
        <v>0</v>
      </c>
      <c r="BI162" s="166">
        <f t="shared" si="16"/>
        <v>0</v>
      </c>
      <c r="BJ162" s="14" t="s">
        <v>82</v>
      </c>
      <c r="BK162" s="166">
        <f t="shared" si="17"/>
        <v>0</v>
      </c>
      <c r="BL162" s="14" t="s">
        <v>185</v>
      </c>
      <c r="BM162" s="165" t="s">
        <v>261</v>
      </c>
    </row>
    <row r="163" spans="1:65" s="2" customFormat="1" ht="24.2" customHeight="1">
      <c r="A163" s="29"/>
      <c r="B163" s="152"/>
      <c r="C163" s="153" t="s">
        <v>225</v>
      </c>
      <c r="D163" s="153" t="s">
        <v>181</v>
      </c>
      <c r="E163" s="154" t="s">
        <v>1840</v>
      </c>
      <c r="F163" s="155" t="s">
        <v>1841</v>
      </c>
      <c r="G163" s="156" t="s">
        <v>217</v>
      </c>
      <c r="H163" s="157">
        <v>4</v>
      </c>
      <c r="I163" s="158"/>
      <c r="J163" s="151">
        <v>0</v>
      </c>
      <c r="K163" s="160"/>
      <c r="L163" s="30"/>
      <c r="M163" s="161" t="s">
        <v>1</v>
      </c>
      <c r="N163" s="162" t="s">
        <v>35</v>
      </c>
      <c r="O163" s="58"/>
      <c r="P163" s="163">
        <f t="shared" si="9"/>
        <v>0</v>
      </c>
      <c r="Q163" s="163">
        <v>0</v>
      </c>
      <c r="R163" s="163">
        <f t="shared" si="10"/>
        <v>0</v>
      </c>
      <c r="S163" s="163">
        <v>0</v>
      </c>
      <c r="T163" s="164">
        <f t="shared" si="11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5" t="s">
        <v>185</v>
      </c>
      <c r="AT163" s="165" t="s">
        <v>181</v>
      </c>
      <c r="AU163" s="165" t="s">
        <v>76</v>
      </c>
      <c r="AY163" s="14" t="s">
        <v>179</v>
      </c>
      <c r="BE163" s="166">
        <f t="shared" si="12"/>
        <v>0</v>
      </c>
      <c r="BF163" s="166">
        <f t="shared" si="13"/>
        <v>0</v>
      </c>
      <c r="BG163" s="166">
        <f t="shared" si="14"/>
        <v>0</v>
      </c>
      <c r="BH163" s="166">
        <f t="shared" si="15"/>
        <v>0</v>
      </c>
      <c r="BI163" s="166">
        <f t="shared" si="16"/>
        <v>0</v>
      </c>
      <c r="BJ163" s="14" t="s">
        <v>82</v>
      </c>
      <c r="BK163" s="166">
        <f t="shared" si="17"/>
        <v>0</v>
      </c>
      <c r="BL163" s="14" t="s">
        <v>185</v>
      </c>
      <c r="BM163" s="165" t="s">
        <v>265</v>
      </c>
    </row>
    <row r="164" spans="1:65" s="12" customFormat="1" ht="25.9" customHeight="1">
      <c r="B164" s="139"/>
      <c r="D164" s="140" t="s">
        <v>68</v>
      </c>
      <c r="E164" s="141" t="s">
        <v>1842</v>
      </c>
      <c r="F164" s="141" t="s">
        <v>1842</v>
      </c>
      <c r="I164" s="142"/>
      <c r="J164" s="151">
        <v>0</v>
      </c>
      <c r="L164" s="139"/>
      <c r="M164" s="144"/>
      <c r="N164" s="145"/>
      <c r="O164" s="145"/>
      <c r="P164" s="146">
        <f>P165+P167</f>
        <v>0</v>
      </c>
      <c r="Q164" s="145"/>
      <c r="R164" s="146">
        <f>R165+R167</f>
        <v>0</v>
      </c>
      <c r="S164" s="145"/>
      <c r="T164" s="147">
        <f>T165+T167</f>
        <v>0</v>
      </c>
      <c r="AR164" s="140" t="s">
        <v>76</v>
      </c>
      <c r="AT164" s="148" t="s">
        <v>68</v>
      </c>
      <c r="AU164" s="148" t="s">
        <v>69</v>
      </c>
      <c r="AY164" s="140" t="s">
        <v>179</v>
      </c>
      <c r="BK164" s="149">
        <f>BK165+BK167</f>
        <v>0</v>
      </c>
    </row>
    <row r="165" spans="1:65" s="12" customFormat="1" ht="22.9" customHeight="1">
      <c r="B165" s="139"/>
      <c r="D165" s="140" t="s">
        <v>68</v>
      </c>
      <c r="E165" s="150" t="s">
        <v>1426</v>
      </c>
      <c r="F165" s="150" t="s">
        <v>1843</v>
      </c>
      <c r="I165" s="142"/>
      <c r="J165" s="151">
        <v>0</v>
      </c>
      <c r="L165" s="139"/>
      <c r="M165" s="144"/>
      <c r="N165" s="145"/>
      <c r="O165" s="145"/>
      <c r="P165" s="146">
        <f>P166</f>
        <v>0</v>
      </c>
      <c r="Q165" s="145"/>
      <c r="R165" s="146">
        <f>R166</f>
        <v>0</v>
      </c>
      <c r="S165" s="145"/>
      <c r="T165" s="147">
        <f>T166</f>
        <v>0</v>
      </c>
      <c r="AR165" s="140" t="s">
        <v>76</v>
      </c>
      <c r="AT165" s="148" t="s">
        <v>68</v>
      </c>
      <c r="AU165" s="148" t="s">
        <v>76</v>
      </c>
      <c r="AY165" s="140" t="s">
        <v>179</v>
      </c>
      <c r="BK165" s="149">
        <f>BK166</f>
        <v>0</v>
      </c>
    </row>
    <row r="166" spans="1:65" s="2" customFormat="1" ht="49.15" customHeight="1">
      <c r="A166" s="29"/>
      <c r="B166" s="152"/>
      <c r="C166" s="153" t="s">
        <v>7</v>
      </c>
      <c r="D166" s="153" t="s">
        <v>181</v>
      </c>
      <c r="E166" s="154" t="s">
        <v>1844</v>
      </c>
      <c r="F166" s="155" t="s">
        <v>1845</v>
      </c>
      <c r="G166" s="156" t="s">
        <v>217</v>
      </c>
      <c r="H166" s="157">
        <v>1</v>
      </c>
      <c r="I166" s="158"/>
      <c r="J166" s="151">
        <v>0</v>
      </c>
      <c r="K166" s="160"/>
      <c r="L166" s="30"/>
      <c r="M166" s="161" t="s">
        <v>1</v>
      </c>
      <c r="N166" s="162" t="s">
        <v>35</v>
      </c>
      <c r="O166" s="58"/>
      <c r="P166" s="163">
        <f>O166*H166</f>
        <v>0</v>
      </c>
      <c r="Q166" s="163">
        <v>0</v>
      </c>
      <c r="R166" s="163">
        <f>Q166*H166</f>
        <v>0</v>
      </c>
      <c r="S166" s="163">
        <v>0</v>
      </c>
      <c r="T166" s="164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5" t="s">
        <v>185</v>
      </c>
      <c r="AT166" s="165" t="s">
        <v>181</v>
      </c>
      <c r="AU166" s="165" t="s">
        <v>82</v>
      </c>
      <c r="AY166" s="14" t="s">
        <v>179</v>
      </c>
      <c r="BE166" s="166">
        <f>IF(N166="základná",J166,0)</f>
        <v>0</v>
      </c>
      <c r="BF166" s="166">
        <f>IF(N166="znížená",J166,0)</f>
        <v>0</v>
      </c>
      <c r="BG166" s="166">
        <f>IF(N166="zákl. prenesená",J166,0)</f>
        <v>0</v>
      </c>
      <c r="BH166" s="166">
        <f>IF(N166="zníž. prenesená",J166,0)</f>
        <v>0</v>
      </c>
      <c r="BI166" s="166">
        <f>IF(N166="nulová",J166,0)</f>
        <v>0</v>
      </c>
      <c r="BJ166" s="14" t="s">
        <v>82</v>
      </c>
      <c r="BK166" s="166">
        <f>ROUND(I166*H166,2)</f>
        <v>0</v>
      </c>
      <c r="BL166" s="14" t="s">
        <v>185</v>
      </c>
      <c r="BM166" s="165" t="s">
        <v>268</v>
      </c>
    </row>
    <row r="167" spans="1:65" s="12" customFormat="1" ht="22.9" customHeight="1">
      <c r="B167" s="139"/>
      <c r="D167" s="140" t="s">
        <v>68</v>
      </c>
      <c r="E167" s="150" t="s">
        <v>1432</v>
      </c>
      <c r="F167" s="150" t="s">
        <v>1846</v>
      </c>
      <c r="I167" s="142"/>
      <c r="J167" s="151">
        <v>0</v>
      </c>
      <c r="L167" s="139"/>
      <c r="M167" s="144"/>
      <c r="N167" s="145"/>
      <c r="O167" s="145"/>
      <c r="P167" s="146">
        <f>P168</f>
        <v>0</v>
      </c>
      <c r="Q167" s="145"/>
      <c r="R167" s="146">
        <f>R168</f>
        <v>0</v>
      </c>
      <c r="S167" s="145"/>
      <c r="T167" s="147">
        <f>T168</f>
        <v>0</v>
      </c>
      <c r="AR167" s="140" t="s">
        <v>76</v>
      </c>
      <c r="AT167" s="148" t="s">
        <v>68</v>
      </c>
      <c r="AU167" s="148" t="s">
        <v>76</v>
      </c>
      <c r="AY167" s="140" t="s">
        <v>179</v>
      </c>
      <c r="BK167" s="149">
        <f>BK168</f>
        <v>0</v>
      </c>
    </row>
    <row r="168" spans="1:65" s="2" customFormat="1" ht="16.5" customHeight="1">
      <c r="A168" s="29"/>
      <c r="B168" s="152"/>
      <c r="C168" s="153" t="s">
        <v>228</v>
      </c>
      <c r="D168" s="153" t="s">
        <v>181</v>
      </c>
      <c r="E168" s="154" t="s">
        <v>1847</v>
      </c>
      <c r="F168" s="155" t="s">
        <v>1848</v>
      </c>
      <c r="G168" s="156" t="s">
        <v>217</v>
      </c>
      <c r="H168" s="157">
        <v>1</v>
      </c>
      <c r="I168" s="158"/>
      <c r="J168" s="151">
        <v>0</v>
      </c>
      <c r="K168" s="160"/>
      <c r="L168" s="30"/>
      <c r="M168" s="161" t="s">
        <v>1</v>
      </c>
      <c r="N168" s="162" t="s">
        <v>35</v>
      </c>
      <c r="O168" s="58"/>
      <c r="P168" s="163">
        <f>O168*H168</f>
        <v>0</v>
      </c>
      <c r="Q168" s="163">
        <v>0</v>
      </c>
      <c r="R168" s="163">
        <f>Q168*H168</f>
        <v>0</v>
      </c>
      <c r="S168" s="163">
        <v>0</v>
      </c>
      <c r="T168" s="164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5" t="s">
        <v>185</v>
      </c>
      <c r="AT168" s="165" t="s">
        <v>181</v>
      </c>
      <c r="AU168" s="165" t="s">
        <v>82</v>
      </c>
      <c r="AY168" s="14" t="s">
        <v>179</v>
      </c>
      <c r="BE168" s="166">
        <f>IF(N168="základná",J168,0)</f>
        <v>0</v>
      </c>
      <c r="BF168" s="166">
        <f>IF(N168="znížená",J168,0)</f>
        <v>0</v>
      </c>
      <c r="BG168" s="166">
        <f>IF(N168="zákl. prenesená",J168,0)</f>
        <v>0</v>
      </c>
      <c r="BH168" s="166">
        <f>IF(N168="zníž. prenesená",J168,0)</f>
        <v>0</v>
      </c>
      <c r="BI168" s="166">
        <f>IF(N168="nulová",J168,0)</f>
        <v>0</v>
      </c>
      <c r="BJ168" s="14" t="s">
        <v>82</v>
      </c>
      <c r="BK168" s="166">
        <f>ROUND(I168*H168,2)</f>
        <v>0</v>
      </c>
      <c r="BL168" s="14" t="s">
        <v>185</v>
      </c>
      <c r="BM168" s="165" t="s">
        <v>271</v>
      </c>
    </row>
    <row r="169" spans="1:65" s="12" customFormat="1" ht="25.9" customHeight="1">
      <c r="B169" s="139"/>
      <c r="D169" s="140" t="s">
        <v>68</v>
      </c>
      <c r="E169" s="141" t="s">
        <v>1512</v>
      </c>
      <c r="F169" s="141" t="s">
        <v>1512</v>
      </c>
      <c r="I169" s="142"/>
      <c r="J169" s="151">
        <v>0</v>
      </c>
      <c r="L169" s="139"/>
      <c r="M169" s="144"/>
      <c r="N169" s="145"/>
      <c r="O169" s="145"/>
      <c r="P169" s="146">
        <f>P170+SUM(P171:P212)+P220+P223</f>
        <v>0</v>
      </c>
      <c r="Q169" s="145"/>
      <c r="R169" s="146">
        <f>R170+SUM(R171:R212)+R220+R223</f>
        <v>0</v>
      </c>
      <c r="S169" s="145"/>
      <c r="T169" s="147">
        <f>T170+SUM(T171:T212)+T220+T223</f>
        <v>0</v>
      </c>
      <c r="AR169" s="140" t="s">
        <v>76</v>
      </c>
      <c r="AT169" s="148" t="s">
        <v>68</v>
      </c>
      <c r="AU169" s="148" t="s">
        <v>69</v>
      </c>
      <c r="AY169" s="140" t="s">
        <v>179</v>
      </c>
      <c r="BK169" s="149">
        <f>BK170+SUM(BK171:BK212)+BK220+BK223</f>
        <v>0</v>
      </c>
    </row>
    <row r="170" spans="1:65" s="2" customFormat="1" ht="16.5" customHeight="1">
      <c r="A170" s="29"/>
      <c r="B170" s="152"/>
      <c r="C170" s="153" t="s">
        <v>272</v>
      </c>
      <c r="D170" s="153" t="s">
        <v>181</v>
      </c>
      <c r="E170" s="154" t="s">
        <v>1513</v>
      </c>
      <c r="F170" s="155" t="s">
        <v>1849</v>
      </c>
      <c r="G170" s="156" t="s">
        <v>293</v>
      </c>
      <c r="H170" s="157">
        <v>48</v>
      </c>
      <c r="I170" s="158"/>
      <c r="J170" s="151">
        <v>0</v>
      </c>
      <c r="K170" s="160"/>
      <c r="L170" s="30"/>
      <c r="M170" s="161" t="s">
        <v>1</v>
      </c>
      <c r="N170" s="162" t="s">
        <v>35</v>
      </c>
      <c r="O170" s="58"/>
      <c r="P170" s="163">
        <f t="shared" ref="P170:P211" si="18">O170*H170</f>
        <v>0</v>
      </c>
      <c r="Q170" s="163">
        <v>0</v>
      </c>
      <c r="R170" s="163">
        <f t="shared" ref="R170:R211" si="19">Q170*H170</f>
        <v>0</v>
      </c>
      <c r="S170" s="163">
        <v>0</v>
      </c>
      <c r="T170" s="164">
        <f t="shared" ref="T170:T211" si="20"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5" t="s">
        <v>185</v>
      </c>
      <c r="AT170" s="165" t="s">
        <v>181</v>
      </c>
      <c r="AU170" s="165" t="s">
        <v>76</v>
      </c>
      <c r="AY170" s="14" t="s">
        <v>179</v>
      </c>
      <c r="BE170" s="166">
        <f t="shared" ref="BE170:BE211" si="21">IF(N170="základná",J170,0)</f>
        <v>0</v>
      </c>
      <c r="BF170" s="166">
        <f t="shared" ref="BF170:BF211" si="22">IF(N170="znížená",J170,0)</f>
        <v>0</v>
      </c>
      <c r="BG170" s="166">
        <f t="shared" ref="BG170:BG211" si="23">IF(N170="zákl. prenesená",J170,0)</f>
        <v>0</v>
      </c>
      <c r="BH170" s="166">
        <f t="shared" ref="BH170:BH211" si="24">IF(N170="zníž. prenesená",J170,0)</f>
        <v>0</v>
      </c>
      <c r="BI170" s="166">
        <f t="shared" ref="BI170:BI211" si="25">IF(N170="nulová",J170,0)</f>
        <v>0</v>
      </c>
      <c r="BJ170" s="14" t="s">
        <v>82</v>
      </c>
      <c r="BK170" s="166">
        <f t="shared" ref="BK170:BK211" si="26">ROUND(I170*H170,2)</f>
        <v>0</v>
      </c>
      <c r="BL170" s="14" t="s">
        <v>185</v>
      </c>
      <c r="BM170" s="165" t="s">
        <v>275</v>
      </c>
    </row>
    <row r="171" spans="1:65" s="2" customFormat="1" ht="16.5" customHeight="1">
      <c r="A171" s="29"/>
      <c r="B171" s="152"/>
      <c r="C171" s="153" t="s">
        <v>232</v>
      </c>
      <c r="D171" s="153" t="s">
        <v>181</v>
      </c>
      <c r="E171" s="154" t="s">
        <v>1515</v>
      </c>
      <c r="F171" s="155" t="s">
        <v>1850</v>
      </c>
      <c r="G171" s="156" t="s">
        <v>293</v>
      </c>
      <c r="H171" s="157">
        <v>38</v>
      </c>
      <c r="I171" s="158"/>
      <c r="J171" s="151">
        <v>0</v>
      </c>
      <c r="K171" s="160"/>
      <c r="L171" s="30"/>
      <c r="M171" s="161" t="s">
        <v>1</v>
      </c>
      <c r="N171" s="162" t="s">
        <v>35</v>
      </c>
      <c r="O171" s="58"/>
      <c r="P171" s="163">
        <f t="shared" si="18"/>
        <v>0</v>
      </c>
      <c r="Q171" s="163">
        <v>0</v>
      </c>
      <c r="R171" s="163">
        <f t="shared" si="19"/>
        <v>0</v>
      </c>
      <c r="S171" s="163">
        <v>0</v>
      </c>
      <c r="T171" s="164">
        <f t="shared" si="20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5" t="s">
        <v>185</v>
      </c>
      <c r="AT171" s="165" t="s">
        <v>181</v>
      </c>
      <c r="AU171" s="165" t="s">
        <v>76</v>
      </c>
      <c r="AY171" s="14" t="s">
        <v>179</v>
      </c>
      <c r="BE171" s="166">
        <f t="shared" si="21"/>
        <v>0</v>
      </c>
      <c r="BF171" s="166">
        <f t="shared" si="22"/>
        <v>0</v>
      </c>
      <c r="BG171" s="166">
        <f t="shared" si="23"/>
        <v>0</v>
      </c>
      <c r="BH171" s="166">
        <f t="shared" si="24"/>
        <v>0</v>
      </c>
      <c r="BI171" s="166">
        <f t="shared" si="25"/>
        <v>0</v>
      </c>
      <c r="BJ171" s="14" t="s">
        <v>82</v>
      </c>
      <c r="BK171" s="166">
        <f t="shared" si="26"/>
        <v>0</v>
      </c>
      <c r="BL171" s="14" t="s">
        <v>185</v>
      </c>
      <c r="BM171" s="165" t="s">
        <v>279</v>
      </c>
    </row>
    <row r="172" spans="1:65" s="2" customFormat="1" ht="24.2" customHeight="1">
      <c r="A172" s="29"/>
      <c r="B172" s="152"/>
      <c r="C172" s="153" t="s">
        <v>280</v>
      </c>
      <c r="D172" s="153" t="s">
        <v>181</v>
      </c>
      <c r="E172" s="154" t="s">
        <v>1517</v>
      </c>
      <c r="F172" s="155" t="s">
        <v>1851</v>
      </c>
      <c r="G172" s="156" t="s">
        <v>293</v>
      </c>
      <c r="H172" s="157">
        <v>64</v>
      </c>
      <c r="I172" s="158"/>
      <c r="J172" s="151">
        <v>0</v>
      </c>
      <c r="K172" s="160"/>
      <c r="L172" s="30"/>
      <c r="M172" s="161" t="s">
        <v>1</v>
      </c>
      <c r="N172" s="162" t="s">
        <v>35</v>
      </c>
      <c r="O172" s="58"/>
      <c r="P172" s="163">
        <f t="shared" si="18"/>
        <v>0</v>
      </c>
      <c r="Q172" s="163">
        <v>0</v>
      </c>
      <c r="R172" s="163">
        <f t="shared" si="19"/>
        <v>0</v>
      </c>
      <c r="S172" s="163">
        <v>0</v>
      </c>
      <c r="T172" s="164">
        <f t="shared" si="20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5" t="s">
        <v>185</v>
      </c>
      <c r="AT172" s="165" t="s">
        <v>181</v>
      </c>
      <c r="AU172" s="165" t="s">
        <v>76</v>
      </c>
      <c r="AY172" s="14" t="s">
        <v>179</v>
      </c>
      <c r="BE172" s="166">
        <f t="shared" si="21"/>
        <v>0</v>
      </c>
      <c r="BF172" s="166">
        <f t="shared" si="22"/>
        <v>0</v>
      </c>
      <c r="BG172" s="166">
        <f t="shared" si="23"/>
        <v>0</v>
      </c>
      <c r="BH172" s="166">
        <f t="shared" si="24"/>
        <v>0</v>
      </c>
      <c r="BI172" s="166">
        <f t="shared" si="25"/>
        <v>0</v>
      </c>
      <c r="BJ172" s="14" t="s">
        <v>82</v>
      </c>
      <c r="BK172" s="166">
        <f t="shared" si="26"/>
        <v>0</v>
      </c>
      <c r="BL172" s="14" t="s">
        <v>185</v>
      </c>
      <c r="BM172" s="165" t="s">
        <v>283</v>
      </c>
    </row>
    <row r="173" spans="1:65" s="2" customFormat="1" ht="24.2" customHeight="1">
      <c r="A173" s="29"/>
      <c r="B173" s="152"/>
      <c r="C173" s="153" t="s">
        <v>235</v>
      </c>
      <c r="D173" s="153" t="s">
        <v>181</v>
      </c>
      <c r="E173" s="154" t="s">
        <v>1519</v>
      </c>
      <c r="F173" s="155" t="s">
        <v>1852</v>
      </c>
      <c r="G173" s="156" t="s">
        <v>293</v>
      </c>
      <c r="H173" s="157">
        <v>25</v>
      </c>
      <c r="I173" s="158"/>
      <c r="J173" s="151">
        <v>0</v>
      </c>
      <c r="K173" s="160"/>
      <c r="L173" s="30"/>
      <c r="M173" s="161" t="s">
        <v>1</v>
      </c>
      <c r="N173" s="162" t="s">
        <v>35</v>
      </c>
      <c r="O173" s="58"/>
      <c r="P173" s="163">
        <f t="shared" si="18"/>
        <v>0</v>
      </c>
      <c r="Q173" s="163">
        <v>0</v>
      </c>
      <c r="R173" s="163">
        <f t="shared" si="19"/>
        <v>0</v>
      </c>
      <c r="S173" s="163">
        <v>0</v>
      </c>
      <c r="T173" s="164">
        <f t="shared" si="20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5" t="s">
        <v>185</v>
      </c>
      <c r="AT173" s="165" t="s">
        <v>181</v>
      </c>
      <c r="AU173" s="165" t="s">
        <v>76</v>
      </c>
      <c r="AY173" s="14" t="s">
        <v>179</v>
      </c>
      <c r="BE173" s="166">
        <f t="shared" si="21"/>
        <v>0</v>
      </c>
      <c r="BF173" s="166">
        <f t="shared" si="22"/>
        <v>0</v>
      </c>
      <c r="BG173" s="166">
        <f t="shared" si="23"/>
        <v>0</v>
      </c>
      <c r="BH173" s="166">
        <f t="shared" si="24"/>
        <v>0</v>
      </c>
      <c r="BI173" s="166">
        <f t="shared" si="25"/>
        <v>0</v>
      </c>
      <c r="BJ173" s="14" t="s">
        <v>82</v>
      </c>
      <c r="BK173" s="166">
        <f t="shared" si="26"/>
        <v>0</v>
      </c>
      <c r="BL173" s="14" t="s">
        <v>185</v>
      </c>
      <c r="BM173" s="165" t="s">
        <v>286</v>
      </c>
    </row>
    <row r="174" spans="1:65" s="2" customFormat="1" ht="24.2" customHeight="1">
      <c r="A174" s="29"/>
      <c r="B174" s="152"/>
      <c r="C174" s="153" t="s">
        <v>287</v>
      </c>
      <c r="D174" s="153" t="s">
        <v>181</v>
      </c>
      <c r="E174" s="154" t="s">
        <v>1521</v>
      </c>
      <c r="F174" s="155" t="s">
        <v>1853</v>
      </c>
      <c r="G174" s="156" t="s">
        <v>293</v>
      </c>
      <c r="H174" s="157">
        <v>31</v>
      </c>
      <c r="I174" s="158"/>
      <c r="J174" s="151">
        <v>0</v>
      </c>
      <c r="K174" s="160"/>
      <c r="L174" s="30"/>
      <c r="M174" s="161" t="s">
        <v>1</v>
      </c>
      <c r="N174" s="162" t="s">
        <v>35</v>
      </c>
      <c r="O174" s="58"/>
      <c r="P174" s="163">
        <f t="shared" si="18"/>
        <v>0</v>
      </c>
      <c r="Q174" s="163">
        <v>0</v>
      </c>
      <c r="R174" s="163">
        <f t="shared" si="19"/>
        <v>0</v>
      </c>
      <c r="S174" s="163">
        <v>0</v>
      </c>
      <c r="T174" s="164">
        <f t="shared" si="20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5" t="s">
        <v>185</v>
      </c>
      <c r="AT174" s="165" t="s">
        <v>181</v>
      </c>
      <c r="AU174" s="165" t="s">
        <v>76</v>
      </c>
      <c r="AY174" s="14" t="s">
        <v>179</v>
      </c>
      <c r="BE174" s="166">
        <f t="shared" si="21"/>
        <v>0</v>
      </c>
      <c r="BF174" s="166">
        <f t="shared" si="22"/>
        <v>0</v>
      </c>
      <c r="BG174" s="166">
        <f t="shared" si="23"/>
        <v>0</v>
      </c>
      <c r="BH174" s="166">
        <f t="shared" si="24"/>
        <v>0</v>
      </c>
      <c r="BI174" s="166">
        <f t="shared" si="25"/>
        <v>0</v>
      </c>
      <c r="BJ174" s="14" t="s">
        <v>82</v>
      </c>
      <c r="BK174" s="166">
        <f t="shared" si="26"/>
        <v>0</v>
      </c>
      <c r="BL174" s="14" t="s">
        <v>185</v>
      </c>
      <c r="BM174" s="165" t="s">
        <v>290</v>
      </c>
    </row>
    <row r="175" spans="1:65" s="2" customFormat="1" ht="55.5" customHeight="1">
      <c r="A175" s="29"/>
      <c r="B175" s="152"/>
      <c r="C175" s="153" t="s">
        <v>239</v>
      </c>
      <c r="D175" s="153" t="s">
        <v>181</v>
      </c>
      <c r="E175" s="154" t="s">
        <v>1523</v>
      </c>
      <c r="F175" s="155" t="s">
        <v>1854</v>
      </c>
      <c r="G175" s="156" t="s">
        <v>293</v>
      </c>
      <c r="H175" s="157">
        <v>50</v>
      </c>
      <c r="I175" s="158"/>
      <c r="J175" s="151">
        <v>0</v>
      </c>
      <c r="K175" s="160"/>
      <c r="L175" s="30"/>
      <c r="M175" s="161" t="s">
        <v>1</v>
      </c>
      <c r="N175" s="162" t="s">
        <v>35</v>
      </c>
      <c r="O175" s="58"/>
      <c r="P175" s="163">
        <f t="shared" si="18"/>
        <v>0</v>
      </c>
      <c r="Q175" s="163">
        <v>0</v>
      </c>
      <c r="R175" s="163">
        <f t="shared" si="19"/>
        <v>0</v>
      </c>
      <c r="S175" s="163">
        <v>0</v>
      </c>
      <c r="T175" s="164">
        <f t="shared" si="20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5" t="s">
        <v>185</v>
      </c>
      <c r="AT175" s="165" t="s">
        <v>181</v>
      </c>
      <c r="AU175" s="165" t="s">
        <v>76</v>
      </c>
      <c r="AY175" s="14" t="s">
        <v>179</v>
      </c>
      <c r="BE175" s="166">
        <f t="shared" si="21"/>
        <v>0</v>
      </c>
      <c r="BF175" s="166">
        <f t="shared" si="22"/>
        <v>0</v>
      </c>
      <c r="BG175" s="166">
        <f t="shared" si="23"/>
        <v>0</v>
      </c>
      <c r="BH175" s="166">
        <f t="shared" si="24"/>
        <v>0</v>
      </c>
      <c r="BI175" s="166">
        <f t="shared" si="25"/>
        <v>0</v>
      </c>
      <c r="BJ175" s="14" t="s">
        <v>82</v>
      </c>
      <c r="BK175" s="166">
        <f t="shared" si="26"/>
        <v>0</v>
      </c>
      <c r="BL175" s="14" t="s">
        <v>185</v>
      </c>
      <c r="BM175" s="165" t="s">
        <v>294</v>
      </c>
    </row>
    <row r="176" spans="1:65" s="2" customFormat="1" ht="37.9" customHeight="1">
      <c r="A176" s="29"/>
      <c r="B176" s="152"/>
      <c r="C176" s="153" t="s">
        <v>295</v>
      </c>
      <c r="D176" s="153" t="s">
        <v>181</v>
      </c>
      <c r="E176" s="154" t="s">
        <v>1525</v>
      </c>
      <c r="F176" s="155" t="s">
        <v>1855</v>
      </c>
      <c r="G176" s="156" t="s">
        <v>293</v>
      </c>
      <c r="H176" s="157">
        <v>9</v>
      </c>
      <c r="I176" s="158"/>
      <c r="J176" s="151">
        <v>0</v>
      </c>
      <c r="K176" s="160"/>
      <c r="L176" s="30"/>
      <c r="M176" s="161" t="s">
        <v>1</v>
      </c>
      <c r="N176" s="162" t="s">
        <v>35</v>
      </c>
      <c r="O176" s="58"/>
      <c r="P176" s="163">
        <f t="shared" si="18"/>
        <v>0</v>
      </c>
      <c r="Q176" s="163">
        <v>0</v>
      </c>
      <c r="R176" s="163">
        <f t="shared" si="19"/>
        <v>0</v>
      </c>
      <c r="S176" s="163">
        <v>0</v>
      </c>
      <c r="T176" s="164">
        <f t="shared" si="20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5" t="s">
        <v>185</v>
      </c>
      <c r="AT176" s="165" t="s">
        <v>181</v>
      </c>
      <c r="AU176" s="165" t="s">
        <v>76</v>
      </c>
      <c r="AY176" s="14" t="s">
        <v>179</v>
      </c>
      <c r="BE176" s="166">
        <f t="shared" si="21"/>
        <v>0</v>
      </c>
      <c r="BF176" s="166">
        <f t="shared" si="22"/>
        <v>0</v>
      </c>
      <c r="BG176" s="166">
        <f t="shared" si="23"/>
        <v>0</v>
      </c>
      <c r="BH176" s="166">
        <f t="shared" si="24"/>
        <v>0</v>
      </c>
      <c r="BI176" s="166">
        <f t="shared" si="25"/>
        <v>0</v>
      </c>
      <c r="BJ176" s="14" t="s">
        <v>82</v>
      </c>
      <c r="BK176" s="166">
        <f t="shared" si="26"/>
        <v>0</v>
      </c>
      <c r="BL176" s="14" t="s">
        <v>185</v>
      </c>
      <c r="BM176" s="165" t="s">
        <v>298</v>
      </c>
    </row>
    <row r="177" spans="1:65" s="2" customFormat="1" ht="16.5" customHeight="1">
      <c r="A177" s="29"/>
      <c r="B177" s="152"/>
      <c r="C177" s="153" t="s">
        <v>242</v>
      </c>
      <c r="D177" s="153" t="s">
        <v>181</v>
      </c>
      <c r="E177" s="154" t="s">
        <v>1527</v>
      </c>
      <c r="F177" s="155" t="s">
        <v>1856</v>
      </c>
      <c r="G177" s="156" t="s">
        <v>217</v>
      </c>
      <c r="H177" s="157">
        <v>38</v>
      </c>
      <c r="I177" s="158"/>
      <c r="J177" s="151">
        <v>0</v>
      </c>
      <c r="K177" s="160"/>
      <c r="L177" s="30"/>
      <c r="M177" s="161" t="s">
        <v>1</v>
      </c>
      <c r="N177" s="162" t="s">
        <v>35</v>
      </c>
      <c r="O177" s="58"/>
      <c r="P177" s="163">
        <f t="shared" si="18"/>
        <v>0</v>
      </c>
      <c r="Q177" s="163">
        <v>0</v>
      </c>
      <c r="R177" s="163">
        <f t="shared" si="19"/>
        <v>0</v>
      </c>
      <c r="S177" s="163">
        <v>0</v>
      </c>
      <c r="T177" s="164">
        <f t="shared" si="20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5" t="s">
        <v>185</v>
      </c>
      <c r="AT177" s="165" t="s">
        <v>181</v>
      </c>
      <c r="AU177" s="165" t="s">
        <v>76</v>
      </c>
      <c r="AY177" s="14" t="s">
        <v>179</v>
      </c>
      <c r="BE177" s="166">
        <f t="shared" si="21"/>
        <v>0</v>
      </c>
      <c r="BF177" s="166">
        <f t="shared" si="22"/>
        <v>0</v>
      </c>
      <c r="BG177" s="166">
        <f t="shared" si="23"/>
        <v>0</v>
      </c>
      <c r="BH177" s="166">
        <f t="shared" si="24"/>
        <v>0</v>
      </c>
      <c r="BI177" s="166">
        <f t="shared" si="25"/>
        <v>0</v>
      </c>
      <c r="BJ177" s="14" t="s">
        <v>82</v>
      </c>
      <c r="BK177" s="166">
        <f t="shared" si="26"/>
        <v>0</v>
      </c>
      <c r="BL177" s="14" t="s">
        <v>185</v>
      </c>
      <c r="BM177" s="165" t="s">
        <v>301</v>
      </c>
    </row>
    <row r="178" spans="1:65" s="2" customFormat="1" ht="33" customHeight="1">
      <c r="A178" s="29"/>
      <c r="B178" s="152"/>
      <c r="C178" s="153" t="s">
        <v>302</v>
      </c>
      <c r="D178" s="153" t="s">
        <v>181</v>
      </c>
      <c r="E178" s="154" t="s">
        <v>1529</v>
      </c>
      <c r="F178" s="155" t="s">
        <v>1554</v>
      </c>
      <c r="G178" s="156" t="s">
        <v>217</v>
      </c>
      <c r="H178" s="157">
        <v>110</v>
      </c>
      <c r="I178" s="158"/>
      <c r="J178" s="151">
        <v>0</v>
      </c>
      <c r="K178" s="160"/>
      <c r="L178" s="30"/>
      <c r="M178" s="161" t="s">
        <v>1</v>
      </c>
      <c r="N178" s="162" t="s">
        <v>35</v>
      </c>
      <c r="O178" s="58"/>
      <c r="P178" s="163">
        <f t="shared" si="18"/>
        <v>0</v>
      </c>
      <c r="Q178" s="163">
        <v>0</v>
      </c>
      <c r="R178" s="163">
        <f t="shared" si="19"/>
        <v>0</v>
      </c>
      <c r="S178" s="163">
        <v>0</v>
      </c>
      <c r="T178" s="164">
        <f t="shared" si="20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5" t="s">
        <v>185</v>
      </c>
      <c r="AT178" s="165" t="s">
        <v>181</v>
      </c>
      <c r="AU178" s="165" t="s">
        <v>76</v>
      </c>
      <c r="AY178" s="14" t="s">
        <v>179</v>
      </c>
      <c r="BE178" s="166">
        <f t="shared" si="21"/>
        <v>0</v>
      </c>
      <c r="BF178" s="166">
        <f t="shared" si="22"/>
        <v>0</v>
      </c>
      <c r="BG178" s="166">
        <f t="shared" si="23"/>
        <v>0</v>
      </c>
      <c r="BH178" s="166">
        <f t="shared" si="24"/>
        <v>0</v>
      </c>
      <c r="BI178" s="166">
        <f t="shared" si="25"/>
        <v>0</v>
      </c>
      <c r="BJ178" s="14" t="s">
        <v>82</v>
      </c>
      <c r="BK178" s="166">
        <f t="shared" si="26"/>
        <v>0</v>
      </c>
      <c r="BL178" s="14" t="s">
        <v>185</v>
      </c>
      <c r="BM178" s="165" t="s">
        <v>305</v>
      </c>
    </row>
    <row r="179" spans="1:65" s="2" customFormat="1" ht="16.5" customHeight="1">
      <c r="A179" s="29"/>
      <c r="B179" s="152"/>
      <c r="C179" s="153" t="s">
        <v>246</v>
      </c>
      <c r="D179" s="153" t="s">
        <v>181</v>
      </c>
      <c r="E179" s="154" t="s">
        <v>1531</v>
      </c>
      <c r="F179" s="155" t="s">
        <v>1857</v>
      </c>
      <c r="G179" s="156" t="s">
        <v>217</v>
      </c>
      <c r="H179" s="157">
        <v>50</v>
      </c>
      <c r="I179" s="158"/>
      <c r="J179" s="151">
        <v>0</v>
      </c>
      <c r="K179" s="160"/>
      <c r="L179" s="30"/>
      <c r="M179" s="161" t="s">
        <v>1</v>
      </c>
      <c r="N179" s="162" t="s">
        <v>35</v>
      </c>
      <c r="O179" s="58"/>
      <c r="P179" s="163">
        <f t="shared" si="18"/>
        <v>0</v>
      </c>
      <c r="Q179" s="163">
        <v>0</v>
      </c>
      <c r="R179" s="163">
        <f t="shared" si="19"/>
        <v>0</v>
      </c>
      <c r="S179" s="163">
        <v>0</v>
      </c>
      <c r="T179" s="164">
        <f t="shared" si="20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5" t="s">
        <v>185</v>
      </c>
      <c r="AT179" s="165" t="s">
        <v>181</v>
      </c>
      <c r="AU179" s="165" t="s">
        <v>76</v>
      </c>
      <c r="AY179" s="14" t="s">
        <v>179</v>
      </c>
      <c r="BE179" s="166">
        <f t="shared" si="21"/>
        <v>0</v>
      </c>
      <c r="BF179" s="166">
        <f t="shared" si="22"/>
        <v>0</v>
      </c>
      <c r="BG179" s="166">
        <f t="shared" si="23"/>
        <v>0</v>
      </c>
      <c r="BH179" s="166">
        <f t="shared" si="24"/>
        <v>0</v>
      </c>
      <c r="BI179" s="166">
        <f t="shared" si="25"/>
        <v>0</v>
      </c>
      <c r="BJ179" s="14" t="s">
        <v>82</v>
      </c>
      <c r="BK179" s="166">
        <f t="shared" si="26"/>
        <v>0</v>
      </c>
      <c r="BL179" s="14" t="s">
        <v>185</v>
      </c>
      <c r="BM179" s="165" t="s">
        <v>308</v>
      </c>
    </row>
    <row r="180" spans="1:65" s="2" customFormat="1" ht="16.5" customHeight="1">
      <c r="A180" s="29"/>
      <c r="B180" s="152"/>
      <c r="C180" s="153" t="s">
        <v>309</v>
      </c>
      <c r="D180" s="153" t="s">
        <v>181</v>
      </c>
      <c r="E180" s="154" t="s">
        <v>1533</v>
      </c>
      <c r="F180" s="155" t="s">
        <v>1858</v>
      </c>
      <c r="G180" s="156" t="s">
        <v>217</v>
      </c>
      <c r="H180" s="157">
        <v>50</v>
      </c>
      <c r="I180" s="158"/>
      <c r="J180" s="151">
        <v>0</v>
      </c>
      <c r="K180" s="160"/>
      <c r="L180" s="30"/>
      <c r="M180" s="161" t="s">
        <v>1</v>
      </c>
      <c r="N180" s="162" t="s">
        <v>35</v>
      </c>
      <c r="O180" s="58"/>
      <c r="P180" s="163">
        <f t="shared" si="18"/>
        <v>0</v>
      </c>
      <c r="Q180" s="163">
        <v>0</v>
      </c>
      <c r="R180" s="163">
        <f t="shared" si="19"/>
        <v>0</v>
      </c>
      <c r="S180" s="163">
        <v>0</v>
      </c>
      <c r="T180" s="164">
        <f t="shared" si="20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5" t="s">
        <v>185</v>
      </c>
      <c r="AT180" s="165" t="s">
        <v>181</v>
      </c>
      <c r="AU180" s="165" t="s">
        <v>76</v>
      </c>
      <c r="AY180" s="14" t="s">
        <v>179</v>
      </c>
      <c r="BE180" s="166">
        <f t="shared" si="21"/>
        <v>0</v>
      </c>
      <c r="BF180" s="166">
        <f t="shared" si="22"/>
        <v>0</v>
      </c>
      <c r="BG180" s="166">
        <f t="shared" si="23"/>
        <v>0</v>
      </c>
      <c r="BH180" s="166">
        <f t="shared" si="24"/>
        <v>0</v>
      </c>
      <c r="BI180" s="166">
        <f t="shared" si="25"/>
        <v>0</v>
      </c>
      <c r="BJ180" s="14" t="s">
        <v>82</v>
      </c>
      <c r="BK180" s="166">
        <f t="shared" si="26"/>
        <v>0</v>
      </c>
      <c r="BL180" s="14" t="s">
        <v>185</v>
      </c>
      <c r="BM180" s="165" t="s">
        <v>312</v>
      </c>
    </row>
    <row r="181" spans="1:65" s="2" customFormat="1" ht="44.25" customHeight="1">
      <c r="A181" s="29"/>
      <c r="B181" s="152"/>
      <c r="C181" s="153" t="s">
        <v>250</v>
      </c>
      <c r="D181" s="153" t="s">
        <v>181</v>
      </c>
      <c r="E181" s="154" t="s">
        <v>1535</v>
      </c>
      <c r="F181" s="155" t="s">
        <v>1859</v>
      </c>
      <c r="G181" s="156" t="s">
        <v>293</v>
      </c>
      <c r="H181" s="157">
        <v>20</v>
      </c>
      <c r="I181" s="158"/>
      <c r="J181" s="151">
        <v>0</v>
      </c>
      <c r="K181" s="160"/>
      <c r="L181" s="30"/>
      <c r="M181" s="161" t="s">
        <v>1</v>
      </c>
      <c r="N181" s="162" t="s">
        <v>35</v>
      </c>
      <c r="O181" s="58"/>
      <c r="P181" s="163">
        <f t="shared" si="18"/>
        <v>0</v>
      </c>
      <c r="Q181" s="163">
        <v>0</v>
      </c>
      <c r="R181" s="163">
        <f t="shared" si="19"/>
        <v>0</v>
      </c>
      <c r="S181" s="163">
        <v>0</v>
      </c>
      <c r="T181" s="164">
        <f t="shared" si="20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5" t="s">
        <v>185</v>
      </c>
      <c r="AT181" s="165" t="s">
        <v>181</v>
      </c>
      <c r="AU181" s="165" t="s">
        <v>76</v>
      </c>
      <c r="AY181" s="14" t="s">
        <v>179</v>
      </c>
      <c r="BE181" s="166">
        <f t="shared" si="21"/>
        <v>0</v>
      </c>
      <c r="BF181" s="166">
        <f t="shared" si="22"/>
        <v>0</v>
      </c>
      <c r="BG181" s="166">
        <f t="shared" si="23"/>
        <v>0</v>
      </c>
      <c r="BH181" s="166">
        <f t="shared" si="24"/>
        <v>0</v>
      </c>
      <c r="BI181" s="166">
        <f t="shared" si="25"/>
        <v>0</v>
      </c>
      <c r="BJ181" s="14" t="s">
        <v>82</v>
      </c>
      <c r="BK181" s="166">
        <f t="shared" si="26"/>
        <v>0</v>
      </c>
      <c r="BL181" s="14" t="s">
        <v>185</v>
      </c>
      <c r="BM181" s="165" t="s">
        <v>315</v>
      </c>
    </row>
    <row r="182" spans="1:65" s="2" customFormat="1" ht="44.25" customHeight="1">
      <c r="A182" s="29"/>
      <c r="B182" s="152"/>
      <c r="C182" s="153" t="s">
        <v>316</v>
      </c>
      <c r="D182" s="153" t="s">
        <v>181</v>
      </c>
      <c r="E182" s="154" t="s">
        <v>1537</v>
      </c>
      <c r="F182" s="155" t="s">
        <v>1860</v>
      </c>
      <c r="G182" s="156" t="s">
        <v>293</v>
      </c>
      <c r="H182" s="157">
        <v>30</v>
      </c>
      <c r="I182" s="158"/>
      <c r="J182" s="151">
        <v>0</v>
      </c>
      <c r="K182" s="160"/>
      <c r="L182" s="30"/>
      <c r="M182" s="161" t="s">
        <v>1</v>
      </c>
      <c r="N182" s="162" t="s">
        <v>35</v>
      </c>
      <c r="O182" s="58"/>
      <c r="P182" s="163">
        <f t="shared" si="18"/>
        <v>0</v>
      </c>
      <c r="Q182" s="163">
        <v>0</v>
      </c>
      <c r="R182" s="163">
        <f t="shared" si="19"/>
        <v>0</v>
      </c>
      <c r="S182" s="163">
        <v>0</v>
      </c>
      <c r="T182" s="164">
        <f t="shared" si="20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65" t="s">
        <v>185</v>
      </c>
      <c r="AT182" s="165" t="s">
        <v>181</v>
      </c>
      <c r="AU182" s="165" t="s">
        <v>76</v>
      </c>
      <c r="AY182" s="14" t="s">
        <v>179</v>
      </c>
      <c r="BE182" s="166">
        <f t="shared" si="21"/>
        <v>0</v>
      </c>
      <c r="BF182" s="166">
        <f t="shared" si="22"/>
        <v>0</v>
      </c>
      <c r="BG182" s="166">
        <f t="shared" si="23"/>
        <v>0</v>
      </c>
      <c r="BH182" s="166">
        <f t="shared" si="24"/>
        <v>0</v>
      </c>
      <c r="BI182" s="166">
        <f t="shared" si="25"/>
        <v>0</v>
      </c>
      <c r="BJ182" s="14" t="s">
        <v>82</v>
      </c>
      <c r="BK182" s="166">
        <f t="shared" si="26"/>
        <v>0</v>
      </c>
      <c r="BL182" s="14" t="s">
        <v>185</v>
      </c>
      <c r="BM182" s="165" t="s">
        <v>319</v>
      </c>
    </row>
    <row r="183" spans="1:65" s="2" customFormat="1" ht="44.25" customHeight="1">
      <c r="A183" s="29"/>
      <c r="B183" s="152"/>
      <c r="C183" s="153" t="s">
        <v>254</v>
      </c>
      <c r="D183" s="153" t="s">
        <v>181</v>
      </c>
      <c r="E183" s="154" t="s">
        <v>1539</v>
      </c>
      <c r="F183" s="155" t="s">
        <v>1861</v>
      </c>
      <c r="G183" s="156" t="s">
        <v>293</v>
      </c>
      <c r="H183" s="157">
        <v>45</v>
      </c>
      <c r="I183" s="158"/>
      <c r="J183" s="151">
        <v>0</v>
      </c>
      <c r="K183" s="160"/>
      <c r="L183" s="30"/>
      <c r="M183" s="161" t="s">
        <v>1</v>
      </c>
      <c r="N183" s="162" t="s">
        <v>35</v>
      </c>
      <c r="O183" s="58"/>
      <c r="P183" s="163">
        <f t="shared" si="18"/>
        <v>0</v>
      </c>
      <c r="Q183" s="163">
        <v>0</v>
      </c>
      <c r="R183" s="163">
        <f t="shared" si="19"/>
        <v>0</v>
      </c>
      <c r="S183" s="163">
        <v>0</v>
      </c>
      <c r="T183" s="164">
        <f t="shared" si="20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5" t="s">
        <v>185</v>
      </c>
      <c r="AT183" s="165" t="s">
        <v>181</v>
      </c>
      <c r="AU183" s="165" t="s">
        <v>76</v>
      </c>
      <c r="AY183" s="14" t="s">
        <v>179</v>
      </c>
      <c r="BE183" s="166">
        <f t="shared" si="21"/>
        <v>0</v>
      </c>
      <c r="BF183" s="166">
        <f t="shared" si="22"/>
        <v>0</v>
      </c>
      <c r="BG183" s="166">
        <f t="shared" si="23"/>
        <v>0</v>
      </c>
      <c r="BH183" s="166">
        <f t="shared" si="24"/>
        <v>0</v>
      </c>
      <c r="BI183" s="166">
        <f t="shared" si="25"/>
        <v>0</v>
      </c>
      <c r="BJ183" s="14" t="s">
        <v>82</v>
      </c>
      <c r="BK183" s="166">
        <f t="shared" si="26"/>
        <v>0</v>
      </c>
      <c r="BL183" s="14" t="s">
        <v>185</v>
      </c>
      <c r="BM183" s="165" t="s">
        <v>322</v>
      </c>
    </row>
    <row r="184" spans="1:65" s="2" customFormat="1" ht="37.9" customHeight="1">
      <c r="A184" s="29"/>
      <c r="B184" s="152"/>
      <c r="C184" s="153" t="s">
        <v>323</v>
      </c>
      <c r="D184" s="153" t="s">
        <v>181</v>
      </c>
      <c r="E184" s="154" t="s">
        <v>1541</v>
      </c>
      <c r="F184" s="155" t="s">
        <v>1862</v>
      </c>
      <c r="G184" s="156" t="s">
        <v>293</v>
      </c>
      <c r="H184" s="157">
        <v>20</v>
      </c>
      <c r="I184" s="158"/>
      <c r="J184" s="151">
        <v>0</v>
      </c>
      <c r="K184" s="160"/>
      <c r="L184" s="30"/>
      <c r="M184" s="161" t="s">
        <v>1</v>
      </c>
      <c r="N184" s="162" t="s">
        <v>35</v>
      </c>
      <c r="O184" s="58"/>
      <c r="P184" s="163">
        <f t="shared" si="18"/>
        <v>0</v>
      </c>
      <c r="Q184" s="163">
        <v>0</v>
      </c>
      <c r="R184" s="163">
        <f t="shared" si="19"/>
        <v>0</v>
      </c>
      <c r="S184" s="163">
        <v>0</v>
      </c>
      <c r="T184" s="164">
        <f t="shared" si="20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5" t="s">
        <v>185</v>
      </c>
      <c r="AT184" s="165" t="s">
        <v>181</v>
      </c>
      <c r="AU184" s="165" t="s">
        <v>76</v>
      </c>
      <c r="AY184" s="14" t="s">
        <v>179</v>
      </c>
      <c r="BE184" s="166">
        <f t="shared" si="21"/>
        <v>0</v>
      </c>
      <c r="BF184" s="166">
        <f t="shared" si="22"/>
        <v>0</v>
      </c>
      <c r="BG184" s="166">
        <f t="shared" si="23"/>
        <v>0</v>
      </c>
      <c r="BH184" s="166">
        <f t="shared" si="24"/>
        <v>0</v>
      </c>
      <c r="BI184" s="166">
        <f t="shared" si="25"/>
        <v>0</v>
      </c>
      <c r="BJ184" s="14" t="s">
        <v>82</v>
      </c>
      <c r="BK184" s="166">
        <f t="shared" si="26"/>
        <v>0</v>
      </c>
      <c r="BL184" s="14" t="s">
        <v>185</v>
      </c>
      <c r="BM184" s="165" t="s">
        <v>326</v>
      </c>
    </row>
    <row r="185" spans="1:65" s="2" customFormat="1" ht="37.9" customHeight="1">
      <c r="A185" s="29"/>
      <c r="B185" s="152"/>
      <c r="C185" s="153" t="s">
        <v>257</v>
      </c>
      <c r="D185" s="153" t="s">
        <v>181</v>
      </c>
      <c r="E185" s="154" t="s">
        <v>1543</v>
      </c>
      <c r="F185" s="155" t="s">
        <v>1863</v>
      </c>
      <c r="G185" s="156" t="s">
        <v>293</v>
      </c>
      <c r="H185" s="157">
        <v>30</v>
      </c>
      <c r="I185" s="158"/>
      <c r="J185" s="151">
        <v>0</v>
      </c>
      <c r="K185" s="160"/>
      <c r="L185" s="30"/>
      <c r="M185" s="161" t="s">
        <v>1</v>
      </c>
      <c r="N185" s="162" t="s">
        <v>35</v>
      </c>
      <c r="O185" s="58"/>
      <c r="P185" s="163">
        <f t="shared" si="18"/>
        <v>0</v>
      </c>
      <c r="Q185" s="163">
        <v>0</v>
      </c>
      <c r="R185" s="163">
        <f t="shared" si="19"/>
        <v>0</v>
      </c>
      <c r="S185" s="163">
        <v>0</v>
      </c>
      <c r="T185" s="164">
        <f t="shared" si="20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5" t="s">
        <v>185</v>
      </c>
      <c r="AT185" s="165" t="s">
        <v>181</v>
      </c>
      <c r="AU185" s="165" t="s">
        <v>76</v>
      </c>
      <c r="AY185" s="14" t="s">
        <v>179</v>
      </c>
      <c r="BE185" s="166">
        <f t="shared" si="21"/>
        <v>0</v>
      </c>
      <c r="BF185" s="166">
        <f t="shared" si="22"/>
        <v>0</v>
      </c>
      <c r="BG185" s="166">
        <f t="shared" si="23"/>
        <v>0</v>
      </c>
      <c r="BH185" s="166">
        <f t="shared" si="24"/>
        <v>0</v>
      </c>
      <c r="BI185" s="166">
        <f t="shared" si="25"/>
        <v>0</v>
      </c>
      <c r="BJ185" s="14" t="s">
        <v>82</v>
      </c>
      <c r="BK185" s="166">
        <f t="shared" si="26"/>
        <v>0</v>
      </c>
      <c r="BL185" s="14" t="s">
        <v>185</v>
      </c>
      <c r="BM185" s="165" t="s">
        <v>329</v>
      </c>
    </row>
    <row r="186" spans="1:65" s="2" customFormat="1" ht="37.9" customHeight="1">
      <c r="A186" s="29"/>
      <c r="B186" s="152"/>
      <c r="C186" s="153" t="s">
        <v>330</v>
      </c>
      <c r="D186" s="153" t="s">
        <v>181</v>
      </c>
      <c r="E186" s="154" t="s">
        <v>1545</v>
      </c>
      <c r="F186" s="155" t="s">
        <v>1864</v>
      </c>
      <c r="G186" s="156" t="s">
        <v>293</v>
      </c>
      <c r="H186" s="157">
        <v>5</v>
      </c>
      <c r="I186" s="158"/>
      <c r="J186" s="151">
        <v>0</v>
      </c>
      <c r="K186" s="160"/>
      <c r="L186" s="30"/>
      <c r="M186" s="161" t="s">
        <v>1</v>
      </c>
      <c r="N186" s="162" t="s">
        <v>35</v>
      </c>
      <c r="O186" s="58"/>
      <c r="P186" s="163">
        <f t="shared" si="18"/>
        <v>0</v>
      </c>
      <c r="Q186" s="163">
        <v>0</v>
      </c>
      <c r="R186" s="163">
        <f t="shared" si="19"/>
        <v>0</v>
      </c>
      <c r="S186" s="163">
        <v>0</v>
      </c>
      <c r="T186" s="164">
        <f t="shared" si="20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5" t="s">
        <v>185</v>
      </c>
      <c r="AT186" s="165" t="s">
        <v>181</v>
      </c>
      <c r="AU186" s="165" t="s">
        <v>76</v>
      </c>
      <c r="AY186" s="14" t="s">
        <v>179</v>
      </c>
      <c r="BE186" s="166">
        <f t="shared" si="21"/>
        <v>0</v>
      </c>
      <c r="BF186" s="166">
        <f t="shared" si="22"/>
        <v>0</v>
      </c>
      <c r="BG186" s="166">
        <f t="shared" si="23"/>
        <v>0</v>
      </c>
      <c r="BH186" s="166">
        <f t="shared" si="24"/>
        <v>0</v>
      </c>
      <c r="BI186" s="166">
        <f t="shared" si="25"/>
        <v>0</v>
      </c>
      <c r="BJ186" s="14" t="s">
        <v>82</v>
      </c>
      <c r="BK186" s="166">
        <f t="shared" si="26"/>
        <v>0</v>
      </c>
      <c r="BL186" s="14" t="s">
        <v>185</v>
      </c>
      <c r="BM186" s="165" t="s">
        <v>333</v>
      </c>
    </row>
    <row r="187" spans="1:65" s="2" customFormat="1" ht="49.15" customHeight="1">
      <c r="A187" s="29"/>
      <c r="B187" s="152"/>
      <c r="C187" s="153" t="s">
        <v>261</v>
      </c>
      <c r="D187" s="153" t="s">
        <v>181</v>
      </c>
      <c r="E187" s="154" t="s">
        <v>1547</v>
      </c>
      <c r="F187" s="155" t="s">
        <v>1865</v>
      </c>
      <c r="G187" s="156" t="s">
        <v>217</v>
      </c>
      <c r="H187" s="157">
        <v>40</v>
      </c>
      <c r="I187" s="158"/>
      <c r="J187" s="151">
        <v>0</v>
      </c>
      <c r="K187" s="160"/>
      <c r="L187" s="30"/>
      <c r="M187" s="161" t="s">
        <v>1</v>
      </c>
      <c r="N187" s="162" t="s">
        <v>35</v>
      </c>
      <c r="O187" s="58"/>
      <c r="P187" s="163">
        <f t="shared" si="18"/>
        <v>0</v>
      </c>
      <c r="Q187" s="163">
        <v>0</v>
      </c>
      <c r="R187" s="163">
        <f t="shared" si="19"/>
        <v>0</v>
      </c>
      <c r="S187" s="163">
        <v>0</v>
      </c>
      <c r="T187" s="164">
        <f t="shared" si="20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5" t="s">
        <v>185</v>
      </c>
      <c r="AT187" s="165" t="s">
        <v>181</v>
      </c>
      <c r="AU187" s="165" t="s">
        <v>76</v>
      </c>
      <c r="AY187" s="14" t="s">
        <v>179</v>
      </c>
      <c r="BE187" s="166">
        <f t="shared" si="21"/>
        <v>0</v>
      </c>
      <c r="BF187" s="166">
        <f t="shared" si="22"/>
        <v>0</v>
      </c>
      <c r="BG187" s="166">
        <f t="shared" si="23"/>
        <v>0</v>
      </c>
      <c r="BH187" s="166">
        <f t="shared" si="24"/>
        <v>0</v>
      </c>
      <c r="BI187" s="166">
        <f t="shared" si="25"/>
        <v>0</v>
      </c>
      <c r="BJ187" s="14" t="s">
        <v>82</v>
      </c>
      <c r="BK187" s="166">
        <f t="shared" si="26"/>
        <v>0</v>
      </c>
      <c r="BL187" s="14" t="s">
        <v>185</v>
      </c>
      <c r="BM187" s="165" t="s">
        <v>336</v>
      </c>
    </row>
    <row r="188" spans="1:65" s="2" customFormat="1" ht="49.15" customHeight="1">
      <c r="A188" s="29"/>
      <c r="B188" s="152"/>
      <c r="C188" s="153" t="s">
        <v>337</v>
      </c>
      <c r="D188" s="153" t="s">
        <v>181</v>
      </c>
      <c r="E188" s="154" t="s">
        <v>1549</v>
      </c>
      <c r="F188" s="155" t="s">
        <v>1866</v>
      </c>
      <c r="G188" s="156" t="s">
        <v>217</v>
      </c>
      <c r="H188" s="157">
        <v>110</v>
      </c>
      <c r="I188" s="158"/>
      <c r="J188" s="151">
        <v>0</v>
      </c>
      <c r="K188" s="160"/>
      <c r="L188" s="30"/>
      <c r="M188" s="161" t="s">
        <v>1</v>
      </c>
      <c r="N188" s="162" t="s">
        <v>35</v>
      </c>
      <c r="O188" s="58"/>
      <c r="P188" s="163">
        <f t="shared" si="18"/>
        <v>0</v>
      </c>
      <c r="Q188" s="163">
        <v>0</v>
      </c>
      <c r="R188" s="163">
        <f t="shared" si="19"/>
        <v>0</v>
      </c>
      <c r="S188" s="163">
        <v>0</v>
      </c>
      <c r="T188" s="164">
        <f t="shared" si="20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5" t="s">
        <v>185</v>
      </c>
      <c r="AT188" s="165" t="s">
        <v>181</v>
      </c>
      <c r="AU188" s="165" t="s">
        <v>76</v>
      </c>
      <c r="AY188" s="14" t="s">
        <v>179</v>
      </c>
      <c r="BE188" s="166">
        <f t="shared" si="21"/>
        <v>0</v>
      </c>
      <c r="BF188" s="166">
        <f t="shared" si="22"/>
        <v>0</v>
      </c>
      <c r="BG188" s="166">
        <f t="shared" si="23"/>
        <v>0</v>
      </c>
      <c r="BH188" s="166">
        <f t="shared" si="24"/>
        <v>0</v>
      </c>
      <c r="BI188" s="166">
        <f t="shared" si="25"/>
        <v>0</v>
      </c>
      <c r="BJ188" s="14" t="s">
        <v>82</v>
      </c>
      <c r="BK188" s="166">
        <f t="shared" si="26"/>
        <v>0</v>
      </c>
      <c r="BL188" s="14" t="s">
        <v>185</v>
      </c>
      <c r="BM188" s="165" t="s">
        <v>340</v>
      </c>
    </row>
    <row r="189" spans="1:65" s="2" customFormat="1" ht="16.5" customHeight="1">
      <c r="A189" s="29"/>
      <c r="B189" s="152"/>
      <c r="C189" s="153" t="s">
        <v>265</v>
      </c>
      <c r="D189" s="153" t="s">
        <v>181</v>
      </c>
      <c r="E189" s="154" t="s">
        <v>1551</v>
      </c>
      <c r="F189" s="155" t="s">
        <v>1867</v>
      </c>
      <c r="G189" s="156" t="s">
        <v>217</v>
      </c>
      <c r="H189" s="157">
        <v>1</v>
      </c>
      <c r="I189" s="158"/>
      <c r="J189" s="151">
        <v>0</v>
      </c>
      <c r="K189" s="160"/>
      <c r="L189" s="30"/>
      <c r="M189" s="161" t="s">
        <v>1</v>
      </c>
      <c r="N189" s="162" t="s">
        <v>35</v>
      </c>
      <c r="O189" s="58"/>
      <c r="P189" s="163">
        <f t="shared" si="18"/>
        <v>0</v>
      </c>
      <c r="Q189" s="163">
        <v>0</v>
      </c>
      <c r="R189" s="163">
        <f t="shared" si="19"/>
        <v>0</v>
      </c>
      <c r="S189" s="163">
        <v>0</v>
      </c>
      <c r="T189" s="164">
        <f t="shared" si="20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65" t="s">
        <v>185</v>
      </c>
      <c r="AT189" s="165" t="s">
        <v>181</v>
      </c>
      <c r="AU189" s="165" t="s">
        <v>76</v>
      </c>
      <c r="AY189" s="14" t="s">
        <v>179</v>
      </c>
      <c r="BE189" s="166">
        <f t="shared" si="21"/>
        <v>0</v>
      </c>
      <c r="BF189" s="166">
        <f t="shared" si="22"/>
        <v>0</v>
      </c>
      <c r="BG189" s="166">
        <f t="shared" si="23"/>
        <v>0</v>
      </c>
      <c r="BH189" s="166">
        <f t="shared" si="24"/>
        <v>0</v>
      </c>
      <c r="BI189" s="166">
        <f t="shared" si="25"/>
        <v>0</v>
      </c>
      <c r="BJ189" s="14" t="s">
        <v>82</v>
      </c>
      <c r="BK189" s="166">
        <f t="shared" si="26"/>
        <v>0</v>
      </c>
      <c r="BL189" s="14" t="s">
        <v>185</v>
      </c>
      <c r="BM189" s="165" t="s">
        <v>343</v>
      </c>
    </row>
    <row r="190" spans="1:65" s="2" customFormat="1" ht="16.5" customHeight="1">
      <c r="A190" s="29"/>
      <c r="B190" s="152"/>
      <c r="C190" s="153" t="s">
        <v>344</v>
      </c>
      <c r="D190" s="153" t="s">
        <v>181</v>
      </c>
      <c r="E190" s="154" t="s">
        <v>1553</v>
      </c>
      <c r="F190" s="155" t="s">
        <v>1868</v>
      </c>
      <c r="G190" s="156" t="s">
        <v>217</v>
      </c>
      <c r="H190" s="157">
        <v>1</v>
      </c>
      <c r="I190" s="158"/>
      <c r="J190" s="151">
        <v>0</v>
      </c>
      <c r="K190" s="160"/>
      <c r="L190" s="30"/>
      <c r="M190" s="161" t="s">
        <v>1</v>
      </c>
      <c r="N190" s="162" t="s">
        <v>35</v>
      </c>
      <c r="O190" s="58"/>
      <c r="P190" s="163">
        <f t="shared" si="18"/>
        <v>0</v>
      </c>
      <c r="Q190" s="163">
        <v>0</v>
      </c>
      <c r="R190" s="163">
        <f t="shared" si="19"/>
        <v>0</v>
      </c>
      <c r="S190" s="163">
        <v>0</v>
      </c>
      <c r="T190" s="164">
        <f t="shared" si="20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65" t="s">
        <v>185</v>
      </c>
      <c r="AT190" s="165" t="s">
        <v>181</v>
      </c>
      <c r="AU190" s="165" t="s">
        <v>76</v>
      </c>
      <c r="AY190" s="14" t="s">
        <v>179</v>
      </c>
      <c r="BE190" s="166">
        <f t="shared" si="21"/>
        <v>0</v>
      </c>
      <c r="BF190" s="166">
        <f t="shared" si="22"/>
        <v>0</v>
      </c>
      <c r="BG190" s="166">
        <f t="shared" si="23"/>
        <v>0</v>
      </c>
      <c r="BH190" s="166">
        <f t="shared" si="24"/>
        <v>0</v>
      </c>
      <c r="BI190" s="166">
        <f t="shared" si="25"/>
        <v>0</v>
      </c>
      <c r="BJ190" s="14" t="s">
        <v>82</v>
      </c>
      <c r="BK190" s="166">
        <f t="shared" si="26"/>
        <v>0</v>
      </c>
      <c r="BL190" s="14" t="s">
        <v>185</v>
      </c>
      <c r="BM190" s="165" t="s">
        <v>354</v>
      </c>
    </row>
    <row r="191" spans="1:65" s="2" customFormat="1" ht="24.2" customHeight="1">
      <c r="A191" s="29"/>
      <c r="B191" s="152"/>
      <c r="C191" s="153" t="s">
        <v>268</v>
      </c>
      <c r="D191" s="153" t="s">
        <v>181</v>
      </c>
      <c r="E191" s="154" t="s">
        <v>1555</v>
      </c>
      <c r="F191" s="155" t="s">
        <v>1869</v>
      </c>
      <c r="G191" s="156" t="s">
        <v>217</v>
      </c>
      <c r="H191" s="157">
        <v>1</v>
      </c>
      <c r="I191" s="158"/>
      <c r="J191" s="151">
        <v>0</v>
      </c>
      <c r="K191" s="160"/>
      <c r="L191" s="30"/>
      <c r="M191" s="161" t="s">
        <v>1</v>
      </c>
      <c r="N191" s="162" t="s">
        <v>35</v>
      </c>
      <c r="O191" s="58"/>
      <c r="P191" s="163">
        <f t="shared" si="18"/>
        <v>0</v>
      </c>
      <c r="Q191" s="163">
        <v>0</v>
      </c>
      <c r="R191" s="163">
        <f t="shared" si="19"/>
        <v>0</v>
      </c>
      <c r="S191" s="163">
        <v>0</v>
      </c>
      <c r="T191" s="164">
        <f t="shared" si="20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65" t="s">
        <v>185</v>
      </c>
      <c r="AT191" s="165" t="s">
        <v>181</v>
      </c>
      <c r="AU191" s="165" t="s">
        <v>76</v>
      </c>
      <c r="AY191" s="14" t="s">
        <v>179</v>
      </c>
      <c r="BE191" s="166">
        <f t="shared" si="21"/>
        <v>0</v>
      </c>
      <c r="BF191" s="166">
        <f t="shared" si="22"/>
        <v>0</v>
      </c>
      <c r="BG191" s="166">
        <f t="shared" si="23"/>
        <v>0</v>
      </c>
      <c r="BH191" s="166">
        <f t="shared" si="24"/>
        <v>0</v>
      </c>
      <c r="BI191" s="166">
        <f t="shared" si="25"/>
        <v>0</v>
      </c>
      <c r="BJ191" s="14" t="s">
        <v>82</v>
      </c>
      <c r="BK191" s="166">
        <f t="shared" si="26"/>
        <v>0</v>
      </c>
      <c r="BL191" s="14" t="s">
        <v>185</v>
      </c>
      <c r="BM191" s="165" t="s">
        <v>357</v>
      </c>
    </row>
    <row r="192" spans="1:65" s="2" customFormat="1" ht="16.5" customHeight="1">
      <c r="A192" s="29"/>
      <c r="B192" s="152"/>
      <c r="C192" s="153" t="s">
        <v>351</v>
      </c>
      <c r="D192" s="153" t="s">
        <v>181</v>
      </c>
      <c r="E192" s="154" t="s">
        <v>1557</v>
      </c>
      <c r="F192" s="155" t="s">
        <v>1870</v>
      </c>
      <c r="G192" s="156" t="s">
        <v>293</v>
      </c>
      <c r="H192" s="157">
        <v>25</v>
      </c>
      <c r="I192" s="158"/>
      <c r="J192" s="151">
        <v>0</v>
      </c>
      <c r="K192" s="160"/>
      <c r="L192" s="30"/>
      <c r="M192" s="161" t="s">
        <v>1</v>
      </c>
      <c r="N192" s="162" t="s">
        <v>35</v>
      </c>
      <c r="O192" s="58"/>
      <c r="P192" s="163">
        <f t="shared" si="18"/>
        <v>0</v>
      </c>
      <c r="Q192" s="163">
        <v>0</v>
      </c>
      <c r="R192" s="163">
        <f t="shared" si="19"/>
        <v>0</v>
      </c>
      <c r="S192" s="163">
        <v>0</v>
      </c>
      <c r="T192" s="164">
        <f t="shared" si="20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65" t="s">
        <v>185</v>
      </c>
      <c r="AT192" s="165" t="s">
        <v>181</v>
      </c>
      <c r="AU192" s="165" t="s">
        <v>76</v>
      </c>
      <c r="AY192" s="14" t="s">
        <v>179</v>
      </c>
      <c r="BE192" s="166">
        <f t="shared" si="21"/>
        <v>0</v>
      </c>
      <c r="BF192" s="166">
        <f t="shared" si="22"/>
        <v>0</v>
      </c>
      <c r="BG192" s="166">
        <f t="shared" si="23"/>
        <v>0</v>
      </c>
      <c r="BH192" s="166">
        <f t="shared" si="24"/>
        <v>0</v>
      </c>
      <c r="BI192" s="166">
        <f t="shared" si="25"/>
        <v>0</v>
      </c>
      <c r="BJ192" s="14" t="s">
        <v>82</v>
      </c>
      <c r="BK192" s="166">
        <f t="shared" si="26"/>
        <v>0</v>
      </c>
      <c r="BL192" s="14" t="s">
        <v>185</v>
      </c>
      <c r="BM192" s="165" t="s">
        <v>361</v>
      </c>
    </row>
    <row r="193" spans="1:65" s="2" customFormat="1" ht="16.5" customHeight="1">
      <c r="A193" s="29"/>
      <c r="B193" s="152"/>
      <c r="C193" s="153" t="s">
        <v>271</v>
      </c>
      <c r="D193" s="153" t="s">
        <v>181</v>
      </c>
      <c r="E193" s="154" t="s">
        <v>1559</v>
      </c>
      <c r="F193" s="155" t="s">
        <v>1871</v>
      </c>
      <c r="G193" s="156" t="s">
        <v>293</v>
      </c>
      <c r="H193" s="157">
        <v>68</v>
      </c>
      <c r="I193" s="158"/>
      <c r="J193" s="151">
        <v>0</v>
      </c>
      <c r="K193" s="160"/>
      <c r="L193" s="30"/>
      <c r="M193" s="161" t="s">
        <v>1</v>
      </c>
      <c r="N193" s="162" t="s">
        <v>35</v>
      </c>
      <c r="O193" s="58"/>
      <c r="P193" s="163">
        <f t="shared" si="18"/>
        <v>0</v>
      </c>
      <c r="Q193" s="163">
        <v>0</v>
      </c>
      <c r="R193" s="163">
        <f t="shared" si="19"/>
        <v>0</v>
      </c>
      <c r="S193" s="163">
        <v>0</v>
      </c>
      <c r="T193" s="164">
        <f t="shared" si="20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65" t="s">
        <v>185</v>
      </c>
      <c r="AT193" s="165" t="s">
        <v>181</v>
      </c>
      <c r="AU193" s="165" t="s">
        <v>76</v>
      </c>
      <c r="AY193" s="14" t="s">
        <v>179</v>
      </c>
      <c r="BE193" s="166">
        <f t="shared" si="21"/>
        <v>0</v>
      </c>
      <c r="BF193" s="166">
        <f t="shared" si="22"/>
        <v>0</v>
      </c>
      <c r="BG193" s="166">
        <f t="shared" si="23"/>
        <v>0</v>
      </c>
      <c r="BH193" s="166">
        <f t="shared" si="24"/>
        <v>0</v>
      </c>
      <c r="BI193" s="166">
        <f t="shared" si="25"/>
        <v>0</v>
      </c>
      <c r="BJ193" s="14" t="s">
        <v>82</v>
      </c>
      <c r="BK193" s="166">
        <f t="shared" si="26"/>
        <v>0</v>
      </c>
      <c r="BL193" s="14" t="s">
        <v>185</v>
      </c>
      <c r="BM193" s="165" t="s">
        <v>364</v>
      </c>
    </row>
    <row r="194" spans="1:65" s="2" customFormat="1" ht="16.5" customHeight="1">
      <c r="A194" s="29"/>
      <c r="B194" s="152"/>
      <c r="C194" s="153" t="s">
        <v>358</v>
      </c>
      <c r="D194" s="153" t="s">
        <v>181</v>
      </c>
      <c r="E194" s="154" t="s">
        <v>1561</v>
      </c>
      <c r="F194" s="155" t="s">
        <v>1872</v>
      </c>
      <c r="G194" s="156" t="s">
        <v>293</v>
      </c>
      <c r="H194" s="157">
        <v>5</v>
      </c>
      <c r="I194" s="158"/>
      <c r="J194" s="151">
        <v>0</v>
      </c>
      <c r="K194" s="160"/>
      <c r="L194" s="30"/>
      <c r="M194" s="161" t="s">
        <v>1</v>
      </c>
      <c r="N194" s="162" t="s">
        <v>35</v>
      </c>
      <c r="O194" s="58"/>
      <c r="P194" s="163">
        <f t="shared" si="18"/>
        <v>0</v>
      </c>
      <c r="Q194" s="163">
        <v>0</v>
      </c>
      <c r="R194" s="163">
        <f t="shared" si="19"/>
        <v>0</v>
      </c>
      <c r="S194" s="163">
        <v>0</v>
      </c>
      <c r="T194" s="164">
        <f t="shared" si="20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65" t="s">
        <v>185</v>
      </c>
      <c r="AT194" s="165" t="s">
        <v>181</v>
      </c>
      <c r="AU194" s="165" t="s">
        <v>76</v>
      </c>
      <c r="AY194" s="14" t="s">
        <v>179</v>
      </c>
      <c r="BE194" s="166">
        <f t="shared" si="21"/>
        <v>0</v>
      </c>
      <c r="BF194" s="166">
        <f t="shared" si="22"/>
        <v>0</v>
      </c>
      <c r="BG194" s="166">
        <f t="shared" si="23"/>
        <v>0</v>
      </c>
      <c r="BH194" s="166">
        <f t="shared" si="24"/>
        <v>0</v>
      </c>
      <c r="BI194" s="166">
        <f t="shared" si="25"/>
        <v>0</v>
      </c>
      <c r="BJ194" s="14" t="s">
        <v>82</v>
      </c>
      <c r="BK194" s="166">
        <f t="shared" si="26"/>
        <v>0</v>
      </c>
      <c r="BL194" s="14" t="s">
        <v>185</v>
      </c>
      <c r="BM194" s="165" t="s">
        <v>368</v>
      </c>
    </row>
    <row r="195" spans="1:65" s="2" customFormat="1" ht="16.5" customHeight="1">
      <c r="A195" s="29"/>
      <c r="B195" s="152"/>
      <c r="C195" s="153" t="s">
        <v>275</v>
      </c>
      <c r="D195" s="153" t="s">
        <v>181</v>
      </c>
      <c r="E195" s="154" t="s">
        <v>1563</v>
      </c>
      <c r="F195" s="155" t="s">
        <v>1873</v>
      </c>
      <c r="G195" s="156" t="s">
        <v>293</v>
      </c>
      <c r="H195" s="157">
        <v>10</v>
      </c>
      <c r="I195" s="158"/>
      <c r="J195" s="151">
        <v>0</v>
      </c>
      <c r="K195" s="160"/>
      <c r="L195" s="30"/>
      <c r="M195" s="161" t="s">
        <v>1</v>
      </c>
      <c r="N195" s="162" t="s">
        <v>35</v>
      </c>
      <c r="O195" s="58"/>
      <c r="P195" s="163">
        <f t="shared" si="18"/>
        <v>0</v>
      </c>
      <c r="Q195" s="163">
        <v>0</v>
      </c>
      <c r="R195" s="163">
        <f t="shared" si="19"/>
        <v>0</v>
      </c>
      <c r="S195" s="163">
        <v>0</v>
      </c>
      <c r="T195" s="164">
        <f t="shared" si="20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65" t="s">
        <v>185</v>
      </c>
      <c r="AT195" s="165" t="s">
        <v>181</v>
      </c>
      <c r="AU195" s="165" t="s">
        <v>76</v>
      </c>
      <c r="AY195" s="14" t="s">
        <v>179</v>
      </c>
      <c r="BE195" s="166">
        <f t="shared" si="21"/>
        <v>0</v>
      </c>
      <c r="BF195" s="166">
        <f t="shared" si="22"/>
        <v>0</v>
      </c>
      <c r="BG195" s="166">
        <f t="shared" si="23"/>
        <v>0</v>
      </c>
      <c r="BH195" s="166">
        <f t="shared" si="24"/>
        <v>0</v>
      </c>
      <c r="BI195" s="166">
        <f t="shared" si="25"/>
        <v>0</v>
      </c>
      <c r="BJ195" s="14" t="s">
        <v>82</v>
      </c>
      <c r="BK195" s="166">
        <f t="shared" si="26"/>
        <v>0</v>
      </c>
      <c r="BL195" s="14" t="s">
        <v>185</v>
      </c>
      <c r="BM195" s="165" t="s">
        <v>371</v>
      </c>
    </row>
    <row r="196" spans="1:65" s="2" customFormat="1" ht="16.5" customHeight="1">
      <c r="A196" s="29"/>
      <c r="B196" s="152"/>
      <c r="C196" s="153" t="s">
        <v>365</v>
      </c>
      <c r="D196" s="153" t="s">
        <v>181</v>
      </c>
      <c r="E196" s="154" t="s">
        <v>1565</v>
      </c>
      <c r="F196" s="155" t="s">
        <v>1874</v>
      </c>
      <c r="G196" s="156" t="s">
        <v>293</v>
      </c>
      <c r="H196" s="157">
        <v>40</v>
      </c>
      <c r="I196" s="158"/>
      <c r="J196" s="151">
        <v>0</v>
      </c>
      <c r="K196" s="160"/>
      <c r="L196" s="30"/>
      <c r="M196" s="161" t="s">
        <v>1</v>
      </c>
      <c r="N196" s="162" t="s">
        <v>35</v>
      </c>
      <c r="O196" s="58"/>
      <c r="P196" s="163">
        <f t="shared" si="18"/>
        <v>0</v>
      </c>
      <c r="Q196" s="163">
        <v>0</v>
      </c>
      <c r="R196" s="163">
        <f t="shared" si="19"/>
        <v>0</v>
      </c>
      <c r="S196" s="163">
        <v>0</v>
      </c>
      <c r="T196" s="164">
        <f t="shared" si="20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65" t="s">
        <v>185</v>
      </c>
      <c r="AT196" s="165" t="s">
        <v>181</v>
      </c>
      <c r="AU196" s="165" t="s">
        <v>76</v>
      </c>
      <c r="AY196" s="14" t="s">
        <v>179</v>
      </c>
      <c r="BE196" s="166">
        <f t="shared" si="21"/>
        <v>0</v>
      </c>
      <c r="BF196" s="166">
        <f t="shared" si="22"/>
        <v>0</v>
      </c>
      <c r="BG196" s="166">
        <f t="shared" si="23"/>
        <v>0</v>
      </c>
      <c r="BH196" s="166">
        <f t="shared" si="24"/>
        <v>0</v>
      </c>
      <c r="BI196" s="166">
        <f t="shared" si="25"/>
        <v>0</v>
      </c>
      <c r="BJ196" s="14" t="s">
        <v>82</v>
      </c>
      <c r="BK196" s="166">
        <f t="shared" si="26"/>
        <v>0</v>
      </c>
      <c r="BL196" s="14" t="s">
        <v>185</v>
      </c>
      <c r="BM196" s="165" t="s">
        <v>375</v>
      </c>
    </row>
    <row r="197" spans="1:65" s="2" customFormat="1" ht="16.5" customHeight="1">
      <c r="A197" s="29"/>
      <c r="B197" s="152"/>
      <c r="C197" s="153" t="s">
        <v>279</v>
      </c>
      <c r="D197" s="153" t="s">
        <v>181</v>
      </c>
      <c r="E197" s="154" t="s">
        <v>1567</v>
      </c>
      <c r="F197" s="155" t="s">
        <v>1875</v>
      </c>
      <c r="G197" s="156" t="s">
        <v>217</v>
      </c>
      <c r="H197" s="157">
        <v>13</v>
      </c>
      <c r="I197" s="158"/>
      <c r="J197" s="151">
        <v>0</v>
      </c>
      <c r="K197" s="160"/>
      <c r="L197" s="30"/>
      <c r="M197" s="161" t="s">
        <v>1</v>
      </c>
      <c r="N197" s="162" t="s">
        <v>35</v>
      </c>
      <c r="O197" s="58"/>
      <c r="P197" s="163">
        <f t="shared" si="18"/>
        <v>0</v>
      </c>
      <c r="Q197" s="163">
        <v>0</v>
      </c>
      <c r="R197" s="163">
        <f t="shared" si="19"/>
        <v>0</v>
      </c>
      <c r="S197" s="163">
        <v>0</v>
      </c>
      <c r="T197" s="164">
        <f t="shared" si="20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65" t="s">
        <v>185</v>
      </c>
      <c r="AT197" s="165" t="s">
        <v>181</v>
      </c>
      <c r="AU197" s="165" t="s">
        <v>76</v>
      </c>
      <c r="AY197" s="14" t="s">
        <v>179</v>
      </c>
      <c r="BE197" s="166">
        <f t="shared" si="21"/>
        <v>0</v>
      </c>
      <c r="BF197" s="166">
        <f t="shared" si="22"/>
        <v>0</v>
      </c>
      <c r="BG197" s="166">
        <f t="shared" si="23"/>
        <v>0</v>
      </c>
      <c r="BH197" s="166">
        <f t="shared" si="24"/>
        <v>0</v>
      </c>
      <c r="BI197" s="166">
        <f t="shared" si="25"/>
        <v>0</v>
      </c>
      <c r="BJ197" s="14" t="s">
        <v>82</v>
      </c>
      <c r="BK197" s="166">
        <f t="shared" si="26"/>
        <v>0</v>
      </c>
      <c r="BL197" s="14" t="s">
        <v>185</v>
      </c>
      <c r="BM197" s="165" t="s">
        <v>378</v>
      </c>
    </row>
    <row r="198" spans="1:65" s="2" customFormat="1" ht="16.5" customHeight="1">
      <c r="A198" s="29"/>
      <c r="B198" s="152"/>
      <c r="C198" s="153" t="s">
        <v>372</v>
      </c>
      <c r="D198" s="153" t="s">
        <v>181</v>
      </c>
      <c r="E198" s="154" t="s">
        <v>1569</v>
      </c>
      <c r="F198" s="155" t="s">
        <v>1876</v>
      </c>
      <c r="G198" s="156" t="s">
        <v>217</v>
      </c>
      <c r="H198" s="157">
        <v>13</v>
      </c>
      <c r="I198" s="158"/>
      <c r="J198" s="151">
        <v>0</v>
      </c>
      <c r="K198" s="160"/>
      <c r="L198" s="30"/>
      <c r="M198" s="161" t="s">
        <v>1</v>
      </c>
      <c r="N198" s="162" t="s">
        <v>35</v>
      </c>
      <c r="O198" s="58"/>
      <c r="P198" s="163">
        <f t="shared" si="18"/>
        <v>0</v>
      </c>
      <c r="Q198" s="163">
        <v>0</v>
      </c>
      <c r="R198" s="163">
        <f t="shared" si="19"/>
        <v>0</v>
      </c>
      <c r="S198" s="163">
        <v>0</v>
      </c>
      <c r="T198" s="164">
        <f t="shared" si="20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65" t="s">
        <v>185</v>
      </c>
      <c r="AT198" s="165" t="s">
        <v>181</v>
      </c>
      <c r="AU198" s="165" t="s">
        <v>76</v>
      </c>
      <c r="AY198" s="14" t="s">
        <v>179</v>
      </c>
      <c r="BE198" s="166">
        <f t="shared" si="21"/>
        <v>0</v>
      </c>
      <c r="BF198" s="166">
        <f t="shared" si="22"/>
        <v>0</v>
      </c>
      <c r="BG198" s="166">
        <f t="shared" si="23"/>
        <v>0</v>
      </c>
      <c r="BH198" s="166">
        <f t="shared" si="24"/>
        <v>0</v>
      </c>
      <c r="BI198" s="166">
        <f t="shared" si="25"/>
        <v>0</v>
      </c>
      <c r="BJ198" s="14" t="s">
        <v>82</v>
      </c>
      <c r="BK198" s="166">
        <f t="shared" si="26"/>
        <v>0</v>
      </c>
      <c r="BL198" s="14" t="s">
        <v>185</v>
      </c>
      <c r="BM198" s="165" t="s">
        <v>382</v>
      </c>
    </row>
    <row r="199" spans="1:65" s="2" customFormat="1" ht="24.2" customHeight="1">
      <c r="A199" s="29"/>
      <c r="B199" s="152"/>
      <c r="C199" s="153" t="s">
        <v>283</v>
      </c>
      <c r="D199" s="153" t="s">
        <v>181</v>
      </c>
      <c r="E199" s="154" t="s">
        <v>1571</v>
      </c>
      <c r="F199" s="155" t="s">
        <v>1877</v>
      </c>
      <c r="G199" s="156" t="s">
        <v>217</v>
      </c>
      <c r="H199" s="157">
        <v>1</v>
      </c>
      <c r="I199" s="158"/>
      <c r="J199" s="151">
        <v>0</v>
      </c>
      <c r="K199" s="160"/>
      <c r="L199" s="30"/>
      <c r="M199" s="161" t="s">
        <v>1</v>
      </c>
      <c r="N199" s="162" t="s">
        <v>35</v>
      </c>
      <c r="O199" s="58"/>
      <c r="P199" s="163">
        <f t="shared" si="18"/>
        <v>0</v>
      </c>
      <c r="Q199" s="163">
        <v>0</v>
      </c>
      <c r="R199" s="163">
        <f t="shared" si="19"/>
        <v>0</v>
      </c>
      <c r="S199" s="163">
        <v>0</v>
      </c>
      <c r="T199" s="164">
        <f t="shared" si="20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65" t="s">
        <v>185</v>
      </c>
      <c r="AT199" s="165" t="s">
        <v>181</v>
      </c>
      <c r="AU199" s="165" t="s">
        <v>76</v>
      </c>
      <c r="AY199" s="14" t="s">
        <v>179</v>
      </c>
      <c r="BE199" s="166">
        <f t="shared" si="21"/>
        <v>0</v>
      </c>
      <c r="BF199" s="166">
        <f t="shared" si="22"/>
        <v>0</v>
      </c>
      <c r="BG199" s="166">
        <f t="shared" si="23"/>
        <v>0</v>
      </c>
      <c r="BH199" s="166">
        <f t="shared" si="24"/>
        <v>0</v>
      </c>
      <c r="BI199" s="166">
        <f t="shared" si="25"/>
        <v>0</v>
      </c>
      <c r="BJ199" s="14" t="s">
        <v>82</v>
      </c>
      <c r="BK199" s="166">
        <f t="shared" si="26"/>
        <v>0</v>
      </c>
      <c r="BL199" s="14" t="s">
        <v>185</v>
      </c>
      <c r="BM199" s="165" t="s">
        <v>385</v>
      </c>
    </row>
    <row r="200" spans="1:65" s="2" customFormat="1" ht="16.5" customHeight="1">
      <c r="A200" s="29"/>
      <c r="B200" s="152"/>
      <c r="C200" s="153" t="s">
        <v>379</v>
      </c>
      <c r="D200" s="153" t="s">
        <v>181</v>
      </c>
      <c r="E200" s="154" t="s">
        <v>1573</v>
      </c>
      <c r="F200" s="155" t="s">
        <v>1878</v>
      </c>
      <c r="G200" s="156" t="s">
        <v>217</v>
      </c>
      <c r="H200" s="157">
        <v>2</v>
      </c>
      <c r="I200" s="158"/>
      <c r="J200" s="151">
        <v>0</v>
      </c>
      <c r="K200" s="160"/>
      <c r="L200" s="30"/>
      <c r="M200" s="161" t="s">
        <v>1</v>
      </c>
      <c r="N200" s="162" t="s">
        <v>35</v>
      </c>
      <c r="O200" s="58"/>
      <c r="P200" s="163">
        <f t="shared" si="18"/>
        <v>0</v>
      </c>
      <c r="Q200" s="163">
        <v>0</v>
      </c>
      <c r="R200" s="163">
        <f t="shared" si="19"/>
        <v>0</v>
      </c>
      <c r="S200" s="163">
        <v>0</v>
      </c>
      <c r="T200" s="164">
        <f t="shared" si="20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65" t="s">
        <v>185</v>
      </c>
      <c r="AT200" s="165" t="s">
        <v>181</v>
      </c>
      <c r="AU200" s="165" t="s">
        <v>76</v>
      </c>
      <c r="AY200" s="14" t="s">
        <v>179</v>
      </c>
      <c r="BE200" s="166">
        <f t="shared" si="21"/>
        <v>0</v>
      </c>
      <c r="BF200" s="166">
        <f t="shared" si="22"/>
        <v>0</v>
      </c>
      <c r="BG200" s="166">
        <f t="shared" si="23"/>
        <v>0</v>
      </c>
      <c r="BH200" s="166">
        <f t="shared" si="24"/>
        <v>0</v>
      </c>
      <c r="BI200" s="166">
        <f t="shared" si="25"/>
        <v>0</v>
      </c>
      <c r="BJ200" s="14" t="s">
        <v>82</v>
      </c>
      <c r="BK200" s="166">
        <f t="shared" si="26"/>
        <v>0</v>
      </c>
      <c r="BL200" s="14" t="s">
        <v>185</v>
      </c>
      <c r="BM200" s="165" t="s">
        <v>390</v>
      </c>
    </row>
    <row r="201" spans="1:65" s="2" customFormat="1" ht="16.5" customHeight="1">
      <c r="A201" s="29"/>
      <c r="B201" s="152"/>
      <c r="C201" s="153" t="s">
        <v>286</v>
      </c>
      <c r="D201" s="153" t="s">
        <v>181</v>
      </c>
      <c r="E201" s="154" t="s">
        <v>1575</v>
      </c>
      <c r="F201" s="155" t="s">
        <v>1879</v>
      </c>
      <c r="G201" s="156" t="s">
        <v>217</v>
      </c>
      <c r="H201" s="157">
        <v>2</v>
      </c>
      <c r="I201" s="158"/>
      <c r="J201" s="151">
        <v>0</v>
      </c>
      <c r="K201" s="160"/>
      <c r="L201" s="30"/>
      <c r="M201" s="161" t="s">
        <v>1</v>
      </c>
      <c r="N201" s="162" t="s">
        <v>35</v>
      </c>
      <c r="O201" s="58"/>
      <c r="P201" s="163">
        <f t="shared" si="18"/>
        <v>0</v>
      </c>
      <c r="Q201" s="163">
        <v>0</v>
      </c>
      <c r="R201" s="163">
        <f t="shared" si="19"/>
        <v>0</v>
      </c>
      <c r="S201" s="163">
        <v>0</v>
      </c>
      <c r="T201" s="164">
        <f t="shared" si="20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65" t="s">
        <v>185</v>
      </c>
      <c r="AT201" s="165" t="s">
        <v>181</v>
      </c>
      <c r="AU201" s="165" t="s">
        <v>76</v>
      </c>
      <c r="AY201" s="14" t="s">
        <v>179</v>
      </c>
      <c r="BE201" s="166">
        <f t="shared" si="21"/>
        <v>0</v>
      </c>
      <c r="BF201" s="166">
        <f t="shared" si="22"/>
        <v>0</v>
      </c>
      <c r="BG201" s="166">
        <f t="shared" si="23"/>
        <v>0</v>
      </c>
      <c r="BH201" s="166">
        <f t="shared" si="24"/>
        <v>0</v>
      </c>
      <c r="BI201" s="166">
        <f t="shared" si="25"/>
        <v>0</v>
      </c>
      <c r="BJ201" s="14" t="s">
        <v>82</v>
      </c>
      <c r="BK201" s="166">
        <f t="shared" si="26"/>
        <v>0</v>
      </c>
      <c r="BL201" s="14" t="s">
        <v>185</v>
      </c>
      <c r="BM201" s="165" t="s">
        <v>393</v>
      </c>
    </row>
    <row r="202" spans="1:65" s="2" customFormat="1" ht="33" customHeight="1">
      <c r="A202" s="29"/>
      <c r="B202" s="152"/>
      <c r="C202" s="153" t="s">
        <v>387</v>
      </c>
      <c r="D202" s="153" t="s">
        <v>181</v>
      </c>
      <c r="E202" s="154" t="s">
        <v>1577</v>
      </c>
      <c r="F202" s="155" t="s">
        <v>1880</v>
      </c>
      <c r="G202" s="156" t="s">
        <v>217</v>
      </c>
      <c r="H202" s="157">
        <v>1</v>
      </c>
      <c r="I202" s="158"/>
      <c r="J202" s="151">
        <v>0</v>
      </c>
      <c r="K202" s="160"/>
      <c r="L202" s="30"/>
      <c r="M202" s="161" t="s">
        <v>1</v>
      </c>
      <c r="N202" s="162" t="s">
        <v>35</v>
      </c>
      <c r="O202" s="58"/>
      <c r="P202" s="163">
        <f t="shared" si="18"/>
        <v>0</v>
      </c>
      <c r="Q202" s="163">
        <v>0</v>
      </c>
      <c r="R202" s="163">
        <f t="shared" si="19"/>
        <v>0</v>
      </c>
      <c r="S202" s="163">
        <v>0</v>
      </c>
      <c r="T202" s="164">
        <f t="shared" si="20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65" t="s">
        <v>185</v>
      </c>
      <c r="AT202" s="165" t="s">
        <v>181</v>
      </c>
      <c r="AU202" s="165" t="s">
        <v>76</v>
      </c>
      <c r="AY202" s="14" t="s">
        <v>179</v>
      </c>
      <c r="BE202" s="166">
        <f t="shared" si="21"/>
        <v>0</v>
      </c>
      <c r="BF202" s="166">
        <f t="shared" si="22"/>
        <v>0</v>
      </c>
      <c r="BG202" s="166">
        <f t="shared" si="23"/>
        <v>0</v>
      </c>
      <c r="BH202" s="166">
        <f t="shared" si="24"/>
        <v>0</v>
      </c>
      <c r="BI202" s="166">
        <f t="shared" si="25"/>
        <v>0</v>
      </c>
      <c r="BJ202" s="14" t="s">
        <v>82</v>
      </c>
      <c r="BK202" s="166">
        <f t="shared" si="26"/>
        <v>0</v>
      </c>
      <c r="BL202" s="14" t="s">
        <v>185</v>
      </c>
      <c r="BM202" s="165" t="s">
        <v>397</v>
      </c>
    </row>
    <row r="203" spans="1:65" s="2" customFormat="1" ht="24.2" customHeight="1">
      <c r="A203" s="29"/>
      <c r="B203" s="152"/>
      <c r="C203" s="153" t="s">
        <v>290</v>
      </c>
      <c r="D203" s="153" t="s">
        <v>181</v>
      </c>
      <c r="E203" s="154" t="s">
        <v>1579</v>
      </c>
      <c r="F203" s="155" t="s">
        <v>1881</v>
      </c>
      <c r="G203" s="156" t="s">
        <v>217</v>
      </c>
      <c r="H203" s="157">
        <v>1</v>
      </c>
      <c r="I203" s="158"/>
      <c r="J203" s="151">
        <v>0</v>
      </c>
      <c r="K203" s="160"/>
      <c r="L203" s="30"/>
      <c r="M203" s="161" t="s">
        <v>1</v>
      </c>
      <c r="N203" s="162" t="s">
        <v>35</v>
      </c>
      <c r="O203" s="58"/>
      <c r="P203" s="163">
        <f t="shared" si="18"/>
        <v>0</v>
      </c>
      <c r="Q203" s="163">
        <v>0</v>
      </c>
      <c r="R203" s="163">
        <f t="shared" si="19"/>
        <v>0</v>
      </c>
      <c r="S203" s="163">
        <v>0</v>
      </c>
      <c r="T203" s="164">
        <f t="shared" si="20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65" t="s">
        <v>185</v>
      </c>
      <c r="AT203" s="165" t="s">
        <v>181</v>
      </c>
      <c r="AU203" s="165" t="s">
        <v>76</v>
      </c>
      <c r="AY203" s="14" t="s">
        <v>179</v>
      </c>
      <c r="BE203" s="166">
        <f t="shared" si="21"/>
        <v>0</v>
      </c>
      <c r="BF203" s="166">
        <f t="shared" si="22"/>
        <v>0</v>
      </c>
      <c r="BG203" s="166">
        <f t="shared" si="23"/>
        <v>0</v>
      </c>
      <c r="BH203" s="166">
        <f t="shared" si="24"/>
        <v>0</v>
      </c>
      <c r="BI203" s="166">
        <f t="shared" si="25"/>
        <v>0</v>
      </c>
      <c r="BJ203" s="14" t="s">
        <v>82</v>
      </c>
      <c r="BK203" s="166">
        <f t="shared" si="26"/>
        <v>0</v>
      </c>
      <c r="BL203" s="14" t="s">
        <v>185</v>
      </c>
      <c r="BM203" s="165" t="s">
        <v>400</v>
      </c>
    </row>
    <row r="204" spans="1:65" s="2" customFormat="1" ht="16.5" customHeight="1">
      <c r="A204" s="29"/>
      <c r="B204" s="152"/>
      <c r="C204" s="153" t="s">
        <v>394</v>
      </c>
      <c r="D204" s="153" t="s">
        <v>181</v>
      </c>
      <c r="E204" s="154" t="s">
        <v>1581</v>
      </c>
      <c r="F204" s="155" t="s">
        <v>1882</v>
      </c>
      <c r="G204" s="156" t="s">
        <v>217</v>
      </c>
      <c r="H204" s="157">
        <v>1</v>
      </c>
      <c r="I204" s="158"/>
      <c r="J204" s="151">
        <v>0</v>
      </c>
      <c r="K204" s="160"/>
      <c r="L204" s="30"/>
      <c r="M204" s="161" t="s">
        <v>1</v>
      </c>
      <c r="N204" s="162" t="s">
        <v>35</v>
      </c>
      <c r="O204" s="58"/>
      <c r="P204" s="163">
        <f t="shared" si="18"/>
        <v>0</v>
      </c>
      <c r="Q204" s="163">
        <v>0</v>
      </c>
      <c r="R204" s="163">
        <f t="shared" si="19"/>
        <v>0</v>
      </c>
      <c r="S204" s="163">
        <v>0</v>
      </c>
      <c r="T204" s="164">
        <f t="shared" si="20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65" t="s">
        <v>185</v>
      </c>
      <c r="AT204" s="165" t="s">
        <v>181</v>
      </c>
      <c r="AU204" s="165" t="s">
        <v>76</v>
      </c>
      <c r="AY204" s="14" t="s">
        <v>179</v>
      </c>
      <c r="BE204" s="166">
        <f t="shared" si="21"/>
        <v>0</v>
      </c>
      <c r="BF204" s="166">
        <f t="shared" si="22"/>
        <v>0</v>
      </c>
      <c r="BG204" s="166">
        <f t="shared" si="23"/>
        <v>0</v>
      </c>
      <c r="BH204" s="166">
        <f t="shared" si="24"/>
        <v>0</v>
      </c>
      <c r="BI204" s="166">
        <f t="shared" si="25"/>
        <v>0</v>
      </c>
      <c r="BJ204" s="14" t="s">
        <v>82</v>
      </c>
      <c r="BK204" s="166">
        <f t="shared" si="26"/>
        <v>0</v>
      </c>
      <c r="BL204" s="14" t="s">
        <v>185</v>
      </c>
      <c r="BM204" s="165" t="s">
        <v>404</v>
      </c>
    </row>
    <row r="205" spans="1:65" s="2" customFormat="1" ht="16.5" customHeight="1">
      <c r="A205" s="29"/>
      <c r="B205" s="152"/>
      <c r="C205" s="153" t="s">
        <v>294</v>
      </c>
      <c r="D205" s="153" t="s">
        <v>181</v>
      </c>
      <c r="E205" s="154" t="s">
        <v>1583</v>
      </c>
      <c r="F205" s="155" t="s">
        <v>1883</v>
      </c>
      <c r="G205" s="156" t="s">
        <v>217</v>
      </c>
      <c r="H205" s="157">
        <v>1</v>
      </c>
      <c r="I205" s="158"/>
      <c r="J205" s="151">
        <v>0</v>
      </c>
      <c r="K205" s="160"/>
      <c r="L205" s="30"/>
      <c r="M205" s="161" t="s">
        <v>1</v>
      </c>
      <c r="N205" s="162" t="s">
        <v>35</v>
      </c>
      <c r="O205" s="58"/>
      <c r="P205" s="163">
        <f t="shared" si="18"/>
        <v>0</v>
      </c>
      <c r="Q205" s="163">
        <v>0</v>
      </c>
      <c r="R205" s="163">
        <f t="shared" si="19"/>
        <v>0</v>
      </c>
      <c r="S205" s="163">
        <v>0</v>
      </c>
      <c r="T205" s="164">
        <f t="shared" si="20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65" t="s">
        <v>185</v>
      </c>
      <c r="AT205" s="165" t="s">
        <v>181</v>
      </c>
      <c r="AU205" s="165" t="s">
        <v>76</v>
      </c>
      <c r="AY205" s="14" t="s">
        <v>179</v>
      </c>
      <c r="BE205" s="166">
        <f t="shared" si="21"/>
        <v>0</v>
      </c>
      <c r="BF205" s="166">
        <f t="shared" si="22"/>
        <v>0</v>
      </c>
      <c r="BG205" s="166">
        <f t="shared" si="23"/>
        <v>0</v>
      </c>
      <c r="BH205" s="166">
        <f t="shared" si="24"/>
        <v>0</v>
      </c>
      <c r="BI205" s="166">
        <f t="shared" si="25"/>
        <v>0</v>
      </c>
      <c r="BJ205" s="14" t="s">
        <v>82</v>
      </c>
      <c r="BK205" s="166">
        <f t="shared" si="26"/>
        <v>0</v>
      </c>
      <c r="BL205" s="14" t="s">
        <v>185</v>
      </c>
      <c r="BM205" s="165" t="s">
        <v>407</v>
      </c>
    </row>
    <row r="206" spans="1:65" s="2" customFormat="1" ht="16.5" customHeight="1">
      <c r="A206" s="29"/>
      <c r="B206" s="152"/>
      <c r="C206" s="153" t="s">
        <v>401</v>
      </c>
      <c r="D206" s="153" t="s">
        <v>181</v>
      </c>
      <c r="E206" s="154" t="s">
        <v>1585</v>
      </c>
      <c r="F206" s="155" t="s">
        <v>1884</v>
      </c>
      <c r="G206" s="156" t="s">
        <v>574</v>
      </c>
      <c r="H206" s="157">
        <v>1</v>
      </c>
      <c r="I206" s="158"/>
      <c r="J206" s="151">
        <v>0</v>
      </c>
      <c r="K206" s="160"/>
      <c r="L206" s="30"/>
      <c r="M206" s="161" t="s">
        <v>1</v>
      </c>
      <c r="N206" s="162" t="s">
        <v>35</v>
      </c>
      <c r="O206" s="58"/>
      <c r="P206" s="163">
        <f t="shared" si="18"/>
        <v>0</v>
      </c>
      <c r="Q206" s="163">
        <v>0</v>
      </c>
      <c r="R206" s="163">
        <f t="shared" si="19"/>
        <v>0</v>
      </c>
      <c r="S206" s="163">
        <v>0</v>
      </c>
      <c r="T206" s="164">
        <f t="shared" si="20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65" t="s">
        <v>185</v>
      </c>
      <c r="AT206" s="165" t="s">
        <v>181</v>
      </c>
      <c r="AU206" s="165" t="s">
        <v>76</v>
      </c>
      <c r="AY206" s="14" t="s">
        <v>179</v>
      </c>
      <c r="BE206" s="166">
        <f t="shared" si="21"/>
        <v>0</v>
      </c>
      <c r="BF206" s="166">
        <f t="shared" si="22"/>
        <v>0</v>
      </c>
      <c r="BG206" s="166">
        <f t="shared" si="23"/>
        <v>0</v>
      </c>
      <c r="BH206" s="166">
        <f t="shared" si="24"/>
        <v>0</v>
      </c>
      <c r="BI206" s="166">
        <f t="shared" si="25"/>
        <v>0</v>
      </c>
      <c r="BJ206" s="14" t="s">
        <v>82</v>
      </c>
      <c r="BK206" s="166">
        <f t="shared" si="26"/>
        <v>0</v>
      </c>
      <c r="BL206" s="14" t="s">
        <v>185</v>
      </c>
      <c r="BM206" s="165" t="s">
        <v>411</v>
      </c>
    </row>
    <row r="207" spans="1:65" s="2" customFormat="1" ht="16.5" customHeight="1">
      <c r="A207" s="29"/>
      <c r="B207" s="152"/>
      <c r="C207" s="153" t="s">
        <v>298</v>
      </c>
      <c r="D207" s="153" t="s">
        <v>181</v>
      </c>
      <c r="E207" s="154" t="s">
        <v>1587</v>
      </c>
      <c r="F207" s="155" t="s">
        <v>1885</v>
      </c>
      <c r="G207" s="156" t="s">
        <v>574</v>
      </c>
      <c r="H207" s="157">
        <v>1</v>
      </c>
      <c r="I207" s="158"/>
      <c r="J207" s="151">
        <v>0</v>
      </c>
      <c r="K207" s="160"/>
      <c r="L207" s="30"/>
      <c r="M207" s="161" t="s">
        <v>1</v>
      </c>
      <c r="N207" s="162" t="s">
        <v>35</v>
      </c>
      <c r="O207" s="58"/>
      <c r="P207" s="163">
        <f t="shared" si="18"/>
        <v>0</v>
      </c>
      <c r="Q207" s="163">
        <v>0</v>
      </c>
      <c r="R207" s="163">
        <f t="shared" si="19"/>
        <v>0</v>
      </c>
      <c r="S207" s="163">
        <v>0</v>
      </c>
      <c r="T207" s="164">
        <f t="shared" si="20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65" t="s">
        <v>185</v>
      </c>
      <c r="AT207" s="165" t="s">
        <v>181</v>
      </c>
      <c r="AU207" s="165" t="s">
        <v>76</v>
      </c>
      <c r="AY207" s="14" t="s">
        <v>179</v>
      </c>
      <c r="BE207" s="166">
        <f t="shared" si="21"/>
        <v>0</v>
      </c>
      <c r="BF207" s="166">
        <f t="shared" si="22"/>
        <v>0</v>
      </c>
      <c r="BG207" s="166">
        <f t="shared" si="23"/>
        <v>0</v>
      </c>
      <c r="BH207" s="166">
        <f t="shared" si="24"/>
        <v>0</v>
      </c>
      <c r="BI207" s="166">
        <f t="shared" si="25"/>
        <v>0</v>
      </c>
      <c r="BJ207" s="14" t="s">
        <v>82</v>
      </c>
      <c r="BK207" s="166">
        <f t="shared" si="26"/>
        <v>0</v>
      </c>
      <c r="BL207" s="14" t="s">
        <v>185</v>
      </c>
      <c r="BM207" s="165" t="s">
        <v>414</v>
      </c>
    </row>
    <row r="208" spans="1:65" s="2" customFormat="1" ht="16.5" customHeight="1">
      <c r="A208" s="29"/>
      <c r="B208" s="152"/>
      <c r="C208" s="153" t="s">
        <v>408</v>
      </c>
      <c r="D208" s="153" t="s">
        <v>181</v>
      </c>
      <c r="E208" s="154" t="s">
        <v>1589</v>
      </c>
      <c r="F208" s="155" t="s">
        <v>1886</v>
      </c>
      <c r="G208" s="156" t="s">
        <v>574</v>
      </c>
      <c r="H208" s="157">
        <v>0.5</v>
      </c>
      <c r="I208" s="158"/>
      <c r="J208" s="151">
        <v>0</v>
      </c>
      <c r="K208" s="160"/>
      <c r="L208" s="30"/>
      <c r="M208" s="161" t="s">
        <v>1</v>
      </c>
      <c r="N208" s="162" t="s">
        <v>35</v>
      </c>
      <c r="O208" s="58"/>
      <c r="P208" s="163">
        <f t="shared" si="18"/>
        <v>0</v>
      </c>
      <c r="Q208" s="163">
        <v>0</v>
      </c>
      <c r="R208" s="163">
        <f t="shared" si="19"/>
        <v>0</v>
      </c>
      <c r="S208" s="163">
        <v>0</v>
      </c>
      <c r="T208" s="164">
        <f t="shared" si="20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65" t="s">
        <v>185</v>
      </c>
      <c r="AT208" s="165" t="s">
        <v>181</v>
      </c>
      <c r="AU208" s="165" t="s">
        <v>76</v>
      </c>
      <c r="AY208" s="14" t="s">
        <v>179</v>
      </c>
      <c r="BE208" s="166">
        <f t="shared" si="21"/>
        <v>0</v>
      </c>
      <c r="BF208" s="166">
        <f t="shared" si="22"/>
        <v>0</v>
      </c>
      <c r="BG208" s="166">
        <f t="shared" si="23"/>
        <v>0</v>
      </c>
      <c r="BH208" s="166">
        <f t="shared" si="24"/>
        <v>0</v>
      </c>
      <c r="BI208" s="166">
        <f t="shared" si="25"/>
        <v>0</v>
      </c>
      <c r="BJ208" s="14" t="s">
        <v>82</v>
      </c>
      <c r="BK208" s="166">
        <f t="shared" si="26"/>
        <v>0</v>
      </c>
      <c r="BL208" s="14" t="s">
        <v>185</v>
      </c>
      <c r="BM208" s="165" t="s">
        <v>418</v>
      </c>
    </row>
    <row r="209" spans="1:65" s="2" customFormat="1" ht="16.5" customHeight="1">
      <c r="A209" s="29"/>
      <c r="B209" s="152"/>
      <c r="C209" s="153" t="s">
        <v>301</v>
      </c>
      <c r="D209" s="153" t="s">
        <v>181</v>
      </c>
      <c r="E209" s="154" t="s">
        <v>1591</v>
      </c>
      <c r="F209" s="155" t="s">
        <v>1887</v>
      </c>
      <c r="G209" s="156" t="s">
        <v>574</v>
      </c>
      <c r="H209" s="157">
        <v>0.5</v>
      </c>
      <c r="I209" s="158"/>
      <c r="J209" s="151">
        <v>0</v>
      </c>
      <c r="K209" s="160"/>
      <c r="L209" s="30"/>
      <c r="M209" s="161" t="s">
        <v>1</v>
      </c>
      <c r="N209" s="162" t="s">
        <v>35</v>
      </c>
      <c r="O209" s="58"/>
      <c r="P209" s="163">
        <f t="shared" si="18"/>
        <v>0</v>
      </c>
      <c r="Q209" s="163">
        <v>0</v>
      </c>
      <c r="R209" s="163">
        <f t="shared" si="19"/>
        <v>0</v>
      </c>
      <c r="S209" s="163">
        <v>0</v>
      </c>
      <c r="T209" s="164">
        <f t="shared" si="20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65" t="s">
        <v>185</v>
      </c>
      <c r="AT209" s="165" t="s">
        <v>181</v>
      </c>
      <c r="AU209" s="165" t="s">
        <v>76</v>
      </c>
      <c r="AY209" s="14" t="s">
        <v>179</v>
      </c>
      <c r="BE209" s="166">
        <f t="shared" si="21"/>
        <v>0</v>
      </c>
      <c r="BF209" s="166">
        <f t="shared" si="22"/>
        <v>0</v>
      </c>
      <c r="BG209" s="166">
        <f t="shared" si="23"/>
        <v>0</v>
      </c>
      <c r="BH209" s="166">
        <f t="shared" si="24"/>
        <v>0</v>
      </c>
      <c r="BI209" s="166">
        <f t="shared" si="25"/>
        <v>0</v>
      </c>
      <c r="BJ209" s="14" t="s">
        <v>82</v>
      </c>
      <c r="BK209" s="166">
        <f t="shared" si="26"/>
        <v>0</v>
      </c>
      <c r="BL209" s="14" t="s">
        <v>185</v>
      </c>
      <c r="BM209" s="165" t="s">
        <v>421</v>
      </c>
    </row>
    <row r="210" spans="1:65" s="2" customFormat="1" ht="16.5" customHeight="1">
      <c r="A210" s="29"/>
      <c r="B210" s="152"/>
      <c r="C210" s="153" t="s">
        <v>415</v>
      </c>
      <c r="D210" s="153" t="s">
        <v>181</v>
      </c>
      <c r="E210" s="154" t="s">
        <v>1593</v>
      </c>
      <c r="F210" s="155" t="s">
        <v>1888</v>
      </c>
      <c r="G210" s="156" t="s">
        <v>1625</v>
      </c>
      <c r="H210" s="157">
        <v>0.5</v>
      </c>
      <c r="I210" s="158"/>
      <c r="J210" s="151">
        <v>0</v>
      </c>
      <c r="K210" s="160"/>
      <c r="L210" s="30"/>
      <c r="M210" s="161" t="s">
        <v>1</v>
      </c>
      <c r="N210" s="162" t="s">
        <v>35</v>
      </c>
      <c r="O210" s="58"/>
      <c r="P210" s="163">
        <f t="shared" si="18"/>
        <v>0</v>
      </c>
      <c r="Q210" s="163">
        <v>0</v>
      </c>
      <c r="R210" s="163">
        <f t="shared" si="19"/>
        <v>0</v>
      </c>
      <c r="S210" s="163">
        <v>0</v>
      </c>
      <c r="T210" s="164">
        <f t="shared" si="20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65" t="s">
        <v>185</v>
      </c>
      <c r="AT210" s="165" t="s">
        <v>181</v>
      </c>
      <c r="AU210" s="165" t="s">
        <v>76</v>
      </c>
      <c r="AY210" s="14" t="s">
        <v>179</v>
      </c>
      <c r="BE210" s="166">
        <f t="shared" si="21"/>
        <v>0</v>
      </c>
      <c r="BF210" s="166">
        <f t="shared" si="22"/>
        <v>0</v>
      </c>
      <c r="BG210" s="166">
        <f t="shared" si="23"/>
        <v>0</v>
      </c>
      <c r="BH210" s="166">
        <f t="shared" si="24"/>
        <v>0</v>
      </c>
      <c r="BI210" s="166">
        <f t="shared" si="25"/>
        <v>0</v>
      </c>
      <c r="BJ210" s="14" t="s">
        <v>82</v>
      </c>
      <c r="BK210" s="166">
        <f t="shared" si="26"/>
        <v>0</v>
      </c>
      <c r="BL210" s="14" t="s">
        <v>185</v>
      </c>
      <c r="BM210" s="165" t="s">
        <v>425</v>
      </c>
    </row>
    <row r="211" spans="1:65" s="2" customFormat="1" ht="16.5" customHeight="1">
      <c r="A211" s="29"/>
      <c r="B211" s="152"/>
      <c r="C211" s="153" t="s">
        <v>305</v>
      </c>
      <c r="D211" s="153" t="s">
        <v>181</v>
      </c>
      <c r="E211" s="154" t="s">
        <v>1595</v>
      </c>
      <c r="F211" s="155" t="s">
        <v>1889</v>
      </c>
      <c r="G211" s="156" t="s">
        <v>293</v>
      </c>
      <c r="H211" s="157">
        <v>1</v>
      </c>
      <c r="I211" s="158"/>
      <c r="J211" s="151">
        <v>0</v>
      </c>
      <c r="K211" s="160"/>
      <c r="L211" s="30"/>
      <c r="M211" s="161" t="s">
        <v>1</v>
      </c>
      <c r="N211" s="162" t="s">
        <v>35</v>
      </c>
      <c r="O211" s="58"/>
      <c r="P211" s="163">
        <f t="shared" si="18"/>
        <v>0</v>
      </c>
      <c r="Q211" s="163">
        <v>0</v>
      </c>
      <c r="R211" s="163">
        <f t="shared" si="19"/>
        <v>0</v>
      </c>
      <c r="S211" s="163">
        <v>0</v>
      </c>
      <c r="T211" s="164">
        <f t="shared" si="20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65" t="s">
        <v>185</v>
      </c>
      <c r="AT211" s="165" t="s">
        <v>181</v>
      </c>
      <c r="AU211" s="165" t="s">
        <v>76</v>
      </c>
      <c r="AY211" s="14" t="s">
        <v>179</v>
      </c>
      <c r="BE211" s="166">
        <f t="shared" si="21"/>
        <v>0</v>
      </c>
      <c r="BF211" s="166">
        <f t="shared" si="22"/>
        <v>0</v>
      </c>
      <c r="BG211" s="166">
        <f t="shared" si="23"/>
        <v>0</v>
      </c>
      <c r="BH211" s="166">
        <f t="shared" si="24"/>
        <v>0</v>
      </c>
      <c r="BI211" s="166">
        <f t="shared" si="25"/>
        <v>0</v>
      </c>
      <c r="BJ211" s="14" t="s">
        <v>82</v>
      </c>
      <c r="BK211" s="166">
        <f t="shared" si="26"/>
        <v>0</v>
      </c>
      <c r="BL211" s="14" t="s">
        <v>185</v>
      </c>
      <c r="BM211" s="165" t="s">
        <v>428</v>
      </c>
    </row>
    <row r="212" spans="1:65" s="12" customFormat="1" ht="22.9" customHeight="1">
      <c r="B212" s="139"/>
      <c r="D212" s="140" t="s">
        <v>68</v>
      </c>
      <c r="E212" s="150" t="s">
        <v>1465</v>
      </c>
      <c r="F212" s="150" t="s">
        <v>1661</v>
      </c>
      <c r="I212" s="142"/>
      <c r="J212" s="151">
        <v>0</v>
      </c>
      <c r="L212" s="139"/>
      <c r="M212" s="144"/>
      <c r="N212" s="145"/>
      <c r="O212" s="145"/>
      <c r="P212" s="146">
        <f>SUM(P213:P219)</f>
        <v>0</v>
      </c>
      <c r="Q212" s="145"/>
      <c r="R212" s="146">
        <f>SUM(R213:R219)</f>
        <v>0</v>
      </c>
      <c r="S212" s="145"/>
      <c r="T212" s="147">
        <f>SUM(T213:T219)</f>
        <v>0</v>
      </c>
      <c r="AR212" s="140" t="s">
        <v>76</v>
      </c>
      <c r="AT212" s="148" t="s">
        <v>68</v>
      </c>
      <c r="AU212" s="148" t="s">
        <v>76</v>
      </c>
      <c r="AY212" s="140" t="s">
        <v>179</v>
      </c>
      <c r="BK212" s="149">
        <f>SUM(BK213:BK219)</f>
        <v>0</v>
      </c>
    </row>
    <row r="213" spans="1:65" s="2" customFormat="1" ht="16.5" customHeight="1">
      <c r="A213" s="29"/>
      <c r="B213" s="152"/>
      <c r="C213" s="153" t="s">
        <v>422</v>
      </c>
      <c r="D213" s="153" t="s">
        <v>181</v>
      </c>
      <c r="E213" s="154" t="s">
        <v>1890</v>
      </c>
      <c r="F213" s="155" t="s">
        <v>1891</v>
      </c>
      <c r="G213" s="156" t="s">
        <v>217</v>
      </c>
      <c r="H213" s="157">
        <v>1</v>
      </c>
      <c r="I213" s="158"/>
      <c r="J213" s="151">
        <v>0</v>
      </c>
      <c r="K213" s="160"/>
      <c r="L213" s="30"/>
      <c r="M213" s="161" t="s">
        <v>1</v>
      </c>
      <c r="N213" s="162" t="s">
        <v>35</v>
      </c>
      <c r="O213" s="58"/>
      <c r="P213" s="163">
        <f t="shared" ref="P213:P219" si="27">O213*H213</f>
        <v>0</v>
      </c>
      <c r="Q213" s="163">
        <v>0</v>
      </c>
      <c r="R213" s="163">
        <f t="shared" ref="R213:R219" si="28">Q213*H213</f>
        <v>0</v>
      </c>
      <c r="S213" s="163">
        <v>0</v>
      </c>
      <c r="T213" s="164">
        <f t="shared" ref="T213:T219" si="29">S213*H213</f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65" t="s">
        <v>185</v>
      </c>
      <c r="AT213" s="165" t="s">
        <v>181</v>
      </c>
      <c r="AU213" s="165" t="s">
        <v>82</v>
      </c>
      <c r="AY213" s="14" t="s">
        <v>179</v>
      </c>
      <c r="BE213" s="166">
        <f t="shared" ref="BE213:BE219" si="30">IF(N213="základná",J213,0)</f>
        <v>0</v>
      </c>
      <c r="BF213" s="166">
        <f t="shared" ref="BF213:BF219" si="31">IF(N213="znížená",J213,0)</f>
        <v>0</v>
      </c>
      <c r="BG213" s="166">
        <f t="shared" ref="BG213:BG219" si="32">IF(N213="zákl. prenesená",J213,0)</f>
        <v>0</v>
      </c>
      <c r="BH213" s="166">
        <f t="shared" ref="BH213:BH219" si="33">IF(N213="zníž. prenesená",J213,0)</f>
        <v>0</v>
      </c>
      <c r="BI213" s="166">
        <f t="shared" ref="BI213:BI219" si="34">IF(N213="nulová",J213,0)</f>
        <v>0</v>
      </c>
      <c r="BJ213" s="14" t="s">
        <v>82</v>
      </c>
      <c r="BK213" s="166">
        <f t="shared" ref="BK213:BK219" si="35">ROUND(I213*H213,2)</f>
        <v>0</v>
      </c>
      <c r="BL213" s="14" t="s">
        <v>185</v>
      </c>
      <c r="BM213" s="165" t="s">
        <v>432</v>
      </c>
    </row>
    <row r="214" spans="1:65" s="2" customFormat="1" ht="16.5" customHeight="1">
      <c r="A214" s="29"/>
      <c r="B214" s="152"/>
      <c r="C214" s="153" t="s">
        <v>308</v>
      </c>
      <c r="D214" s="153" t="s">
        <v>181</v>
      </c>
      <c r="E214" s="154" t="s">
        <v>1892</v>
      </c>
      <c r="F214" s="155" t="s">
        <v>1893</v>
      </c>
      <c r="G214" s="156" t="s">
        <v>217</v>
      </c>
      <c r="H214" s="157">
        <v>1</v>
      </c>
      <c r="I214" s="158"/>
      <c r="J214" s="151">
        <v>0</v>
      </c>
      <c r="K214" s="160"/>
      <c r="L214" s="30"/>
      <c r="M214" s="161" t="s">
        <v>1</v>
      </c>
      <c r="N214" s="162" t="s">
        <v>35</v>
      </c>
      <c r="O214" s="58"/>
      <c r="P214" s="163">
        <f t="shared" si="27"/>
        <v>0</v>
      </c>
      <c r="Q214" s="163">
        <v>0</v>
      </c>
      <c r="R214" s="163">
        <f t="shared" si="28"/>
        <v>0</v>
      </c>
      <c r="S214" s="163">
        <v>0</v>
      </c>
      <c r="T214" s="164">
        <f t="shared" si="29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65" t="s">
        <v>185</v>
      </c>
      <c r="AT214" s="165" t="s">
        <v>181</v>
      </c>
      <c r="AU214" s="165" t="s">
        <v>82</v>
      </c>
      <c r="AY214" s="14" t="s">
        <v>179</v>
      </c>
      <c r="BE214" s="166">
        <f t="shared" si="30"/>
        <v>0</v>
      </c>
      <c r="BF214" s="166">
        <f t="shared" si="31"/>
        <v>0</v>
      </c>
      <c r="BG214" s="166">
        <f t="shared" si="32"/>
        <v>0</v>
      </c>
      <c r="BH214" s="166">
        <f t="shared" si="33"/>
        <v>0</v>
      </c>
      <c r="BI214" s="166">
        <f t="shared" si="34"/>
        <v>0</v>
      </c>
      <c r="BJ214" s="14" t="s">
        <v>82</v>
      </c>
      <c r="BK214" s="166">
        <f t="shared" si="35"/>
        <v>0</v>
      </c>
      <c r="BL214" s="14" t="s">
        <v>185</v>
      </c>
      <c r="BM214" s="165" t="s">
        <v>435</v>
      </c>
    </row>
    <row r="215" spans="1:65" s="2" customFormat="1" ht="16.5" customHeight="1">
      <c r="A215" s="29"/>
      <c r="B215" s="152"/>
      <c r="C215" s="153" t="s">
        <v>429</v>
      </c>
      <c r="D215" s="153" t="s">
        <v>181</v>
      </c>
      <c r="E215" s="154" t="s">
        <v>1894</v>
      </c>
      <c r="F215" s="155" t="s">
        <v>1895</v>
      </c>
      <c r="G215" s="156" t="s">
        <v>217</v>
      </c>
      <c r="H215" s="157">
        <v>2</v>
      </c>
      <c r="I215" s="158"/>
      <c r="J215" s="151">
        <v>0</v>
      </c>
      <c r="K215" s="160"/>
      <c r="L215" s="30"/>
      <c r="M215" s="161" t="s">
        <v>1</v>
      </c>
      <c r="N215" s="162" t="s">
        <v>35</v>
      </c>
      <c r="O215" s="58"/>
      <c r="P215" s="163">
        <f t="shared" si="27"/>
        <v>0</v>
      </c>
      <c r="Q215" s="163">
        <v>0</v>
      </c>
      <c r="R215" s="163">
        <f t="shared" si="28"/>
        <v>0</v>
      </c>
      <c r="S215" s="163">
        <v>0</v>
      </c>
      <c r="T215" s="164">
        <f t="shared" si="29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65" t="s">
        <v>185</v>
      </c>
      <c r="AT215" s="165" t="s">
        <v>181</v>
      </c>
      <c r="AU215" s="165" t="s">
        <v>82</v>
      </c>
      <c r="AY215" s="14" t="s">
        <v>179</v>
      </c>
      <c r="BE215" s="166">
        <f t="shared" si="30"/>
        <v>0</v>
      </c>
      <c r="BF215" s="166">
        <f t="shared" si="31"/>
        <v>0</v>
      </c>
      <c r="BG215" s="166">
        <f t="shared" si="32"/>
        <v>0</v>
      </c>
      <c r="BH215" s="166">
        <f t="shared" si="33"/>
        <v>0</v>
      </c>
      <c r="BI215" s="166">
        <f t="shared" si="34"/>
        <v>0</v>
      </c>
      <c r="BJ215" s="14" t="s">
        <v>82</v>
      </c>
      <c r="BK215" s="166">
        <f t="shared" si="35"/>
        <v>0</v>
      </c>
      <c r="BL215" s="14" t="s">
        <v>185</v>
      </c>
      <c r="BM215" s="165" t="s">
        <v>439</v>
      </c>
    </row>
    <row r="216" spans="1:65" s="2" customFormat="1" ht="16.5" customHeight="1">
      <c r="A216" s="29"/>
      <c r="B216" s="152"/>
      <c r="C216" s="153" t="s">
        <v>312</v>
      </c>
      <c r="D216" s="153" t="s">
        <v>181</v>
      </c>
      <c r="E216" s="154" t="s">
        <v>1896</v>
      </c>
      <c r="F216" s="155" t="s">
        <v>1897</v>
      </c>
      <c r="G216" s="156" t="s">
        <v>217</v>
      </c>
      <c r="H216" s="157">
        <v>1</v>
      </c>
      <c r="I216" s="158"/>
      <c r="J216" s="151">
        <v>0</v>
      </c>
      <c r="K216" s="160"/>
      <c r="L216" s="30"/>
      <c r="M216" s="161" t="s">
        <v>1</v>
      </c>
      <c r="N216" s="162" t="s">
        <v>35</v>
      </c>
      <c r="O216" s="58"/>
      <c r="P216" s="163">
        <f t="shared" si="27"/>
        <v>0</v>
      </c>
      <c r="Q216" s="163">
        <v>0</v>
      </c>
      <c r="R216" s="163">
        <f t="shared" si="28"/>
        <v>0</v>
      </c>
      <c r="S216" s="163">
        <v>0</v>
      </c>
      <c r="T216" s="164">
        <f t="shared" si="29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65" t="s">
        <v>185</v>
      </c>
      <c r="AT216" s="165" t="s">
        <v>181</v>
      </c>
      <c r="AU216" s="165" t="s">
        <v>82</v>
      </c>
      <c r="AY216" s="14" t="s">
        <v>179</v>
      </c>
      <c r="BE216" s="166">
        <f t="shared" si="30"/>
        <v>0</v>
      </c>
      <c r="BF216" s="166">
        <f t="shared" si="31"/>
        <v>0</v>
      </c>
      <c r="BG216" s="166">
        <f t="shared" si="32"/>
        <v>0</v>
      </c>
      <c r="BH216" s="166">
        <f t="shared" si="33"/>
        <v>0</v>
      </c>
      <c r="BI216" s="166">
        <f t="shared" si="34"/>
        <v>0</v>
      </c>
      <c r="BJ216" s="14" t="s">
        <v>82</v>
      </c>
      <c r="BK216" s="166">
        <f t="shared" si="35"/>
        <v>0</v>
      </c>
      <c r="BL216" s="14" t="s">
        <v>185</v>
      </c>
      <c r="BM216" s="165" t="s">
        <v>442</v>
      </c>
    </row>
    <row r="217" spans="1:65" s="2" customFormat="1" ht="16.5" customHeight="1">
      <c r="A217" s="29"/>
      <c r="B217" s="152"/>
      <c r="C217" s="153" t="s">
        <v>436</v>
      </c>
      <c r="D217" s="153" t="s">
        <v>181</v>
      </c>
      <c r="E217" s="154" t="s">
        <v>1898</v>
      </c>
      <c r="F217" s="155" t="s">
        <v>1899</v>
      </c>
      <c r="G217" s="156" t="s">
        <v>217</v>
      </c>
      <c r="H217" s="157">
        <v>1</v>
      </c>
      <c r="I217" s="158"/>
      <c r="J217" s="151">
        <v>0</v>
      </c>
      <c r="K217" s="160"/>
      <c r="L217" s="30"/>
      <c r="M217" s="161" t="s">
        <v>1</v>
      </c>
      <c r="N217" s="162" t="s">
        <v>35</v>
      </c>
      <c r="O217" s="58"/>
      <c r="P217" s="163">
        <f t="shared" si="27"/>
        <v>0</v>
      </c>
      <c r="Q217" s="163">
        <v>0</v>
      </c>
      <c r="R217" s="163">
        <f t="shared" si="28"/>
        <v>0</v>
      </c>
      <c r="S217" s="163">
        <v>0</v>
      </c>
      <c r="T217" s="164">
        <f t="shared" si="29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65" t="s">
        <v>185</v>
      </c>
      <c r="AT217" s="165" t="s">
        <v>181</v>
      </c>
      <c r="AU217" s="165" t="s">
        <v>82</v>
      </c>
      <c r="AY217" s="14" t="s">
        <v>179</v>
      </c>
      <c r="BE217" s="166">
        <f t="shared" si="30"/>
        <v>0</v>
      </c>
      <c r="BF217" s="166">
        <f t="shared" si="31"/>
        <v>0</v>
      </c>
      <c r="BG217" s="166">
        <f t="shared" si="32"/>
        <v>0</v>
      </c>
      <c r="BH217" s="166">
        <f t="shared" si="33"/>
        <v>0</v>
      </c>
      <c r="BI217" s="166">
        <f t="shared" si="34"/>
        <v>0</v>
      </c>
      <c r="BJ217" s="14" t="s">
        <v>82</v>
      </c>
      <c r="BK217" s="166">
        <f t="shared" si="35"/>
        <v>0</v>
      </c>
      <c r="BL217" s="14" t="s">
        <v>185</v>
      </c>
      <c r="BM217" s="165" t="s">
        <v>446</v>
      </c>
    </row>
    <row r="218" spans="1:65" s="2" customFormat="1" ht="16.5" customHeight="1">
      <c r="A218" s="29"/>
      <c r="B218" s="152"/>
      <c r="C218" s="153" t="s">
        <v>315</v>
      </c>
      <c r="D218" s="153" t="s">
        <v>181</v>
      </c>
      <c r="E218" s="154" t="s">
        <v>1900</v>
      </c>
      <c r="F218" s="155" t="s">
        <v>1901</v>
      </c>
      <c r="G218" s="156" t="s">
        <v>217</v>
      </c>
      <c r="H218" s="157">
        <v>1</v>
      </c>
      <c r="I218" s="158"/>
      <c r="J218" s="151">
        <v>0</v>
      </c>
      <c r="K218" s="160"/>
      <c r="L218" s="30"/>
      <c r="M218" s="161" t="s">
        <v>1</v>
      </c>
      <c r="N218" s="162" t="s">
        <v>35</v>
      </c>
      <c r="O218" s="58"/>
      <c r="P218" s="163">
        <f t="shared" si="27"/>
        <v>0</v>
      </c>
      <c r="Q218" s="163">
        <v>0</v>
      </c>
      <c r="R218" s="163">
        <f t="shared" si="28"/>
        <v>0</v>
      </c>
      <c r="S218" s="163">
        <v>0</v>
      </c>
      <c r="T218" s="164">
        <f t="shared" si="29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65" t="s">
        <v>185</v>
      </c>
      <c r="AT218" s="165" t="s">
        <v>181</v>
      </c>
      <c r="AU218" s="165" t="s">
        <v>82</v>
      </c>
      <c r="AY218" s="14" t="s">
        <v>179</v>
      </c>
      <c r="BE218" s="166">
        <f t="shared" si="30"/>
        <v>0</v>
      </c>
      <c r="BF218" s="166">
        <f t="shared" si="31"/>
        <v>0</v>
      </c>
      <c r="BG218" s="166">
        <f t="shared" si="32"/>
        <v>0</v>
      </c>
      <c r="BH218" s="166">
        <f t="shared" si="33"/>
        <v>0</v>
      </c>
      <c r="BI218" s="166">
        <f t="shared" si="34"/>
        <v>0</v>
      </c>
      <c r="BJ218" s="14" t="s">
        <v>82</v>
      </c>
      <c r="BK218" s="166">
        <f t="shared" si="35"/>
        <v>0</v>
      </c>
      <c r="BL218" s="14" t="s">
        <v>185</v>
      </c>
      <c r="BM218" s="165" t="s">
        <v>449</v>
      </c>
    </row>
    <row r="219" spans="1:65" s="2" customFormat="1" ht="21.75" customHeight="1">
      <c r="A219" s="29"/>
      <c r="B219" s="152"/>
      <c r="C219" s="153" t="s">
        <v>443</v>
      </c>
      <c r="D219" s="153" t="s">
        <v>181</v>
      </c>
      <c r="E219" s="154" t="s">
        <v>1902</v>
      </c>
      <c r="F219" s="155" t="s">
        <v>1903</v>
      </c>
      <c r="G219" s="156" t="s">
        <v>217</v>
      </c>
      <c r="H219" s="157">
        <v>1</v>
      </c>
      <c r="I219" s="158"/>
      <c r="J219" s="151">
        <v>0</v>
      </c>
      <c r="K219" s="160"/>
      <c r="L219" s="30"/>
      <c r="M219" s="161" t="s">
        <v>1</v>
      </c>
      <c r="N219" s="162" t="s">
        <v>35</v>
      </c>
      <c r="O219" s="58"/>
      <c r="P219" s="163">
        <f t="shared" si="27"/>
        <v>0</v>
      </c>
      <c r="Q219" s="163">
        <v>0</v>
      </c>
      <c r="R219" s="163">
        <f t="shared" si="28"/>
        <v>0</v>
      </c>
      <c r="S219" s="163">
        <v>0</v>
      </c>
      <c r="T219" s="164">
        <f t="shared" si="29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65" t="s">
        <v>185</v>
      </c>
      <c r="AT219" s="165" t="s">
        <v>181</v>
      </c>
      <c r="AU219" s="165" t="s">
        <v>82</v>
      </c>
      <c r="AY219" s="14" t="s">
        <v>179</v>
      </c>
      <c r="BE219" s="166">
        <f t="shared" si="30"/>
        <v>0</v>
      </c>
      <c r="BF219" s="166">
        <f t="shared" si="31"/>
        <v>0</v>
      </c>
      <c r="BG219" s="166">
        <f t="shared" si="32"/>
        <v>0</v>
      </c>
      <c r="BH219" s="166">
        <f t="shared" si="33"/>
        <v>0</v>
      </c>
      <c r="BI219" s="166">
        <f t="shared" si="34"/>
        <v>0</v>
      </c>
      <c r="BJ219" s="14" t="s">
        <v>82</v>
      </c>
      <c r="BK219" s="166">
        <f t="shared" si="35"/>
        <v>0</v>
      </c>
      <c r="BL219" s="14" t="s">
        <v>185</v>
      </c>
      <c r="BM219" s="165" t="s">
        <v>453</v>
      </c>
    </row>
    <row r="220" spans="1:65" s="12" customFormat="1" ht="22.9" customHeight="1">
      <c r="B220" s="139"/>
      <c r="D220" s="140" t="s">
        <v>68</v>
      </c>
      <c r="E220" s="150" t="s">
        <v>1467</v>
      </c>
      <c r="F220" s="150" t="s">
        <v>1904</v>
      </c>
      <c r="I220" s="142"/>
      <c r="J220" s="151">
        <v>0</v>
      </c>
      <c r="L220" s="139"/>
      <c r="M220" s="144"/>
      <c r="N220" s="145"/>
      <c r="O220" s="145"/>
      <c r="P220" s="146">
        <f>SUM(P221:P222)</f>
        <v>0</v>
      </c>
      <c r="Q220" s="145"/>
      <c r="R220" s="146">
        <f>SUM(R221:R222)</f>
        <v>0</v>
      </c>
      <c r="S220" s="145"/>
      <c r="T220" s="147">
        <f>SUM(T221:T222)</f>
        <v>0</v>
      </c>
      <c r="AR220" s="140" t="s">
        <v>76</v>
      </c>
      <c r="AT220" s="148" t="s">
        <v>68</v>
      </c>
      <c r="AU220" s="148" t="s">
        <v>76</v>
      </c>
      <c r="AY220" s="140" t="s">
        <v>179</v>
      </c>
      <c r="BK220" s="149">
        <f>SUM(BK221:BK222)</f>
        <v>0</v>
      </c>
    </row>
    <row r="221" spans="1:65" s="2" customFormat="1" ht="16.5" customHeight="1">
      <c r="A221" s="29"/>
      <c r="B221" s="152"/>
      <c r="C221" s="153" t="s">
        <v>319</v>
      </c>
      <c r="D221" s="153" t="s">
        <v>181</v>
      </c>
      <c r="E221" s="154" t="s">
        <v>1905</v>
      </c>
      <c r="F221" s="155" t="s">
        <v>1906</v>
      </c>
      <c r="G221" s="156" t="s">
        <v>217</v>
      </c>
      <c r="H221" s="157">
        <v>1</v>
      </c>
      <c r="I221" s="158"/>
      <c r="J221" s="151">
        <v>0</v>
      </c>
      <c r="K221" s="160"/>
      <c r="L221" s="30"/>
      <c r="M221" s="161" t="s">
        <v>1</v>
      </c>
      <c r="N221" s="162" t="s">
        <v>35</v>
      </c>
      <c r="O221" s="58"/>
      <c r="P221" s="163">
        <f>O221*H221</f>
        <v>0</v>
      </c>
      <c r="Q221" s="163">
        <v>0</v>
      </c>
      <c r="R221" s="163">
        <f>Q221*H221</f>
        <v>0</v>
      </c>
      <c r="S221" s="163">
        <v>0</v>
      </c>
      <c r="T221" s="164">
        <f>S221*H221</f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65" t="s">
        <v>185</v>
      </c>
      <c r="AT221" s="165" t="s">
        <v>181</v>
      </c>
      <c r="AU221" s="165" t="s">
        <v>82</v>
      </c>
      <c r="AY221" s="14" t="s">
        <v>179</v>
      </c>
      <c r="BE221" s="166">
        <f>IF(N221="základná",J221,0)</f>
        <v>0</v>
      </c>
      <c r="BF221" s="166">
        <f>IF(N221="znížená",J221,0)</f>
        <v>0</v>
      </c>
      <c r="BG221" s="166">
        <f>IF(N221="zákl. prenesená",J221,0)</f>
        <v>0</v>
      </c>
      <c r="BH221" s="166">
        <f>IF(N221="zníž. prenesená",J221,0)</f>
        <v>0</v>
      </c>
      <c r="BI221" s="166">
        <f>IF(N221="nulová",J221,0)</f>
        <v>0</v>
      </c>
      <c r="BJ221" s="14" t="s">
        <v>82</v>
      </c>
      <c r="BK221" s="166">
        <f>ROUND(I221*H221,2)</f>
        <v>0</v>
      </c>
      <c r="BL221" s="14" t="s">
        <v>185</v>
      </c>
      <c r="BM221" s="165" t="s">
        <v>456</v>
      </c>
    </row>
    <row r="222" spans="1:65" s="2" customFormat="1" ht="16.5" customHeight="1">
      <c r="A222" s="29"/>
      <c r="B222" s="152"/>
      <c r="C222" s="153" t="s">
        <v>450</v>
      </c>
      <c r="D222" s="153" t="s">
        <v>181</v>
      </c>
      <c r="E222" s="154" t="s">
        <v>1907</v>
      </c>
      <c r="F222" s="155" t="s">
        <v>1908</v>
      </c>
      <c r="G222" s="156" t="s">
        <v>217</v>
      </c>
      <c r="H222" s="157">
        <v>2</v>
      </c>
      <c r="I222" s="158"/>
      <c r="J222" s="151">
        <v>0</v>
      </c>
      <c r="K222" s="160"/>
      <c r="L222" s="30"/>
      <c r="M222" s="161" t="s">
        <v>1</v>
      </c>
      <c r="N222" s="162" t="s">
        <v>35</v>
      </c>
      <c r="O222" s="58"/>
      <c r="P222" s="163">
        <f>O222*H222</f>
        <v>0</v>
      </c>
      <c r="Q222" s="163">
        <v>0</v>
      </c>
      <c r="R222" s="163">
        <f>Q222*H222</f>
        <v>0</v>
      </c>
      <c r="S222" s="163">
        <v>0</v>
      </c>
      <c r="T222" s="164">
        <f>S222*H222</f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65" t="s">
        <v>185</v>
      </c>
      <c r="AT222" s="165" t="s">
        <v>181</v>
      </c>
      <c r="AU222" s="165" t="s">
        <v>82</v>
      </c>
      <c r="AY222" s="14" t="s">
        <v>179</v>
      </c>
      <c r="BE222" s="166">
        <f>IF(N222="základná",J222,0)</f>
        <v>0</v>
      </c>
      <c r="BF222" s="166">
        <f>IF(N222="znížená",J222,0)</f>
        <v>0</v>
      </c>
      <c r="BG222" s="166">
        <f>IF(N222="zákl. prenesená",J222,0)</f>
        <v>0</v>
      </c>
      <c r="BH222" s="166">
        <f>IF(N222="zníž. prenesená",J222,0)</f>
        <v>0</v>
      </c>
      <c r="BI222" s="166">
        <f>IF(N222="nulová",J222,0)</f>
        <v>0</v>
      </c>
      <c r="BJ222" s="14" t="s">
        <v>82</v>
      </c>
      <c r="BK222" s="166">
        <f>ROUND(I222*H222,2)</f>
        <v>0</v>
      </c>
      <c r="BL222" s="14" t="s">
        <v>185</v>
      </c>
      <c r="BM222" s="165" t="s">
        <v>460</v>
      </c>
    </row>
    <row r="223" spans="1:65" s="12" customFormat="1" ht="22.9" customHeight="1">
      <c r="B223" s="139"/>
      <c r="D223" s="140" t="s">
        <v>68</v>
      </c>
      <c r="E223" s="150" t="s">
        <v>1504</v>
      </c>
      <c r="F223" s="150" t="s">
        <v>1909</v>
      </c>
      <c r="I223" s="142"/>
      <c r="J223" s="151">
        <v>0</v>
      </c>
      <c r="L223" s="139"/>
      <c r="M223" s="144"/>
      <c r="N223" s="145"/>
      <c r="O223" s="145"/>
      <c r="P223" s="146">
        <f>SUM(P224:P232)</f>
        <v>0</v>
      </c>
      <c r="Q223" s="145"/>
      <c r="R223" s="146">
        <f>SUM(R224:R232)</f>
        <v>0</v>
      </c>
      <c r="S223" s="145"/>
      <c r="T223" s="147">
        <f>SUM(T224:T232)</f>
        <v>0</v>
      </c>
      <c r="AR223" s="140" t="s">
        <v>76</v>
      </c>
      <c r="AT223" s="148" t="s">
        <v>68</v>
      </c>
      <c r="AU223" s="148" t="s">
        <v>76</v>
      </c>
      <c r="AY223" s="140" t="s">
        <v>179</v>
      </c>
      <c r="BK223" s="149">
        <f>SUM(BK224:BK232)</f>
        <v>0</v>
      </c>
    </row>
    <row r="224" spans="1:65" s="2" customFormat="1" ht="24.2" customHeight="1">
      <c r="A224" s="29"/>
      <c r="B224" s="152"/>
      <c r="C224" s="153" t="s">
        <v>322</v>
      </c>
      <c r="D224" s="153" t="s">
        <v>181</v>
      </c>
      <c r="E224" s="154" t="s">
        <v>1910</v>
      </c>
      <c r="F224" s="339" t="s">
        <v>3420</v>
      </c>
      <c r="G224" s="156" t="s">
        <v>217</v>
      </c>
      <c r="H224" s="157">
        <v>2</v>
      </c>
      <c r="I224" s="158"/>
      <c r="J224" s="151">
        <v>0</v>
      </c>
      <c r="K224" s="160"/>
      <c r="L224" s="30"/>
      <c r="M224" s="161" t="s">
        <v>1</v>
      </c>
      <c r="N224" s="162" t="s">
        <v>35</v>
      </c>
      <c r="O224" s="58"/>
      <c r="P224" s="163">
        <f t="shared" ref="P224:P232" si="36">O224*H224</f>
        <v>0</v>
      </c>
      <c r="Q224" s="163">
        <v>0</v>
      </c>
      <c r="R224" s="163">
        <f t="shared" ref="R224:R232" si="37">Q224*H224</f>
        <v>0</v>
      </c>
      <c r="S224" s="163">
        <v>0</v>
      </c>
      <c r="T224" s="164">
        <f t="shared" ref="T224:T232" si="38">S224*H224</f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65" t="s">
        <v>185</v>
      </c>
      <c r="AT224" s="165" t="s">
        <v>181</v>
      </c>
      <c r="AU224" s="165" t="s">
        <v>82</v>
      </c>
      <c r="AY224" s="14" t="s">
        <v>179</v>
      </c>
      <c r="BE224" s="166">
        <f t="shared" ref="BE224:BE232" si="39">IF(N224="základná",J224,0)</f>
        <v>0</v>
      </c>
      <c r="BF224" s="166">
        <f t="shared" ref="BF224:BF232" si="40">IF(N224="znížená",J224,0)</f>
        <v>0</v>
      </c>
      <c r="BG224" s="166">
        <f t="shared" ref="BG224:BG232" si="41">IF(N224="zákl. prenesená",J224,0)</f>
        <v>0</v>
      </c>
      <c r="BH224" s="166">
        <f t="shared" ref="BH224:BH232" si="42">IF(N224="zníž. prenesená",J224,0)</f>
        <v>0</v>
      </c>
      <c r="BI224" s="166">
        <f t="shared" ref="BI224:BI232" si="43">IF(N224="nulová",J224,0)</f>
        <v>0</v>
      </c>
      <c r="BJ224" s="14" t="s">
        <v>82</v>
      </c>
      <c r="BK224" s="166">
        <f t="shared" ref="BK224:BK232" si="44">ROUND(I224*H224,2)</f>
        <v>0</v>
      </c>
      <c r="BL224" s="14" t="s">
        <v>185</v>
      </c>
      <c r="BM224" s="165" t="s">
        <v>463</v>
      </c>
    </row>
    <row r="225" spans="1:65" s="2" customFormat="1" ht="24.2" customHeight="1">
      <c r="A225" s="29"/>
      <c r="B225" s="152"/>
      <c r="C225" s="153" t="s">
        <v>457</v>
      </c>
      <c r="D225" s="153" t="s">
        <v>181</v>
      </c>
      <c r="E225" s="154" t="s">
        <v>1911</v>
      </c>
      <c r="F225" s="155" t="s">
        <v>1912</v>
      </c>
      <c r="G225" s="156" t="s">
        <v>217</v>
      </c>
      <c r="H225" s="157">
        <v>2</v>
      </c>
      <c r="I225" s="158"/>
      <c r="J225" s="151">
        <v>0</v>
      </c>
      <c r="K225" s="160"/>
      <c r="L225" s="30"/>
      <c r="M225" s="161" t="s">
        <v>1</v>
      </c>
      <c r="N225" s="162" t="s">
        <v>35</v>
      </c>
      <c r="O225" s="58"/>
      <c r="P225" s="163">
        <f t="shared" si="36"/>
        <v>0</v>
      </c>
      <c r="Q225" s="163">
        <v>0</v>
      </c>
      <c r="R225" s="163">
        <f t="shared" si="37"/>
        <v>0</v>
      </c>
      <c r="S225" s="163">
        <v>0</v>
      </c>
      <c r="T225" s="164">
        <f t="shared" si="38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65" t="s">
        <v>185</v>
      </c>
      <c r="AT225" s="165" t="s">
        <v>181</v>
      </c>
      <c r="AU225" s="165" t="s">
        <v>82</v>
      </c>
      <c r="AY225" s="14" t="s">
        <v>179</v>
      </c>
      <c r="BE225" s="166">
        <f t="shared" si="39"/>
        <v>0</v>
      </c>
      <c r="BF225" s="166">
        <f t="shared" si="40"/>
        <v>0</v>
      </c>
      <c r="BG225" s="166">
        <f t="shared" si="41"/>
        <v>0</v>
      </c>
      <c r="BH225" s="166">
        <f t="shared" si="42"/>
        <v>0</v>
      </c>
      <c r="BI225" s="166">
        <f t="shared" si="43"/>
        <v>0</v>
      </c>
      <c r="BJ225" s="14" t="s">
        <v>82</v>
      </c>
      <c r="BK225" s="166">
        <f t="shared" si="44"/>
        <v>0</v>
      </c>
      <c r="BL225" s="14" t="s">
        <v>185</v>
      </c>
      <c r="BM225" s="165" t="s">
        <v>467</v>
      </c>
    </row>
    <row r="226" spans="1:65" s="2" customFormat="1" ht="52.5" customHeight="1">
      <c r="A226" s="29"/>
      <c r="B226" s="152"/>
      <c r="C226" s="153" t="s">
        <v>326</v>
      </c>
      <c r="D226" s="153" t="s">
        <v>181</v>
      </c>
      <c r="E226" s="154" t="s">
        <v>1913</v>
      </c>
      <c r="F226" s="339" t="s">
        <v>3421</v>
      </c>
      <c r="G226" s="156" t="s">
        <v>217</v>
      </c>
      <c r="H226" s="157">
        <v>1</v>
      </c>
      <c r="I226" s="158"/>
      <c r="J226" s="151">
        <v>0</v>
      </c>
      <c r="K226" s="160"/>
      <c r="L226" s="30"/>
      <c r="M226" s="161" t="s">
        <v>1</v>
      </c>
      <c r="N226" s="162" t="s">
        <v>35</v>
      </c>
      <c r="O226" s="58"/>
      <c r="P226" s="163">
        <f t="shared" si="36"/>
        <v>0</v>
      </c>
      <c r="Q226" s="163">
        <v>0</v>
      </c>
      <c r="R226" s="163">
        <f t="shared" si="37"/>
        <v>0</v>
      </c>
      <c r="S226" s="163">
        <v>0</v>
      </c>
      <c r="T226" s="164">
        <f t="shared" si="38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65" t="s">
        <v>185</v>
      </c>
      <c r="AT226" s="165" t="s">
        <v>181</v>
      </c>
      <c r="AU226" s="165" t="s">
        <v>82</v>
      </c>
      <c r="AY226" s="14" t="s">
        <v>179</v>
      </c>
      <c r="BE226" s="166">
        <f t="shared" si="39"/>
        <v>0</v>
      </c>
      <c r="BF226" s="166">
        <f t="shared" si="40"/>
        <v>0</v>
      </c>
      <c r="BG226" s="166">
        <f t="shared" si="41"/>
        <v>0</v>
      </c>
      <c r="BH226" s="166">
        <f t="shared" si="42"/>
        <v>0</v>
      </c>
      <c r="BI226" s="166">
        <f t="shared" si="43"/>
        <v>0</v>
      </c>
      <c r="BJ226" s="14" t="s">
        <v>82</v>
      </c>
      <c r="BK226" s="166">
        <f t="shared" si="44"/>
        <v>0</v>
      </c>
      <c r="BL226" s="14" t="s">
        <v>185</v>
      </c>
      <c r="BM226" s="165" t="s">
        <v>470</v>
      </c>
    </row>
    <row r="227" spans="1:65" s="2" customFormat="1" ht="16.5" customHeight="1">
      <c r="A227" s="29"/>
      <c r="B227" s="152"/>
      <c r="C227" s="153" t="s">
        <v>464</v>
      </c>
      <c r="D227" s="153" t="s">
        <v>181</v>
      </c>
      <c r="E227" s="154" t="s">
        <v>1914</v>
      </c>
      <c r="F227" s="155" t="s">
        <v>1915</v>
      </c>
      <c r="G227" s="156" t="s">
        <v>217</v>
      </c>
      <c r="H227" s="157">
        <v>1</v>
      </c>
      <c r="I227" s="158"/>
      <c r="J227" s="151">
        <v>0</v>
      </c>
      <c r="K227" s="160"/>
      <c r="L227" s="30"/>
      <c r="M227" s="161" t="s">
        <v>1</v>
      </c>
      <c r="N227" s="162" t="s">
        <v>35</v>
      </c>
      <c r="O227" s="58"/>
      <c r="P227" s="163">
        <f t="shared" si="36"/>
        <v>0</v>
      </c>
      <c r="Q227" s="163">
        <v>0</v>
      </c>
      <c r="R227" s="163">
        <f t="shared" si="37"/>
        <v>0</v>
      </c>
      <c r="S227" s="163">
        <v>0</v>
      </c>
      <c r="T227" s="164">
        <f t="shared" si="38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65" t="s">
        <v>185</v>
      </c>
      <c r="AT227" s="165" t="s">
        <v>181</v>
      </c>
      <c r="AU227" s="165" t="s">
        <v>82</v>
      </c>
      <c r="AY227" s="14" t="s">
        <v>179</v>
      </c>
      <c r="BE227" s="166">
        <f t="shared" si="39"/>
        <v>0</v>
      </c>
      <c r="BF227" s="166">
        <f t="shared" si="40"/>
        <v>0</v>
      </c>
      <c r="BG227" s="166">
        <f t="shared" si="41"/>
        <v>0</v>
      </c>
      <c r="BH227" s="166">
        <f t="shared" si="42"/>
        <v>0</v>
      </c>
      <c r="BI227" s="166">
        <f t="shared" si="43"/>
        <v>0</v>
      </c>
      <c r="BJ227" s="14" t="s">
        <v>82</v>
      </c>
      <c r="BK227" s="166">
        <f t="shared" si="44"/>
        <v>0</v>
      </c>
      <c r="BL227" s="14" t="s">
        <v>185</v>
      </c>
      <c r="BM227" s="165" t="s">
        <v>474</v>
      </c>
    </row>
    <row r="228" spans="1:65" s="2" customFormat="1" ht="16.5" customHeight="1">
      <c r="A228" s="29"/>
      <c r="B228" s="152"/>
      <c r="C228" s="153" t="s">
        <v>329</v>
      </c>
      <c r="D228" s="153" t="s">
        <v>181</v>
      </c>
      <c r="E228" s="154" t="s">
        <v>1916</v>
      </c>
      <c r="F228" s="155" t="s">
        <v>1745</v>
      </c>
      <c r="G228" s="156" t="s">
        <v>585</v>
      </c>
      <c r="H228" s="178"/>
      <c r="I228" s="158"/>
      <c r="J228" s="151">
        <v>0</v>
      </c>
      <c r="K228" s="160"/>
      <c r="L228" s="30"/>
      <c r="M228" s="161" t="s">
        <v>1</v>
      </c>
      <c r="N228" s="162" t="s">
        <v>35</v>
      </c>
      <c r="O228" s="58"/>
      <c r="P228" s="163">
        <f t="shared" si="36"/>
        <v>0</v>
      </c>
      <c r="Q228" s="163">
        <v>0</v>
      </c>
      <c r="R228" s="163">
        <f t="shared" si="37"/>
        <v>0</v>
      </c>
      <c r="S228" s="163">
        <v>0</v>
      </c>
      <c r="T228" s="164">
        <f t="shared" si="38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65" t="s">
        <v>185</v>
      </c>
      <c r="AT228" s="165" t="s">
        <v>181</v>
      </c>
      <c r="AU228" s="165" t="s">
        <v>82</v>
      </c>
      <c r="AY228" s="14" t="s">
        <v>179</v>
      </c>
      <c r="BE228" s="166">
        <f t="shared" si="39"/>
        <v>0</v>
      </c>
      <c r="BF228" s="166">
        <f t="shared" si="40"/>
        <v>0</v>
      </c>
      <c r="BG228" s="166">
        <f t="shared" si="41"/>
        <v>0</v>
      </c>
      <c r="BH228" s="166">
        <f t="shared" si="42"/>
        <v>0</v>
      </c>
      <c r="BI228" s="166">
        <f t="shared" si="43"/>
        <v>0</v>
      </c>
      <c r="BJ228" s="14" t="s">
        <v>82</v>
      </c>
      <c r="BK228" s="166">
        <f t="shared" si="44"/>
        <v>0</v>
      </c>
      <c r="BL228" s="14" t="s">
        <v>185</v>
      </c>
      <c r="BM228" s="165" t="s">
        <v>478</v>
      </c>
    </row>
    <row r="229" spans="1:65" s="2" customFormat="1" ht="16.5" customHeight="1">
      <c r="A229" s="29"/>
      <c r="B229" s="152"/>
      <c r="C229" s="153" t="s">
        <v>471</v>
      </c>
      <c r="D229" s="153" t="s">
        <v>181</v>
      </c>
      <c r="E229" s="154" t="s">
        <v>1917</v>
      </c>
      <c r="F229" s="155" t="s">
        <v>1770</v>
      </c>
      <c r="G229" s="156" t="s">
        <v>1771</v>
      </c>
      <c r="H229" s="157">
        <v>1</v>
      </c>
      <c r="I229" s="158"/>
      <c r="J229" s="151">
        <v>0</v>
      </c>
      <c r="K229" s="160"/>
      <c r="L229" s="30"/>
      <c r="M229" s="161" t="s">
        <v>1</v>
      </c>
      <c r="N229" s="162" t="s">
        <v>35</v>
      </c>
      <c r="O229" s="58"/>
      <c r="P229" s="163">
        <f t="shared" si="36"/>
        <v>0</v>
      </c>
      <c r="Q229" s="163">
        <v>0</v>
      </c>
      <c r="R229" s="163">
        <f t="shared" si="37"/>
        <v>0</v>
      </c>
      <c r="S229" s="163">
        <v>0</v>
      </c>
      <c r="T229" s="164">
        <f t="shared" si="38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65" t="s">
        <v>185</v>
      </c>
      <c r="AT229" s="165" t="s">
        <v>181</v>
      </c>
      <c r="AU229" s="165" t="s">
        <v>82</v>
      </c>
      <c r="AY229" s="14" t="s">
        <v>179</v>
      </c>
      <c r="BE229" s="166">
        <f t="shared" si="39"/>
        <v>0</v>
      </c>
      <c r="BF229" s="166">
        <f t="shared" si="40"/>
        <v>0</v>
      </c>
      <c r="BG229" s="166">
        <f t="shared" si="41"/>
        <v>0</v>
      </c>
      <c r="BH229" s="166">
        <f t="shared" si="42"/>
        <v>0</v>
      </c>
      <c r="BI229" s="166">
        <f t="shared" si="43"/>
        <v>0</v>
      </c>
      <c r="BJ229" s="14" t="s">
        <v>82</v>
      </c>
      <c r="BK229" s="166">
        <f t="shared" si="44"/>
        <v>0</v>
      </c>
      <c r="BL229" s="14" t="s">
        <v>185</v>
      </c>
      <c r="BM229" s="165" t="s">
        <v>482</v>
      </c>
    </row>
    <row r="230" spans="1:65" s="2" customFormat="1" ht="16.5" customHeight="1">
      <c r="A230" s="29"/>
      <c r="B230" s="152"/>
      <c r="C230" s="153" t="s">
        <v>333</v>
      </c>
      <c r="D230" s="153" t="s">
        <v>181</v>
      </c>
      <c r="E230" s="154" t="s">
        <v>1918</v>
      </c>
      <c r="F230" s="155" t="s">
        <v>1774</v>
      </c>
      <c r="G230" s="156" t="s">
        <v>1771</v>
      </c>
      <c r="H230" s="157">
        <v>1</v>
      </c>
      <c r="I230" s="158"/>
      <c r="J230" s="151">
        <v>0</v>
      </c>
      <c r="K230" s="160"/>
      <c r="L230" s="30"/>
      <c r="M230" s="161" t="s">
        <v>1</v>
      </c>
      <c r="N230" s="162" t="s">
        <v>35</v>
      </c>
      <c r="O230" s="58"/>
      <c r="P230" s="163">
        <f t="shared" si="36"/>
        <v>0</v>
      </c>
      <c r="Q230" s="163">
        <v>0</v>
      </c>
      <c r="R230" s="163">
        <f t="shared" si="37"/>
        <v>0</v>
      </c>
      <c r="S230" s="163">
        <v>0</v>
      </c>
      <c r="T230" s="164">
        <f t="shared" si="38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65" t="s">
        <v>185</v>
      </c>
      <c r="AT230" s="165" t="s">
        <v>181</v>
      </c>
      <c r="AU230" s="165" t="s">
        <v>82</v>
      </c>
      <c r="AY230" s="14" t="s">
        <v>179</v>
      </c>
      <c r="BE230" s="166">
        <f t="shared" si="39"/>
        <v>0</v>
      </c>
      <c r="BF230" s="166">
        <f t="shared" si="40"/>
        <v>0</v>
      </c>
      <c r="BG230" s="166">
        <f t="shared" si="41"/>
        <v>0</v>
      </c>
      <c r="BH230" s="166">
        <f t="shared" si="42"/>
        <v>0</v>
      </c>
      <c r="BI230" s="166">
        <f t="shared" si="43"/>
        <v>0</v>
      </c>
      <c r="BJ230" s="14" t="s">
        <v>82</v>
      </c>
      <c r="BK230" s="166">
        <f t="shared" si="44"/>
        <v>0</v>
      </c>
      <c r="BL230" s="14" t="s">
        <v>185</v>
      </c>
      <c r="BM230" s="165" t="s">
        <v>485</v>
      </c>
    </row>
    <row r="231" spans="1:65" s="2" customFormat="1" ht="16.5" customHeight="1">
      <c r="A231" s="29"/>
      <c r="B231" s="152"/>
      <c r="C231" s="153" t="s">
        <v>479</v>
      </c>
      <c r="D231" s="153" t="s">
        <v>181</v>
      </c>
      <c r="E231" s="154" t="s">
        <v>1919</v>
      </c>
      <c r="F231" s="155" t="s">
        <v>1777</v>
      </c>
      <c r="G231" s="156" t="s">
        <v>1771</v>
      </c>
      <c r="H231" s="157">
        <v>1</v>
      </c>
      <c r="I231" s="158"/>
      <c r="J231" s="151">
        <v>0</v>
      </c>
      <c r="K231" s="160"/>
      <c r="L231" s="30"/>
      <c r="M231" s="161" t="s">
        <v>1</v>
      </c>
      <c r="N231" s="162" t="s">
        <v>35</v>
      </c>
      <c r="O231" s="58"/>
      <c r="P231" s="163">
        <f t="shared" si="36"/>
        <v>0</v>
      </c>
      <c r="Q231" s="163">
        <v>0</v>
      </c>
      <c r="R231" s="163">
        <f t="shared" si="37"/>
        <v>0</v>
      </c>
      <c r="S231" s="163">
        <v>0</v>
      </c>
      <c r="T231" s="164">
        <f t="shared" si="38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65" t="s">
        <v>185</v>
      </c>
      <c r="AT231" s="165" t="s">
        <v>181</v>
      </c>
      <c r="AU231" s="165" t="s">
        <v>82</v>
      </c>
      <c r="AY231" s="14" t="s">
        <v>179</v>
      </c>
      <c r="BE231" s="166">
        <f t="shared" si="39"/>
        <v>0</v>
      </c>
      <c r="BF231" s="166">
        <f t="shared" si="40"/>
        <v>0</v>
      </c>
      <c r="BG231" s="166">
        <f t="shared" si="41"/>
        <v>0</v>
      </c>
      <c r="BH231" s="166">
        <f t="shared" si="42"/>
        <v>0</v>
      </c>
      <c r="BI231" s="166">
        <f t="shared" si="43"/>
        <v>0</v>
      </c>
      <c r="BJ231" s="14" t="s">
        <v>82</v>
      </c>
      <c r="BK231" s="166">
        <f t="shared" si="44"/>
        <v>0</v>
      </c>
      <c r="BL231" s="14" t="s">
        <v>185</v>
      </c>
      <c r="BM231" s="165" t="s">
        <v>489</v>
      </c>
    </row>
    <row r="232" spans="1:65" s="2" customFormat="1" ht="16.5" customHeight="1">
      <c r="A232" s="29"/>
      <c r="B232" s="152"/>
      <c r="C232" s="153" t="s">
        <v>336</v>
      </c>
      <c r="D232" s="153" t="s">
        <v>181</v>
      </c>
      <c r="E232" s="154" t="s">
        <v>1920</v>
      </c>
      <c r="F232" s="155" t="s">
        <v>1780</v>
      </c>
      <c r="G232" s="156" t="s">
        <v>1771</v>
      </c>
      <c r="H232" s="157">
        <v>1</v>
      </c>
      <c r="I232" s="158"/>
      <c r="J232" s="151">
        <v>0</v>
      </c>
      <c r="K232" s="160"/>
      <c r="L232" s="30"/>
      <c r="M232" s="179" t="s">
        <v>1</v>
      </c>
      <c r="N232" s="180" t="s">
        <v>35</v>
      </c>
      <c r="O232" s="181"/>
      <c r="P232" s="182">
        <f t="shared" si="36"/>
        <v>0</v>
      </c>
      <c r="Q232" s="182">
        <v>0</v>
      </c>
      <c r="R232" s="182">
        <f t="shared" si="37"/>
        <v>0</v>
      </c>
      <c r="S232" s="182">
        <v>0</v>
      </c>
      <c r="T232" s="183">
        <f t="shared" si="38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65" t="s">
        <v>185</v>
      </c>
      <c r="AT232" s="165" t="s">
        <v>181</v>
      </c>
      <c r="AU232" s="165" t="s">
        <v>82</v>
      </c>
      <c r="AY232" s="14" t="s">
        <v>179</v>
      </c>
      <c r="BE232" s="166">
        <f t="shared" si="39"/>
        <v>0</v>
      </c>
      <c r="BF232" s="166">
        <f t="shared" si="40"/>
        <v>0</v>
      </c>
      <c r="BG232" s="166">
        <f t="shared" si="41"/>
        <v>0</v>
      </c>
      <c r="BH232" s="166">
        <f t="shared" si="42"/>
        <v>0</v>
      </c>
      <c r="BI232" s="166">
        <f t="shared" si="43"/>
        <v>0</v>
      </c>
      <c r="BJ232" s="14" t="s">
        <v>82</v>
      </c>
      <c r="BK232" s="166">
        <f t="shared" si="44"/>
        <v>0</v>
      </c>
      <c r="BL232" s="14" t="s">
        <v>185</v>
      </c>
      <c r="BM232" s="165" t="s">
        <v>492</v>
      </c>
    </row>
    <row r="233" spans="1:65" s="2" customFormat="1" ht="6.95" customHeight="1">
      <c r="A233" s="29"/>
      <c r="B233" s="47"/>
      <c r="C233" s="48"/>
      <c r="D233" s="48"/>
      <c r="E233" s="48"/>
      <c r="F233" s="48"/>
      <c r="G233" s="48"/>
      <c r="H233" s="48"/>
      <c r="I233" s="48"/>
      <c r="J233" s="48"/>
      <c r="K233" s="48"/>
      <c r="L233" s="30"/>
      <c r="M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</row>
  </sheetData>
  <autoFilter ref="C133:K232"/>
  <mergeCells count="12">
    <mergeCell ref="E126:H126"/>
    <mergeCell ref="L2:V2"/>
    <mergeCell ref="E85:H85"/>
    <mergeCell ref="E87:H87"/>
    <mergeCell ref="E89:H89"/>
    <mergeCell ref="E122:H122"/>
    <mergeCell ref="E124:H12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BM243"/>
  <sheetViews>
    <sheetView showGridLines="0" topLeftCell="A3" workbookViewId="0">
      <selection activeCell="J45" sqref="J4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0" t="s">
        <v>5</v>
      </c>
      <c r="M2" s="351"/>
      <c r="N2" s="351"/>
      <c r="O2" s="351"/>
      <c r="P2" s="351"/>
      <c r="Q2" s="351"/>
      <c r="R2" s="351"/>
      <c r="S2" s="351"/>
      <c r="T2" s="351"/>
      <c r="U2" s="351"/>
      <c r="V2" s="351"/>
      <c r="AT2" s="14" t="s">
        <v>98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5" customHeight="1">
      <c r="B4" s="17"/>
      <c r="D4" s="18" t="s">
        <v>129</v>
      </c>
      <c r="L4" s="17"/>
      <c r="M4" s="98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387" t="str">
        <f>'Rekapitulácia stavby'!K6</f>
        <v>Topoľčianky, Centrálny logistický sklad - rekonštrukcia tepelného hospodárstva</v>
      </c>
      <c r="F7" s="388"/>
      <c r="G7" s="388"/>
      <c r="H7" s="388"/>
      <c r="L7" s="17"/>
    </row>
    <row r="8" spans="1:46" s="1" customFormat="1" ht="12" customHeight="1">
      <c r="B8" s="17"/>
      <c r="D8" s="24" t="s">
        <v>130</v>
      </c>
      <c r="L8" s="17"/>
    </row>
    <row r="9" spans="1:46" s="2" customFormat="1" ht="16.5" customHeight="1">
      <c r="A9" s="29"/>
      <c r="B9" s="30"/>
      <c r="C9" s="29"/>
      <c r="D9" s="29"/>
      <c r="E9" s="387" t="s">
        <v>131</v>
      </c>
      <c r="F9" s="386"/>
      <c r="G9" s="386"/>
      <c r="H9" s="386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>
      <c r="A10" s="29"/>
      <c r="B10" s="30"/>
      <c r="C10" s="29"/>
      <c r="D10" s="24" t="s">
        <v>132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>
      <c r="A11" s="29"/>
      <c r="B11" s="30"/>
      <c r="C11" s="29"/>
      <c r="D11" s="29"/>
      <c r="E11" s="382" t="s">
        <v>1921</v>
      </c>
      <c r="F11" s="386"/>
      <c r="G11" s="386"/>
      <c r="H11" s="386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>
      <c r="A13" s="29"/>
      <c r="B13" s="30"/>
      <c r="C13" s="29"/>
      <c r="D13" s="24" t="s">
        <v>15</v>
      </c>
      <c r="E13" s="29"/>
      <c r="F13" s="22" t="s">
        <v>1</v>
      </c>
      <c r="G13" s="29"/>
      <c r="H13" s="29"/>
      <c r="I13" s="24" t="s">
        <v>16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17</v>
      </c>
      <c r="E14" s="29"/>
      <c r="F14" s="22" t="s">
        <v>18</v>
      </c>
      <c r="G14" s="29"/>
      <c r="H14" s="29"/>
      <c r="I14" s="24" t="s">
        <v>19</v>
      </c>
      <c r="J14" s="55">
        <f>'Rekapitulácia stavby'!AN8</f>
        <v>45945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>
      <c r="A16" s="29"/>
      <c r="B16" s="30"/>
      <c r="C16" s="29"/>
      <c r="D16" s="24" t="s">
        <v>20</v>
      </c>
      <c r="E16" s="29"/>
      <c r="F16" s="29"/>
      <c r="G16" s="29"/>
      <c r="H16" s="29"/>
      <c r="I16" s="24" t="s">
        <v>21</v>
      </c>
      <c r="J16" s="22" t="str">
        <f>IF('Rekapitulácia stavby'!AN10="","",'Rekapitulácia stavby'!AN10)</f>
        <v/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>
      <c r="A17" s="29"/>
      <c r="B17" s="30"/>
      <c r="C17" s="29"/>
      <c r="D17" s="29"/>
      <c r="E17" s="22" t="str">
        <f>IF('Rekapitulácia stavby'!E11="","",'Rekapitulácia stavby'!E11)</f>
        <v xml:space="preserve"> </v>
      </c>
      <c r="F17" s="29"/>
      <c r="G17" s="29"/>
      <c r="H17" s="29"/>
      <c r="I17" s="24" t="s">
        <v>22</v>
      </c>
      <c r="J17" s="22" t="str">
        <f>IF('Rekapitulácia stavby'!AN11="","",'Rekapitulácia stavby'!AN11)</f>
        <v/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customHeight="1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>
      <c r="A19" s="29"/>
      <c r="B19" s="30"/>
      <c r="C19" s="29"/>
      <c r="D19" s="24" t="s">
        <v>23</v>
      </c>
      <c r="E19" s="29"/>
      <c r="F19" s="29"/>
      <c r="G19" s="29"/>
      <c r="H19" s="29"/>
      <c r="I19" s="24" t="s">
        <v>21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>
      <c r="A20" s="29"/>
      <c r="B20" s="30"/>
      <c r="C20" s="29"/>
      <c r="D20" s="29"/>
      <c r="E20" s="389" t="str">
        <f>'Rekapitulácia stavby'!E14</f>
        <v>Vyplň údaj</v>
      </c>
      <c r="F20" s="390"/>
      <c r="G20" s="390"/>
      <c r="H20" s="390"/>
      <c r="I20" s="24" t="s">
        <v>22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customHeight="1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>
      <c r="A22" s="29"/>
      <c r="B22" s="30"/>
      <c r="C22" s="29"/>
      <c r="D22" s="24" t="s">
        <v>25</v>
      </c>
      <c r="E22" s="29"/>
      <c r="F22" s="29"/>
      <c r="G22" s="29"/>
      <c r="H22" s="29"/>
      <c r="I22" s="24" t="s">
        <v>21</v>
      </c>
      <c r="J22" s="22" t="str">
        <f>IF('Rekapitulácia stavby'!AN16="","",'Rekapitulácia stavby'!AN16)</f>
        <v/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>
      <c r="A23" s="29"/>
      <c r="B23" s="30"/>
      <c r="C23" s="29"/>
      <c r="D23" s="29"/>
      <c r="E23" s="22" t="str">
        <f>IF('Rekapitulácia stavby'!E17="","",'Rekapitulácia stavby'!E17)</f>
        <v xml:space="preserve"> </v>
      </c>
      <c r="F23" s="29"/>
      <c r="G23" s="29"/>
      <c r="H23" s="29"/>
      <c r="I23" s="24" t="s">
        <v>22</v>
      </c>
      <c r="J23" s="22" t="str">
        <f>IF('Rekapitulácia stavby'!AN17="","",'Rekapitulácia stavby'!AN17)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customHeight="1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>
      <c r="A25" s="29"/>
      <c r="B25" s="30"/>
      <c r="C25" s="29"/>
      <c r="D25" s="24" t="s">
        <v>26</v>
      </c>
      <c r="E25" s="29"/>
      <c r="F25" s="29"/>
      <c r="G25" s="29"/>
      <c r="H25" s="29"/>
      <c r="I25" s="24" t="s">
        <v>21</v>
      </c>
      <c r="J25" s="22" t="str">
        <f>IF('Rekapitulácia stavby'!AN19="","",'Rekapitulácia stavby'!AN19)</f>
        <v/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24" t="s">
        <v>22</v>
      </c>
      <c r="J26" s="22" t="str">
        <f>IF('Rekapitulácia stavby'!AN20="","",'Rekapitulácia stavby'!AN20)</f>
        <v/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>
      <c r="A28" s="29"/>
      <c r="B28" s="30"/>
      <c r="C28" s="29"/>
      <c r="D28" s="24" t="s">
        <v>28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>
      <c r="A29" s="99"/>
      <c r="B29" s="100"/>
      <c r="C29" s="99"/>
      <c r="D29" s="99"/>
      <c r="E29" s="378" t="s">
        <v>1</v>
      </c>
      <c r="F29" s="378"/>
      <c r="G29" s="378"/>
      <c r="H29" s="378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102" t="s">
        <v>29</v>
      </c>
      <c r="E32" s="29"/>
      <c r="F32" s="29"/>
      <c r="G32" s="29"/>
      <c r="H32" s="29"/>
      <c r="I32" s="29"/>
      <c r="J32" s="71"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31</v>
      </c>
      <c r="G34" s="29"/>
      <c r="H34" s="29"/>
      <c r="I34" s="33" t="s">
        <v>30</v>
      </c>
      <c r="J34" s="33" t="s">
        <v>32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3" t="s">
        <v>33</v>
      </c>
      <c r="E35" s="35" t="s">
        <v>34</v>
      </c>
      <c r="F35" s="104">
        <f>ROUND((SUM(BE134:BE242)),  2)</f>
        <v>0</v>
      </c>
      <c r="G35" s="105"/>
      <c r="H35" s="105"/>
      <c r="I35" s="106">
        <v>0.23</v>
      </c>
      <c r="J35" s="104">
        <f>ROUND(((SUM(BE134:BE242))*I35),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35</v>
      </c>
      <c r="F36" s="104">
        <f>ROUND((SUM(BF134:BF242)),  2)</f>
        <v>0</v>
      </c>
      <c r="G36" s="105"/>
      <c r="H36" s="105"/>
      <c r="I36" s="106">
        <v>0.23</v>
      </c>
      <c r="J36" s="104">
        <f>ROUND(((SUM(BF134:BF242))*I36),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36</v>
      </c>
      <c r="F37" s="107">
        <f>ROUND((SUM(BG134:BG242)),  2)</f>
        <v>0</v>
      </c>
      <c r="G37" s="29"/>
      <c r="H37" s="29"/>
      <c r="I37" s="108">
        <v>0.23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37</v>
      </c>
      <c r="F38" s="107">
        <f>ROUND((SUM(BH134:BH242)),  2)</f>
        <v>0</v>
      </c>
      <c r="G38" s="29"/>
      <c r="H38" s="29"/>
      <c r="I38" s="108">
        <v>0.23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38</v>
      </c>
      <c r="F39" s="104">
        <f>ROUND((SUM(BI134:BI242)), 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9"/>
      <c r="D41" s="110" t="s">
        <v>39</v>
      </c>
      <c r="E41" s="60"/>
      <c r="F41" s="60"/>
      <c r="G41" s="111" t="s">
        <v>40</v>
      </c>
      <c r="H41" s="112" t="s">
        <v>41</v>
      </c>
      <c r="I41" s="60"/>
      <c r="J41" s="113"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42</v>
      </c>
      <c r="E50" s="44"/>
      <c r="F50" s="44"/>
      <c r="G50" s="43" t="s">
        <v>43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44</v>
      </c>
      <c r="E61" s="32"/>
      <c r="F61" s="115" t="s">
        <v>45</v>
      </c>
      <c r="G61" s="45" t="s">
        <v>44</v>
      </c>
      <c r="H61" s="32"/>
      <c r="I61" s="32"/>
      <c r="J61" s="116" t="s">
        <v>45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46</v>
      </c>
      <c r="E65" s="46"/>
      <c r="F65" s="46"/>
      <c r="G65" s="43" t="s">
        <v>47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44</v>
      </c>
      <c r="E76" s="32"/>
      <c r="F76" s="115" t="s">
        <v>45</v>
      </c>
      <c r="G76" s="45" t="s">
        <v>44</v>
      </c>
      <c r="H76" s="32"/>
      <c r="I76" s="32"/>
      <c r="J76" s="116" t="s">
        <v>45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hidden="1" customHeight="1">
      <c r="A82" s="29"/>
      <c r="B82" s="30"/>
      <c r="C82" s="18" t="s">
        <v>134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hidden="1" customHeight="1">
      <c r="A85" s="29"/>
      <c r="B85" s="30"/>
      <c r="C85" s="29"/>
      <c r="D85" s="29"/>
      <c r="E85" s="387" t="str">
        <f>E7</f>
        <v>Topoľčianky, Centrálny logistický sklad - rekonštrukcia tepelného hospodárstva</v>
      </c>
      <c r="F85" s="388"/>
      <c r="G85" s="388"/>
      <c r="H85" s="388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hidden="1" customHeight="1">
      <c r="B86" s="17"/>
      <c r="C86" s="24" t="s">
        <v>130</v>
      </c>
      <c r="L86" s="17"/>
    </row>
    <row r="87" spans="1:31" s="2" customFormat="1" ht="16.5" hidden="1" customHeight="1">
      <c r="A87" s="29"/>
      <c r="B87" s="30"/>
      <c r="C87" s="29"/>
      <c r="D87" s="29"/>
      <c r="E87" s="387" t="s">
        <v>131</v>
      </c>
      <c r="F87" s="386"/>
      <c r="G87" s="386"/>
      <c r="H87" s="386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hidden="1" customHeight="1">
      <c r="A88" s="29"/>
      <c r="B88" s="30"/>
      <c r="C88" s="24" t="s">
        <v>132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hidden="1" customHeight="1">
      <c r="A89" s="29"/>
      <c r="B89" s="30"/>
      <c r="C89" s="29"/>
      <c r="D89" s="29"/>
      <c r="E89" s="382" t="str">
        <f>E11</f>
        <v>E1.6-2A - ELI  MaR - DT02A</v>
      </c>
      <c r="F89" s="386"/>
      <c r="G89" s="386"/>
      <c r="H89" s="386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hidden="1" customHeight="1">
      <c r="A91" s="29"/>
      <c r="B91" s="30"/>
      <c r="C91" s="24" t="s">
        <v>17</v>
      </c>
      <c r="D91" s="29"/>
      <c r="E91" s="29"/>
      <c r="F91" s="22" t="str">
        <f>F14</f>
        <v xml:space="preserve"> </v>
      </c>
      <c r="G91" s="29"/>
      <c r="H91" s="29"/>
      <c r="I91" s="24" t="s">
        <v>19</v>
      </c>
      <c r="J91" s="55">
        <f>IF(J14="","",J14)</f>
        <v>45945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hidden="1" customHeight="1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hidden="1" customHeight="1">
      <c r="A93" s="29"/>
      <c r="B93" s="30"/>
      <c r="C93" s="24" t="s">
        <v>20</v>
      </c>
      <c r="D93" s="29"/>
      <c r="E93" s="29"/>
      <c r="F93" s="22" t="str">
        <f>E17</f>
        <v xml:space="preserve"> </v>
      </c>
      <c r="G93" s="29"/>
      <c r="H93" s="29"/>
      <c r="I93" s="24" t="s">
        <v>25</v>
      </c>
      <c r="J93" s="27" t="str">
        <f>E23</f>
        <v xml:space="preserve">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hidden="1" customHeight="1">
      <c r="A94" s="29"/>
      <c r="B94" s="30"/>
      <c r="C94" s="24" t="s">
        <v>23</v>
      </c>
      <c r="D94" s="29"/>
      <c r="E94" s="29"/>
      <c r="F94" s="22" t="str">
        <f>IF(E20="","",E20)</f>
        <v>Vyplň údaj</v>
      </c>
      <c r="G94" s="29"/>
      <c r="H94" s="29"/>
      <c r="I94" s="24" t="s">
        <v>26</v>
      </c>
      <c r="J94" s="27" t="str">
        <f>E26</f>
        <v xml:space="preserve">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hidden="1" customHeight="1">
      <c r="A96" s="29"/>
      <c r="B96" s="30"/>
      <c r="C96" s="117" t="s">
        <v>135</v>
      </c>
      <c r="D96" s="109"/>
      <c r="E96" s="109"/>
      <c r="F96" s="109"/>
      <c r="G96" s="109"/>
      <c r="H96" s="109"/>
      <c r="I96" s="109"/>
      <c r="J96" s="118" t="s">
        <v>136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hidden="1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hidden="1" customHeight="1">
      <c r="A98" s="29"/>
      <c r="B98" s="30"/>
      <c r="C98" s="119" t="s">
        <v>137</v>
      </c>
      <c r="D98" s="29"/>
      <c r="E98" s="29"/>
      <c r="F98" s="29"/>
      <c r="G98" s="29"/>
      <c r="H98" s="29"/>
      <c r="I98" s="29"/>
      <c r="J98" s="71">
        <f>J134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138</v>
      </c>
    </row>
    <row r="99" spans="1:47" s="9" customFormat="1" ht="24.95" hidden="1" customHeight="1">
      <c r="B99" s="120"/>
      <c r="D99" s="121" t="s">
        <v>1922</v>
      </c>
      <c r="E99" s="122"/>
      <c r="F99" s="122"/>
      <c r="G99" s="122"/>
      <c r="H99" s="122"/>
      <c r="I99" s="122"/>
      <c r="J99" s="123">
        <f>J135</f>
        <v>0</v>
      </c>
      <c r="L99" s="120"/>
    </row>
    <row r="100" spans="1:47" s="10" customFormat="1" ht="19.899999999999999" hidden="1" customHeight="1">
      <c r="B100" s="124"/>
      <c r="D100" s="125" t="s">
        <v>1923</v>
      </c>
      <c r="E100" s="126"/>
      <c r="F100" s="126"/>
      <c r="G100" s="126"/>
      <c r="H100" s="126"/>
      <c r="I100" s="126"/>
      <c r="J100" s="127">
        <f>J136</f>
        <v>0</v>
      </c>
      <c r="L100" s="124"/>
    </row>
    <row r="101" spans="1:47" s="10" customFormat="1" ht="19.899999999999999" hidden="1" customHeight="1">
      <c r="B101" s="124"/>
      <c r="D101" s="125" t="s">
        <v>1924</v>
      </c>
      <c r="E101" s="126"/>
      <c r="F101" s="126"/>
      <c r="G101" s="126"/>
      <c r="H101" s="126"/>
      <c r="I101" s="126"/>
      <c r="J101" s="127">
        <f>J145</f>
        <v>0</v>
      </c>
      <c r="L101" s="124"/>
    </row>
    <row r="102" spans="1:47" s="10" customFormat="1" ht="19.899999999999999" hidden="1" customHeight="1">
      <c r="B102" s="124"/>
      <c r="D102" s="125" t="s">
        <v>1925</v>
      </c>
      <c r="E102" s="126"/>
      <c r="F102" s="126"/>
      <c r="G102" s="126"/>
      <c r="H102" s="126"/>
      <c r="I102" s="126"/>
      <c r="J102" s="127">
        <f>J148</f>
        <v>0</v>
      </c>
      <c r="L102" s="124"/>
    </row>
    <row r="103" spans="1:47" s="10" customFormat="1" ht="19.899999999999999" hidden="1" customHeight="1">
      <c r="B103" s="124"/>
      <c r="D103" s="125" t="s">
        <v>1926</v>
      </c>
      <c r="E103" s="126"/>
      <c r="F103" s="126"/>
      <c r="G103" s="126"/>
      <c r="H103" s="126"/>
      <c r="I103" s="126"/>
      <c r="J103" s="127">
        <f>J149</f>
        <v>0</v>
      </c>
      <c r="L103" s="124"/>
    </row>
    <row r="104" spans="1:47" s="10" customFormat="1" ht="19.899999999999999" hidden="1" customHeight="1">
      <c r="B104" s="124"/>
      <c r="D104" s="125" t="s">
        <v>1927</v>
      </c>
      <c r="E104" s="126"/>
      <c r="F104" s="126"/>
      <c r="G104" s="126"/>
      <c r="H104" s="126"/>
      <c r="I104" s="126"/>
      <c r="J104" s="127">
        <f>J151</f>
        <v>0</v>
      </c>
      <c r="L104" s="124"/>
    </row>
    <row r="105" spans="1:47" s="9" customFormat="1" ht="24.95" hidden="1" customHeight="1">
      <c r="B105" s="120"/>
      <c r="D105" s="121" t="s">
        <v>1928</v>
      </c>
      <c r="E105" s="122"/>
      <c r="F105" s="122"/>
      <c r="G105" s="122"/>
      <c r="H105" s="122"/>
      <c r="I105" s="122"/>
      <c r="J105" s="123">
        <f>J160</f>
        <v>0</v>
      </c>
      <c r="L105" s="120"/>
    </row>
    <row r="106" spans="1:47" s="9" customFormat="1" ht="24.95" hidden="1" customHeight="1">
      <c r="B106" s="120"/>
      <c r="D106" s="121" t="s">
        <v>1929</v>
      </c>
      <c r="E106" s="122"/>
      <c r="F106" s="122"/>
      <c r="G106" s="122"/>
      <c r="H106" s="122"/>
      <c r="I106" s="122"/>
      <c r="J106" s="123">
        <f>J169</f>
        <v>0</v>
      </c>
      <c r="L106" s="120"/>
    </row>
    <row r="107" spans="1:47" s="10" customFormat="1" ht="19.899999999999999" hidden="1" customHeight="1">
      <c r="B107" s="124"/>
      <c r="D107" s="125" t="s">
        <v>1930</v>
      </c>
      <c r="E107" s="126"/>
      <c r="F107" s="126"/>
      <c r="G107" s="126"/>
      <c r="H107" s="126"/>
      <c r="I107" s="126"/>
      <c r="J107" s="127">
        <f>J170</f>
        <v>0</v>
      </c>
      <c r="L107" s="124"/>
    </row>
    <row r="108" spans="1:47" s="10" customFormat="1" ht="19.899999999999999" hidden="1" customHeight="1">
      <c r="B108" s="124"/>
      <c r="D108" s="125" t="s">
        <v>1931</v>
      </c>
      <c r="E108" s="126"/>
      <c r="F108" s="126"/>
      <c r="G108" s="126"/>
      <c r="H108" s="126"/>
      <c r="I108" s="126"/>
      <c r="J108" s="127">
        <f>J172</f>
        <v>0</v>
      </c>
      <c r="L108" s="124"/>
    </row>
    <row r="109" spans="1:47" s="9" customFormat="1" ht="24.95" hidden="1" customHeight="1">
      <c r="B109" s="120"/>
      <c r="D109" s="121" t="s">
        <v>1367</v>
      </c>
      <c r="E109" s="122"/>
      <c r="F109" s="122"/>
      <c r="G109" s="122"/>
      <c r="H109" s="122"/>
      <c r="I109" s="122"/>
      <c r="J109" s="123">
        <f>J174</f>
        <v>0</v>
      </c>
      <c r="L109" s="120"/>
    </row>
    <row r="110" spans="1:47" s="10" customFormat="1" ht="19.899999999999999" hidden="1" customHeight="1">
      <c r="B110" s="124"/>
      <c r="D110" s="125" t="s">
        <v>1932</v>
      </c>
      <c r="E110" s="126"/>
      <c r="F110" s="126"/>
      <c r="G110" s="126"/>
      <c r="H110" s="126"/>
      <c r="I110" s="126"/>
      <c r="J110" s="127">
        <f>J222</f>
        <v>0</v>
      </c>
      <c r="L110" s="124"/>
    </row>
    <row r="111" spans="1:47" s="10" customFormat="1" ht="19.899999999999999" hidden="1" customHeight="1">
      <c r="B111" s="124"/>
      <c r="D111" s="125" t="s">
        <v>1933</v>
      </c>
      <c r="E111" s="126"/>
      <c r="F111" s="126"/>
      <c r="G111" s="126"/>
      <c r="H111" s="126"/>
      <c r="I111" s="126"/>
      <c r="J111" s="127">
        <f>J230</f>
        <v>0</v>
      </c>
      <c r="L111" s="124"/>
    </row>
    <row r="112" spans="1:47" s="10" customFormat="1" ht="19.899999999999999" hidden="1" customHeight="1">
      <c r="B112" s="124"/>
      <c r="D112" s="125" t="s">
        <v>1934</v>
      </c>
      <c r="E112" s="126"/>
      <c r="F112" s="126"/>
      <c r="G112" s="126"/>
      <c r="H112" s="126"/>
      <c r="I112" s="126"/>
      <c r="J112" s="127">
        <f>J233</f>
        <v>0</v>
      </c>
      <c r="L112" s="124"/>
    </row>
    <row r="113" spans="1:31" s="2" customFormat="1" ht="21.75" hidden="1" customHeigh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31" s="2" customFormat="1" ht="6.95" hidden="1" customHeight="1">
      <c r="A114" s="29"/>
      <c r="B114" s="47"/>
      <c r="C114" s="48"/>
      <c r="D114" s="48"/>
      <c r="E114" s="48"/>
      <c r="F114" s="48"/>
      <c r="G114" s="48"/>
      <c r="H114" s="48"/>
      <c r="I114" s="48"/>
      <c r="J114" s="48"/>
      <c r="K114" s="48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31" hidden="1"/>
    <row r="116" spans="1:31" hidden="1"/>
    <row r="117" spans="1:31" hidden="1"/>
    <row r="118" spans="1:31" s="2" customFormat="1" ht="6.95" customHeight="1">
      <c r="A118" s="29"/>
      <c r="B118" s="49"/>
      <c r="C118" s="50"/>
      <c r="D118" s="50"/>
      <c r="E118" s="50"/>
      <c r="F118" s="50"/>
      <c r="G118" s="50"/>
      <c r="H118" s="50"/>
      <c r="I118" s="50"/>
      <c r="J118" s="50"/>
      <c r="K118" s="50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24.95" customHeight="1">
      <c r="A119" s="29"/>
      <c r="B119" s="30"/>
      <c r="C119" s="18" t="s">
        <v>165</v>
      </c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6.9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2" customHeight="1">
      <c r="A121" s="29"/>
      <c r="B121" s="30"/>
      <c r="C121" s="24" t="s">
        <v>14</v>
      </c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6.5" customHeight="1">
      <c r="A122" s="29"/>
      <c r="B122" s="30"/>
      <c r="C122" s="29"/>
      <c r="D122" s="29"/>
      <c r="E122" s="387" t="str">
        <f>E7</f>
        <v>Topoľčianky, Centrálny logistický sklad - rekonštrukcia tepelného hospodárstva</v>
      </c>
      <c r="F122" s="388"/>
      <c r="G122" s="388"/>
      <c r="H122" s="388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1" customFormat="1" ht="12" customHeight="1">
      <c r="B123" s="17"/>
      <c r="C123" s="24" t="s">
        <v>130</v>
      </c>
      <c r="L123" s="17"/>
    </row>
    <row r="124" spans="1:31" s="2" customFormat="1" ht="16.5" customHeight="1">
      <c r="A124" s="29"/>
      <c r="B124" s="30"/>
      <c r="C124" s="29"/>
      <c r="D124" s="29"/>
      <c r="E124" s="387" t="s">
        <v>131</v>
      </c>
      <c r="F124" s="386"/>
      <c r="G124" s="386"/>
      <c r="H124" s="386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2" customHeight="1">
      <c r="A125" s="29"/>
      <c r="B125" s="30"/>
      <c r="C125" s="24" t="s">
        <v>132</v>
      </c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6.5" customHeight="1">
      <c r="A126" s="29"/>
      <c r="B126" s="30"/>
      <c r="C126" s="29"/>
      <c r="D126" s="29"/>
      <c r="E126" s="382" t="str">
        <f>E11</f>
        <v>E1.6-2A - ELI  MaR - DT02A</v>
      </c>
      <c r="F126" s="386"/>
      <c r="G126" s="386"/>
      <c r="H126" s="386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6.95" customHeight="1">
      <c r="A127" s="29"/>
      <c r="B127" s="30"/>
      <c r="C127" s="29"/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2" customHeight="1">
      <c r="A128" s="29"/>
      <c r="B128" s="30"/>
      <c r="C128" s="24" t="s">
        <v>17</v>
      </c>
      <c r="D128" s="29"/>
      <c r="E128" s="29"/>
      <c r="F128" s="22" t="str">
        <f>F14</f>
        <v xml:space="preserve"> </v>
      </c>
      <c r="G128" s="29"/>
      <c r="H128" s="29"/>
      <c r="I128" s="24" t="s">
        <v>19</v>
      </c>
      <c r="J128" s="55">
        <f>IF(J14="","",J14)</f>
        <v>45945</v>
      </c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6.95" customHeight="1">
      <c r="A129" s="29"/>
      <c r="B129" s="30"/>
      <c r="C129" s="29"/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5.2" customHeight="1">
      <c r="A130" s="29"/>
      <c r="B130" s="30"/>
      <c r="C130" s="24" t="s">
        <v>20</v>
      </c>
      <c r="D130" s="29"/>
      <c r="E130" s="29"/>
      <c r="F130" s="22" t="str">
        <f>E17</f>
        <v xml:space="preserve"> </v>
      </c>
      <c r="G130" s="29"/>
      <c r="H130" s="29"/>
      <c r="I130" s="24" t="s">
        <v>25</v>
      </c>
      <c r="J130" s="27" t="str">
        <f>E23</f>
        <v xml:space="preserve"> </v>
      </c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5.2" customHeight="1">
      <c r="A131" s="29"/>
      <c r="B131" s="30"/>
      <c r="C131" s="24" t="s">
        <v>23</v>
      </c>
      <c r="D131" s="29"/>
      <c r="E131" s="29"/>
      <c r="F131" s="22" t="str">
        <f>IF(E20="","",E20)</f>
        <v>Vyplň údaj</v>
      </c>
      <c r="G131" s="29"/>
      <c r="H131" s="29"/>
      <c r="I131" s="24" t="s">
        <v>26</v>
      </c>
      <c r="J131" s="27" t="str">
        <f>E26</f>
        <v xml:space="preserve"> </v>
      </c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0.35" customHeight="1">
      <c r="A132" s="29"/>
      <c r="B132" s="30"/>
      <c r="C132" s="29"/>
      <c r="D132" s="29"/>
      <c r="E132" s="29"/>
      <c r="F132" s="29"/>
      <c r="G132" s="29"/>
      <c r="H132" s="29"/>
      <c r="I132" s="29"/>
      <c r="J132" s="29"/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11" customFormat="1" ht="29.25" customHeight="1">
      <c r="A133" s="128"/>
      <c r="B133" s="129"/>
      <c r="C133" s="130" t="s">
        <v>166</v>
      </c>
      <c r="D133" s="131" t="s">
        <v>54</v>
      </c>
      <c r="E133" s="131" t="s">
        <v>50</v>
      </c>
      <c r="F133" s="131" t="s">
        <v>51</v>
      </c>
      <c r="G133" s="131" t="s">
        <v>167</v>
      </c>
      <c r="H133" s="131" t="s">
        <v>168</v>
      </c>
      <c r="I133" s="131" t="s">
        <v>169</v>
      </c>
      <c r="J133" s="132" t="s">
        <v>136</v>
      </c>
      <c r="K133" s="133" t="s">
        <v>170</v>
      </c>
      <c r="L133" s="134"/>
      <c r="M133" s="62" t="s">
        <v>1</v>
      </c>
      <c r="N133" s="63" t="s">
        <v>33</v>
      </c>
      <c r="O133" s="63" t="s">
        <v>171</v>
      </c>
      <c r="P133" s="63" t="s">
        <v>172</v>
      </c>
      <c r="Q133" s="63" t="s">
        <v>173</v>
      </c>
      <c r="R133" s="63" t="s">
        <v>174</v>
      </c>
      <c r="S133" s="63" t="s">
        <v>175</v>
      </c>
      <c r="T133" s="64" t="s">
        <v>176</v>
      </c>
      <c r="U133" s="128"/>
      <c r="V133" s="128"/>
      <c r="W133" s="128"/>
      <c r="X133" s="128"/>
      <c r="Y133" s="128"/>
      <c r="Z133" s="128"/>
      <c r="AA133" s="128"/>
      <c r="AB133" s="128"/>
      <c r="AC133" s="128"/>
      <c r="AD133" s="128"/>
      <c r="AE133" s="128"/>
    </row>
    <row r="134" spans="1:65" s="2" customFormat="1" ht="22.9" customHeight="1">
      <c r="A134" s="29"/>
      <c r="B134" s="30"/>
      <c r="C134" s="69" t="s">
        <v>137</v>
      </c>
      <c r="D134" s="29"/>
      <c r="E134" s="29"/>
      <c r="F134" s="29"/>
      <c r="G134" s="29"/>
      <c r="H134" s="29"/>
      <c r="I134" s="29"/>
      <c r="J134" s="135">
        <v>0</v>
      </c>
      <c r="K134" s="29"/>
      <c r="L134" s="30"/>
      <c r="M134" s="65"/>
      <c r="N134" s="56"/>
      <c r="O134" s="66"/>
      <c r="P134" s="136">
        <f>P135+P160+P169+P174</f>
        <v>0</v>
      </c>
      <c r="Q134" s="66"/>
      <c r="R134" s="136">
        <f>R135+R160+R169+R174</f>
        <v>0</v>
      </c>
      <c r="S134" s="66"/>
      <c r="T134" s="137">
        <f>T135+T160+T169+T174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T134" s="14" t="s">
        <v>68</v>
      </c>
      <c r="AU134" s="14" t="s">
        <v>138</v>
      </c>
      <c r="BK134" s="138">
        <f>BK135+BK160+BK169+BK174</f>
        <v>0</v>
      </c>
    </row>
    <row r="135" spans="1:65" s="12" customFormat="1" ht="25.9" customHeight="1">
      <c r="B135" s="139"/>
      <c r="D135" s="140" t="s">
        <v>68</v>
      </c>
      <c r="E135" s="141" t="s">
        <v>1935</v>
      </c>
      <c r="F135" s="141" t="s">
        <v>1935</v>
      </c>
      <c r="I135" s="142"/>
      <c r="J135" s="143">
        <v>0</v>
      </c>
      <c r="L135" s="139"/>
      <c r="M135" s="144"/>
      <c r="N135" s="145"/>
      <c r="O135" s="145"/>
      <c r="P135" s="146">
        <f>P136+P145+P148+P149+P151</f>
        <v>0</v>
      </c>
      <c r="Q135" s="145"/>
      <c r="R135" s="146">
        <f>R136+R145+R148+R149+R151</f>
        <v>0</v>
      </c>
      <c r="S135" s="145"/>
      <c r="T135" s="147">
        <f>T136+T145+T148+T149+T151</f>
        <v>0</v>
      </c>
      <c r="AR135" s="140" t="s">
        <v>76</v>
      </c>
      <c r="AT135" s="148" t="s">
        <v>68</v>
      </c>
      <c r="AU135" s="148" t="s">
        <v>69</v>
      </c>
      <c r="AY135" s="140" t="s">
        <v>179</v>
      </c>
      <c r="BK135" s="149">
        <f>BK136+BK145+BK148+BK149+BK151</f>
        <v>0</v>
      </c>
    </row>
    <row r="136" spans="1:65" s="12" customFormat="1" ht="22.9" customHeight="1">
      <c r="B136" s="139"/>
      <c r="D136" s="140" t="s">
        <v>68</v>
      </c>
      <c r="E136" s="150" t="s">
        <v>1376</v>
      </c>
      <c r="F136" s="150" t="s">
        <v>1936</v>
      </c>
      <c r="I136" s="142"/>
      <c r="J136" s="151">
        <v>0</v>
      </c>
      <c r="L136" s="139"/>
      <c r="M136" s="144"/>
      <c r="N136" s="145"/>
      <c r="O136" s="145"/>
      <c r="P136" s="146">
        <f>SUM(P137:P144)</f>
        <v>0</v>
      </c>
      <c r="Q136" s="145"/>
      <c r="R136" s="146">
        <f>SUM(R137:R144)</f>
        <v>0</v>
      </c>
      <c r="S136" s="145"/>
      <c r="T136" s="147">
        <f>SUM(T137:T144)</f>
        <v>0</v>
      </c>
      <c r="AR136" s="140" t="s">
        <v>76</v>
      </c>
      <c r="AT136" s="148" t="s">
        <v>68</v>
      </c>
      <c r="AU136" s="148" t="s">
        <v>76</v>
      </c>
      <c r="AY136" s="140" t="s">
        <v>179</v>
      </c>
      <c r="BK136" s="149">
        <f>SUM(BK137:BK144)</f>
        <v>0</v>
      </c>
    </row>
    <row r="137" spans="1:65" s="2" customFormat="1" ht="16.5" customHeight="1">
      <c r="A137" s="29"/>
      <c r="B137" s="152"/>
      <c r="C137" s="153" t="s">
        <v>76</v>
      </c>
      <c r="D137" s="153" t="s">
        <v>181</v>
      </c>
      <c r="E137" s="154" t="s">
        <v>1937</v>
      </c>
      <c r="F137" s="155" t="s">
        <v>1799</v>
      </c>
      <c r="G137" s="156" t="s">
        <v>217</v>
      </c>
      <c r="H137" s="157">
        <v>1</v>
      </c>
      <c r="I137" s="158"/>
      <c r="J137" s="151">
        <v>0</v>
      </c>
      <c r="K137" s="160"/>
      <c r="L137" s="30"/>
      <c r="M137" s="161" t="s">
        <v>1</v>
      </c>
      <c r="N137" s="162" t="s">
        <v>35</v>
      </c>
      <c r="O137" s="58"/>
      <c r="P137" s="163">
        <f t="shared" ref="P137:P144" si="0">O137*H137</f>
        <v>0</v>
      </c>
      <c r="Q137" s="163">
        <v>0</v>
      </c>
      <c r="R137" s="163">
        <f t="shared" ref="R137:R144" si="1">Q137*H137</f>
        <v>0</v>
      </c>
      <c r="S137" s="163">
        <v>0</v>
      </c>
      <c r="T137" s="164">
        <f t="shared" ref="T137:T144" si="2"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185</v>
      </c>
      <c r="AT137" s="165" t="s">
        <v>181</v>
      </c>
      <c r="AU137" s="165" t="s">
        <v>82</v>
      </c>
      <c r="AY137" s="14" t="s">
        <v>179</v>
      </c>
      <c r="BE137" s="166">
        <f t="shared" ref="BE137:BE144" si="3">IF(N137="základná",J137,0)</f>
        <v>0</v>
      </c>
      <c r="BF137" s="166">
        <f t="shared" ref="BF137:BF144" si="4">IF(N137="znížená",J137,0)</f>
        <v>0</v>
      </c>
      <c r="BG137" s="166">
        <f t="shared" ref="BG137:BG144" si="5">IF(N137="zákl. prenesená",J137,0)</f>
        <v>0</v>
      </c>
      <c r="BH137" s="166">
        <f t="shared" ref="BH137:BH144" si="6">IF(N137="zníž. prenesená",J137,0)</f>
        <v>0</v>
      </c>
      <c r="BI137" s="166">
        <f t="shared" ref="BI137:BI144" si="7">IF(N137="nulová",J137,0)</f>
        <v>0</v>
      </c>
      <c r="BJ137" s="14" t="s">
        <v>82</v>
      </c>
      <c r="BK137" s="166">
        <f t="shared" ref="BK137:BK144" si="8">ROUND(I137*H137,2)</f>
        <v>0</v>
      </c>
      <c r="BL137" s="14" t="s">
        <v>185</v>
      </c>
      <c r="BM137" s="165" t="s">
        <v>82</v>
      </c>
    </row>
    <row r="138" spans="1:65" s="2" customFormat="1" ht="16.5" customHeight="1">
      <c r="A138" s="29"/>
      <c r="B138" s="152"/>
      <c r="C138" s="153" t="s">
        <v>82</v>
      </c>
      <c r="D138" s="153" t="s">
        <v>181</v>
      </c>
      <c r="E138" s="154" t="s">
        <v>1938</v>
      </c>
      <c r="F138" s="155" t="s">
        <v>1801</v>
      </c>
      <c r="G138" s="156" t="s">
        <v>217</v>
      </c>
      <c r="H138" s="157">
        <v>1</v>
      </c>
      <c r="I138" s="158"/>
      <c r="J138" s="151">
        <v>0</v>
      </c>
      <c r="K138" s="160"/>
      <c r="L138" s="30"/>
      <c r="M138" s="161" t="s">
        <v>1</v>
      </c>
      <c r="N138" s="162" t="s">
        <v>35</v>
      </c>
      <c r="O138" s="58"/>
      <c r="P138" s="163">
        <f t="shared" si="0"/>
        <v>0</v>
      </c>
      <c r="Q138" s="163">
        <v>0</v>
      </c>
      <c r="R138" s="163">
        <f t="shared" si="1"/>
        <v>0</v>
      </c>
      <c r="S138" s="163">
        <v>0</v>
      </c>
      <c r="T138" s="164">
        <f t="shared" si="2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185</v>
      </c>
      <c r="AT138" s="165" t="s">
        <v>181</v>
      </c>
      <c r="AU138" s="165" t="s">
        <v>82</v>
      </c>
      <c r="AY138" s="14" t="s">
        <v>179</v>
      </c>
      <c r="BE138" s="166">
        <f t="shared" si="3"/>
        <v>0</v>
      </c>
      <c r="BF138" s="166">
        <f t="shared" si="4"/>
        <v>0</v>
      </c>
      <c r="BG138" s="166">
        <f t="shared" si="5"/>
        <v>0</v>
      </c>
      <c r="BH138" s="166">
        <f t="shared" si="6"/>
        <v>0</v>
      </c>
      <c r="BI138" s="166">
        <f t="shared" si="7"/>
        <v>0</v>
      </c>
      <c r="BJ138" s="14" t="s">
        <v>82</v>
      </c>
      <c r="BK138" s="166">
        <f t="shared" si="8"/>
        <v>0</v>
      </c>
      <c r="BL138" s="14" t="s">
        <v>185</v>
      </c>
      <c r="BM138" s="165" t="s">
        <v>185</v>
      </c>
    </row>
    <row r="139" spans="1:65" s="2" customFormat="1" ht="16.5" customHeight="1">
      <c r="A139" s="29"/>
      <c r="B139" s="152"/>
      <c r="C139" s="153" t="s">
        <v>188</v>
      </c>
      <c r="D139" s="153" t="s">
        <v>181</v>
      </c>
      <c r="E139" s="154" t="s">
        <v>1939</v>
      </c>
      <c r="F139" s="155" t="s">
        <v>1801</v>
      </c>
      <c r="G139" s="156" t="s">
        <v>217</v>
      </c>
      <c r="H139" s="157">
        <v>1</v>
      </c>
      <c r="I139" s="158"/>
      <c r="J139" s="151">
        <v>0</v>
      </c>
      <c r="K139" s="160"/>
      <c r="L139" s="30"/>
      <c r="M139" s="161" t="s">
        <v>1</v>
      </c>
      <c r="N139" s="162" t="s">
        <v>35</v>
      </c>
      <c r="O139" s="58"/>
      <c r="P139" s="163">
        <f t="shared" si="0"/>
        <v>0</v>
      </c>
      <c r="Q139" s="163">
        <v>0</v>
      </c>
      <c r="R139" s="163">
        <f t="shared" si="1"/>
        <v>0</v>
      </c>
      <c r="S139" s="163">
        <v>0</v>
      </c>
      <c r="T139" s="164">
        <f t="shared" si="2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185</v>
      </c>
      <c r="AT139" s="165" t="s">
        <v>181</v>
      </c>
      <c r="AU139" s="165" t="s">
        <v>82</v>
      </c>
      <c r="AY139" s="14" t="s">
        <v>179</v>
      </c>
      <c r="BE139" s="166">
        <f t="shared" si="3"/>
        <v>0</v>
      </c>
      <c r="BF139" s="166">
        <f t="shared" si="4"/>
        <v>0</v>
      </c>
      <c r="BG139" s="166">
        <f t="shared" si="5"/>
        <v>0</v>
      </c>
      <c r="BH139" s="166">
        <f t="shared" si="6"/>
        <v>0</v>
      </c>
      <c r="BI139" s="166">
        <f t="shared" si="7"/>
        <v>0</v>
      </c>
      <c r="BJ139" s="14" t="s">
        <v>82</v>
      </c>
      <c r="BK139" s="166">
        <f t="shared" si="8"/>
        <v>0</v>
      </c>
      <c r="BL139" s="14" t="s">
        <v>185</v>
      </c>
      <c r="BM139" s="165" t="s">
        <v>192</v>
      </c>
    </row>
    <row r="140" spans="1:65" s="2" customFormat="1" ht="16.5" customHeight="1">
      <c r="A140" s="29"/>
      <c r="B140" s="152"/>
      <c r="C140" s="153" t="s">
        <v>185</v>
      </c>
      <c r="D140" s="153" t="s">
        <v>181</v>
      </c>
      <c r="E140" s="154" t="s">
        <v>1940</v>
      </c>
      <c r="F140" s="155" t="s">
        <v>1801</v>
      </c>
      <c r="G140" s="156" t="s">
        <v>217</v>
      </c>
      <c r="H140" s="157">
        <v>1</v>
      </c>
      <c r="I140" s="158"/>
      <c r="J140" s="151">
        <v>0</v>
      </c>
      <c r="K140" s="160"/>
      <c r="L140" s="30"/>
      <c r="M140" s="161" t="s">
        <v>1</v>
      </c>
      <c r="N140" s="162" t="s">
        <v>35</v>
      </c>
      <c r="O140" s="58"/>
      <c r="P140" s="163">
        <f t="shared" si="0"/>
        <v>0</v>
      </c>
      <c r="Q140" s="163">
        <v>0</v>
      </c>
      <c r="R140" s="163">
        <f t="shared" si="1"/>
        <v>0</v>
      </c>
      <c r="S140" s="163">
        <v>0</v>
      </c>
      <c r="T140" s="164">
        <f t="shared" si="2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185</v>
      </c>
      <c r="AT140" s="165" t="s">
        <v>181</v>
      </c>
      <c r="AU140" s="165" t="s">
        <v>82</v>
      </c>
      <c r="AY140" s="14" t="s">
        <v>179</v>
      </c>
      <c r="BE140" s="166">
        <f t="shared" si="3"/>
        <v>0</v>
      </c>
      <c r="BF140" s="166">
        <f t="shared" si="4"/>
        <v>0</v>
      </c>
      <c r="BG140" s="166">
        <f t="shared" si="5"/>
        <v>0</v>
      </c>
      <c r="BH140" s="166">
        <f t="shared" si="6"/>
        <v>0</v>
      </c>
      <c r="BI140" s="166">
        <f t="shared" si="7"/>
        <v>0</v>
      </c>
      <c r="BJ140" s="14" t="s">
        <v>82</v>
      </c>
      <c r="BK140" s="166">
        <f t="shared" si="8"/>
        <v>0</v>
      </c>
      <c r="BL140" s="14" t="s">
        <v>185</v>
      </c>
      <c r="BM140" s="165" t="s">
        <v>197</v>
      </c>
    </row>
    <row r="141" spans="1:65" s="2" customFormat="1" ht="55.5" customHeight="1">
      <c r="A141" s="29"/>
      <c r="B141" s="152"/>
      <c r="C141" s="153" t="s">
        <v>198</v>
      </c>
      <c r="D141" s="153" t="s">
        <v>181</v>
      </c>
      <c r="E141" s="154" t="s">
        <v>1941</v>
      </c>
      <c r="F141" s="155" t="s">
        <v>1942</v>
      </c>
      <c r="G141" s="156" t="s">
        <v>217</v>
      </c>
      <c r="H141" s="157">
        <v>1</v>
      </c>
      <c r="I141" s="158"/>
      <c r="J141" s="151">
        <v>0</v>
      </c>
      <c r="K141" s="160"/>
      <c r="L141" s="30"/>
      <c r="M141" s="161" t="s">
        <v>1</v>
      </c>
      <c r="N141" s="162" t="s">
        <v>35</v>
      </c>
      <c r="O141" s="58"/>
      <c r="P141" s="163">
        <f t="shared" si="0"/>
        <v>0</v>
      </c>
      <c r="Q141" s="163">
        <v>0</v>
      </c>
      <c r="R141" s="163">
        <f t="shared" si="1"/>
        <v>0</v>
      </c>
      <c r="S141" s="163">
        <v>0</v>
      </c>
      <c r="T141" s="164">
        <f t="shared" si="2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5" t="s">
        <v>185</v>
      </c>
      <c r="AT141" s="165" t="s">
        <v>181</v>
      </c>
      <c r="AU141" s="165" t="s">
        <v>82</v>
      </c>
      <c r="AY141" s="14" t="s">
        <v>179</v>
      </c>
      <c r="BE141" s="166">
        <f t="shared" si="3"/>
        <v>0</v>
      </c>
      <c r="BF141" s="166">
        <f t="shared" si="4"/>
        <v>0</v>
      </c>
      <c r="BG141" s="166">
        <f t="shared" si="5"/>
        <v>0</v>
      </c>
      <c r="BH141" s="166">
        <f t="shared" si="6"/>
        <v>0</v>
      </c>
      <c r="BI141" s="166">
        <f t="shared" si="7"/>
        <v>0</v>
      </c>
      <c r="BJ141" s="14" t="s">
        <v>82</v>
      </c>
      <c r="BK141" s="166">
        <f t="shared" si="8"/>
        <v>0</v>
      </c>
      <c r="BL141" s="14" t="s">
        <v>185</v>
      </c>
      <c r="BM141" s="165" t="s">
        <v>201</v>
      </c>
    </row>
    <row r="142" spans="1:65" s="2" customFormat="1" ht="55.5" customHeight="1">
      <c r="A142" s="29"/>
      <c r="B142" s="152"/>
      <c r="C142" s="153" t="s">
        <v>192</v>
      </c>
      <c r="D142" s="153" t="s">
        <v>181</v>
      </c>
      <c r="E142" s="154" t="s">
        <v>1943</v>
      </c>
      <c r="F142" s="155" t="s">
        <v>1944</v>
      </c>
      <c r="G142" s="156" t="s">
        <v>217</v>
      </c>
      <c r="H142" s="157">
        <v>1</v>
      </c>
      <c r="I142" s="158"/>
      <c r="J142" s="151">
        <v>0</v>
      </c>
      <c r="K142" s="160"/>
      <c r="L142" s="30"/>
      <c r="M142" s="161" t="s">
        <v>1</v>
      </c>
      <c r="N142" s="162" t="s">
        <v>35</v>
      </c>
      <c r="O142" s="58"/>
      <c r="P142" s="163">
        <f t="shared" si="0"/>
        <v>0</v>
      </c>
      <c r="Q142" s="163">
        <v>0</v>
      </c>
      <c r="R142" s="163">
        <f t="shared" si="1"/>
        <v>0</v>
      </c>
      <c r="S142" s="163">
        <v>0</v>
      </c>
      <c r="T142" s="164">
        <f t="shared" si="2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5" t="s">
        <v>185</v>
      </c>
      <c r="AT142" s="165" t="s">
        <v>181</v>
      </c>
      <c r="AU142" s="165" t="s">
        <v>82</v>
      </c>
      <c r="AY142" s="14" t="s">
        <v>179</v>
      </c>
      <c r="BE142" s="166">
        <f t="shared" si="3"/>
        <v>0</v>
      </c>
      <c r="BF142" s="166">
        <f t="shared" si="4"/>
        <v>0</v>
      </c>
      <c r="BG142" s="166">
        <f t="shared" si="5"/>
        <v>0</v>
      </c>
      <c r="BH142" s="166">
        <f t="shared" si="6"/>
        <v>0</v>
      </c>
      <c r="BI142" s="166">
        <f t="shared" si="7"/>
        <v>0</v>
      </c>
      <c r="BJ142" s="14" t="s">
        <v>82</v>
      </c>
      <c r="BK142" s="166">
        <f t="shared" si="8"/>
        <v>0</v>
      </c>
      <c r="BL142" s="14" t="s">
        <v>185</v>
      </c>
      <c r="BM142" s="165" t="s">
        <v>205</v>
      </c>
    </row>
    <row r="143" spans="1:65" s="2" customFormat="1" ht="44.25" customHeight="1">
      <c r="A143" s="29"/>
      <c r="B143" s="152"/>
      <c r="C143" s="153" t="s">
        <v>207</v>
      </c>
      <c r="D143" s="153" t="s">
        <v>181</v>
      </c>
      <c r="E143" s="154" t="s">
        <v>1945</v>
      </c>
      <c r="F143" s="155" t="s">
        <v>1946</v>
      </c>
      <c r="G143" s="156" t="s">
        <v>217</v>
      </c>
      <c r="H143" s="157">
        <v>1</v>
      </c>
      <c r="I143" s="158"/>
      <c r="J143" s="151">
        <v>0</v>
      </c>
      <c r="K143" s="160"/>
      <c r="L143" s="30"/>
      <c r="M143" s="161" t="s">
        <v>1</v>
      </c>
      <c r="N143" s="162" t="s">
        <v>35</v>
      </c>
      <c r="O143" s="58"/>
      <c r="P143" s="163">
        <f t="shared" si="0"/>
        <v>0</v>
      </c>
      <c r="Q143" s="163">
        <v>0</v>
      </c>
      <c r="R143" s="163">
        <f t="shared" si="1"/>
        <v>0</v>
      </c>
      <c r="S143" s="163">
        <v>0</v>
      </c>
      <c r="T143" s="164">
        <f t="shared" si="2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185</v>
      </c>
      <c r="AT143" s="165" t="s">
        <v>181</v>
      </c>
      <c r="AU143" s="165" t="s">
        <v>82</v>
      </c>
      <c r="AY143" s="14" t="s">
        <v>179</v>
      </c>
      <c r="BE143" s="166">
        <f t="shared" si="3"/>
        <v>0</v>
      </c>
      <c r="BF143" s="166">
        <f t="shared" si="4"/>
        <v>0</v>
      </c>
      <c r="BG143" s="166">
        <f t="shared" si="5"/>
        <v>0</v>
      </c>
      <c r="BH143" s="166">
        <f t="shared" si="6"/>
        <v>0</v>
      </c>
      <c r="BI143" s="166">
        <f t="shared" si="7"/>
        <v>0</v>
      </c>
      <c r="BJ143" s="14" t="s">
        <v>82</v>
      </c>
      <c r="BK143" s="166">
        <f t="shared" si="8"/>
        <v>0</v>
      </c>
      <c r="BL143" s="14" t="s">
        <v>185</v>
      </c>
      <c r="BM143" s="165" t="s">
        <v>210</v>
      </c>
    </row>
    <row r="144" spans="1:65" s="2" customFormat="1" ht="21.75" customHeight="1">
      <c r="A144" s="29"/>
      <c r="B144" s="152"/>
      <c r="C144" s="153" t="s">
        <v>197</v>
      </c>
      <c r="D144" s="153" t="s">
        <v>181</v>
      </c>
      <c r="E144" s="154" t="s">
        <v>1947</v>
      </c>
      <c r="F144" s="155" t="s">
        <v>1388</v>
      </c>
      <c r="G144" s="156" t="s">
        <v>217</v>
      </c>
      <c r="H144" s="157">
        <v>1</v>
      </c>
      <c r="I144" s="158"/>
      <c r="J144" s="151">
        <v>0</v>
      </c>
      <c r="K144" s="160"/>
      <c r="L144" s="30"/>
      <c r="M144" s="161" t="s">
        <v>1</v>
      </c>
      <c r="N144" s="162" t="s">
        <v>35</v>
      </c>
      <c r="O144" s="58"/>
      <c r="P144" s="163">
        <f t="shared" si="0"/>
        <v>0</v>
      </c>
      <c r="Q144" s="163">
        <v>0</v>
      </c>
      <c r="R144" s="163">
        <f t="shared" si="1"/>
        <v>0</v>
      </c>
      <c r="S144" s="163">
        <v>0</v>
      </c>
      <c r="T144" s="164">
        <f t="shared" si="2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5" t="s">
        <v>185</v>
      </c>
      <c r="AT144" s="165" t="s">
        <v>181</v>
      </c>
      <c r="AU144" s="165" t="s">
        <v>82</v>
      </c>
      <c r="AY144" s="14" t="s">
        <v>179</v>
      </c>
      <c r="BE144" s="166">
        <f t="shared" si="3"/>
        <v>0</v>
      </c>
      <c r="BF144" s="166">
        <f t="shared" si="4"/>
        <v>0</v>
      </c>
      <c r="BG144" s="166">
        <f t="shared" si="5"/>
        <v>0</v>
      </c>
      <c r="BH144" s="166">
        <f t="shared" si="6"/>
        <v>0</v>
      </c>
      <c r="BI144" s="166">
        <f t="shared" si="7"/>
        <v>0</v>
      </c>
      <c r="BJ144" s="14" t="s">
        <v>82</v>
      </c>
      <c r="BK144" s="166">
        <f t="shared" si="8"/>
        <v>0</v>
      </c>
      <c r="BL144" s="14" t="s">
        <v>185</v>
      </c>
      <c r="BM144" s="165" t="s">
        <v>213</v>
      </c>
    </row>
    <row r="145" spans="1:65" s="12" customFormat="1" ht="22.9" customHeight="1">
      <c r="B145" s="139"/>
      <c r="D145" s="140" t="s">
        <v>68</v>
      </c>
      <c r="E145" s="150" t="s">
        <v>1389</v>
      </c>
      <c r="F145" s="150" t="s">
        <v>1948</v>
      </c>
      <c r="I145" s="142"/>
      <c r="J145" s="151">
        <v>0</v>
      </c>
      <c r="L145" s="139"/>
      <c r="M145" s="144"/>
      <c r="N145" s="145"/>
      <c r="O145" s="145"/>
      <c r="P145" s="146">
        <f>SUM(P146:P147)</f>
        <v>0</v>
      </c>
      <c r="Q145" s="145"/>
      <c r="R145" s="146">
        <f>SUM(R146:R147)</f>
        <v>0</v>
      </c>
      <c r="S145" s="145"/>
      <c r="T145" s="147">
        <f>SUM(T146:T147)</f>
        <v>0</v>
      </c>
      <c r="AR145" s="140" t="s">
        <v>76</v>
      </c>
      <c r="AT145" s="148" t="s">
        <v>68</v>
      </c>
      <c r="AU145" s="148" t="s">
        <v>76</v>
      </c>
      <c r="AY145" s="140" t="s">
        <v>179</v>
      </c>
      <c r="BK145" s="149">
        <f>SUM(BK146:BK147)</f>
        <v>0</v>
      </c>
    </row>
    <row r="146" spans="1:65" s="2" customFormat="1" ht="16.5" customHeight="1">
      <c r="A146" s="29"/>
      <c r="B146" s="152"/>
      <c r="C146" s="153" t="s">
        <v>214</v>
      </c>
      <c r="D146" s="153" t="s">
        <v>181</v>
      </c>
      <c r="E146" s="154" t="s">
        <v>1949</v>
      </c>
      <c r="F146" s="155" t="s">
        <v>1801</v>
      </c>
      <c r="G146" s="156" t="s">
        <v>217</v>
      </c>
      <c r="H146" s="157">
        <v>1</v>
      </c>
      <c r="I146" s="158"/>
      <c r="J146" s="151">
        <v>0</v>
      </c>
      <c r="K146" s="160"/>
      <c r="L146" s="30"/>
      <c r="M146" s="161" t="s">
        <v>1</v>
      </c>
      <c r="N146" s="162" t="s">
        <v>35</v>
      </c>
      <c r="O146" s="58"/>
      <c r="P146" s="163">
        <f>O146*H146</f>
        <v>0</v>
      </c>
      <c r="Q146" s="163">
        <v>0</v>
      </c>
      <c r="R146" s="163">
        <f>Q146*H146</f>
        <v>0</v>
      </c>
      <c r="S146" s="163">
        <v>0</v>
      </c>
      <c r="T146" s="164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5" t="s">
        <v>185</v>
      </c>
      <c r="AT146" s="165" t="s">
        <v>181</v>
      </c>
      <c r="AU146" s="165" t="s">
        <v>82</v>
      </c>
      <c r="AY146" s="14" t="s">
        <v>179</v>
      </c>
      <c r="BE146" s="166">
        <f>IF(N146="základná",J146,0)</f>
        <v>0</v>
      </c>
      <c r="BF146" s="166">
        <f>IF(N146="znížená",J146,0)</f>
        <v>0</v>
      </c>
      <c r="BG146" s="166">
        <f>IF(N146="zákl. prenesená",J146,0)</f>
        <v>0</v>
      </c>
      <c r="BH146" s="166">
        <f>IF(N146="zníž. prenesená",J146,0)</f>
        <v>0</v>
      </c>
      <c r="BI146" s="166">
        <f>IF(N146="nulová",J146,0)</f>
        <v>0</v>
      </c>
      <c r="BJ146" s="14" t="s">
        <v>82</v>
      </c>
      <c r="BK146" s="166">
        <f>ROUND(I146*H146,2)</f>
        <v>0</v>
      </c>
      <c r="BL146" s="14" t="s">
        <v>185</v>
      </c>
      <c r="BM146" s="165" t="s">
        <v>218</v>
      </c>
    </row>
    <row r="147" spans="1:65" s="2" customFormat="1" ht="55.5" customHeight="1">
      <c r="A147" s="29"/>
      <c r="B147" s="152"/>
      <c r="C147" s="153" t="s">
        <v>201</v>
      </c>
      <c r="D147" s="153" t="s">
        <v>181</v>
      </c>
      <c r="E147" s="154" t="s">
        <v>1950</v>
      </c>
      <c r="F147" s="155" t="s">
        <v>1951</v>
      </c>
      <c r="G147" s="156" t="s">
        <v>217</v>
      </c>
      <c r="H147" s="157">
        <v>1</v>
      </c>
      <c r="I147" s="158"/>
      <c r="J147" s="151">
        <v>0</v>
      </c>
      <c r="K147" s="160"/>
      <c r="L147" s="30"/>
      <c r="M147" s="161" t="s">
        <v>1</v>
      </c>
      <c r="N147" s="162" t="s">
        <v>35</v>
      </c>
      <c r="O147" s="58"/>
      <c r="P147" s="163">
        <f>O147*H147</f>
        <v>0</v>
      </c>
      <c r="Q147" s="163">
        <v>0</v>
      </c>
      <c r="R147" s="163">
        <f>Q147*H147</f>
        <v>0</v>
      </c>
      <c r="S147" s="163">
        <v>0</v>
      </c>
      <c r="T147" s="164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5" t="s">
        <v>185</v>
      </c>
      <c r="AT147" s="165" t="s">
        <v>181</v>
      </c>
      <c r="AU147" s="165" t="s">
        <v>82</v>
      </c>
      <c r="AY147" s="14" t="s">
        <v>179</v>
      </c>
      <c r="BE147" s="166">
        <f>IF(N147="základná",J147,0)</f>
        <v>0</v>
      </c>
      <c r="BF147" s="166">
        <f>IF(N147="znížená",J147,0)</f>
        <v>0</v>
      </c>
      <c r="BG147" s="166">
        <f>IF(N147="zákl. prenesená",J147,0)</f>
        <v>0</v>
      </c>
      <c r="BH147" s="166">
        <f>IF(N147="zníž. prenesená",J147,0)</f>
        <v>0</v>
      </c>
      <c r="BI147" s="166">
        <f>IF(N147="nulová",J147,0)</f>
        <v>0</v>
      </c>
      <c r="BJ147" s="14" t="s">
        <v>82</v>
      </c>
      <c r="BK147" s="166">
        <f>ROUND(I147*H147,2)</f>
        <v>0</v>
      </c>
      <c r="BL147" s="14" t="s">
        <v>185</v>
      </c>
      <c r="BM147" s="165" t="s">
        <v>221</v>
      </c>
    </row>
    <row r="148" spans="1:65" s="12" customFormat="1" ht="22.9" customHeight="1">
      <c r="B148" s="139"/>
      <c r="D148" s="140" t="s">
        <v>68</v>
      </c>
      <c r="E148" s="150" t="s">
        <v>1391</v>
      </c>
      <c r="F148" s="150" t="s">
        <v>1952</v>
      </c>
      <c r="I148" s="142"/>
      <c r="J148" s="151">
        <v>0</v>
      </c>
      <c r="L148" s="139"/>
      <c r="M148" s="144"/>
      <c r="N148" s="145"/>
      <c r="O148" s="145"/>
      <c r="P148" s="146">
        <v>0</v>
      </c>
      <c r="Q148" s="145"/>
      <c r="R148" s="146">
        <v>0</v>
      </c>
      <c r="S148" s="145"/>
      <c r="T148" s="147">
        <v>0</v>
      </c>
      <c r="AR148" s="140" t="s">
        <v>76</v>
      </c>
      <c r="AT148" s="148" t="s">
        <v>68</v>
      </c>
      <c r="AU148" s="148" t="s">
        <v>76</v>
      </c>
      <c r="AY148" s="140" t="s">
        <v>179</v>
      </c>
      <c r="BK148" s="149">
        <v>0</v>
      </c>
    </row>
    <row r="149" spans="1:65" s="12" customFormat="1" ht="22.9" customHeight="1">
      <c r="B149" s="139"/>
      <c r="D149" s="140" t="s">
        <v>68</v>
      </c>
      <c r="E149" s="150" t="s">
        <v>1395</v>
      </c>
      <c r="F149" s="150" t="s">
        <v>1953</v>
      </c>
      <c r="I149" s="142"/>
      <c r="J149" s="151">
        <v>0</v>
      </c>
      <c r="L149" s="139"/>
      <c r="M149" s="144"/>
      <c r="N149" s="145"/>
      <c r="O149" s="145"/>
      <c r="P149" s="146">
        <f>P150</f>
        <v>0</v>
      </c>
      <c r="Q149" s="145"/>
      <c r="R149" s="146">
        <f>R150</f>
        <v>0</v>
      </c>
      <c r="S149" s="145"/>
      <c r="T149" s="147">
        <f>T150</f>
        <v>0</v>
      </c>
      <c r="AR149" s="140" t="s">
        <v>76</v>
      </c>
      <c r="AT149" s="148" t="s">
        <v>68</v>
      </c>
      <c r="AU149" s="148" t="s">
        <v>76</v>
      </c>
      <c r="AY149" s="140" t="s">
        <v>179</v>
      </c>
      <c r="BK149" s="149">
        <f>BK150</f>
        <v>0</v>
      </c>
    </row>
    <row r="150" spans="1:65" s="2" customFormat="1" ht="16.5" customHeight="1">
      <c r="A150" s="29"/>
      <c r="B150" s="152"/>
      <c r="C150" s="153" t="s">
        <v>222</v>
      </c>
      <c r="D150" s="153" t="s">
        <v>181</v>
      </c>
      <c r="E150" s="154" t="s">
        <v>1954</v>
      </c>
      <c r="F150" s="155" t="s">
        <v>1815</v>
      </c>
      <c r="G150" s="156" t="s">
        <v>217</v>
      </c>
      <c r="H150" s="157">
        <v>1</v>
      </c>
      <c r="I150" s="158"/>
      <c r="J150" s="151">
        <v>0</v>
      </c>
      <c r="K150" s="160"/>
      <c r="L150" s="30"/>
      <c r="M150" s="161" t="s">
        <v>1</v>
      </c>
      <c r="N150" s="162" t="s">
        <v>35</v>
      </c>
      <c r="O150" s="58"/>
      <c r="P150" s="163">
        <f>O150*H150</f>
        <v>0</v>
      </c>
      <c r="Q150" s="163">
        <v>0</v>
      </c>
      <c r="R150" s="163">
        <f>Q150*H150</f>
        <v>0</v>
      </c>
      <c r="S150" s="163">
        <v>0</v>
      </c>
      <c r="T150" s="164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5" t="s">
        <v>185</v>
      </c>
      <c r="AT150" s="165" t="s">
        <v>181</v>
      </c>
      <c r="AU150" s="165" t="s">
        <v>82</v>
      </c>
      <c r="AY150" s="14" t="s">
        <v>179</v>
      </c>
      <c r="BE150" s="166">
        <f>IF(N150="základná",J150,0)</f>
        <v>0</v>
      </c>
      <c r="BF150" s="166">
        <f>IF(N150="znížená",J150,0)</f>
        <v>0</v>
      </c>
      <c r="BG150" s="166">
        <f>IF(N150="zákl. prenesená",J150,0)</f>
        <v>0</v>
      </c>
      <c r="BH150" s="166">
        <f>IF(N150="zníž. prenesená",J150,0)</f>
        <v>0</v>
      </c>
      <c r="BI150" s="166">
        <f>IF(N150="nulová",J150,0)</f>
        <v>0</v>
      </c>
      <c r="BJ150" s="14" t="s">
        <v>82</v>
      </c>
      <c r="BK150" s="166">
        <f>ROUND(I150*H150,2)</f>
        <v>0</v>
      </c>
      <c r="BL150" s="14" t="s">
        <v>185</v>
      </c>
      <c r="BM150" s="165" t="s">
        <v>225</v>
      </c>
    </row>
    <row r="151" spans="1:65" s="12" customFormat="1" ht="22.9" customHeight="1">
      <c r="B151" s="139"/>
      <c r="D151" s="140" t="s">
        <v>68</v>
      </c>
      <c r="E151" s="150" t="s">
        <v>1405</v>
      </c>
      <c r="F151" s="150" t="s">
        <v>1955</v>
      </c>
      <c r="I151" s="142"/>
      <c r="J151" s="151">
        <v>0</v>
      </c>
      <c r="L151" s="139"/>
      <c r="M151" s="144"/>
      <c r="N151" s="145"/>
      <c r="O151" s="145"/>
      <c r="P151" s="146">
        <f>SUM(P152:P159)</f>
        <v>0</v>
      </c>
      <c r="Q151" s="145"/>
      <c r="R151" s="146">
        <f>SUM(R152:R159)</f>
        <v>0</v>
      </c>
      <c r="S151" s="145"/>
      <c r="T151" s="147">
        <f>SUM(T152:T159)</f>
        <v>0</v>
      </c>
      <c r="AR151" s="140" t="s">
        <v>76</v>
      </c>
      <c r="AT151" s="148" t="s">
        <v>68</v>
      </c>
      <c r="AU151" s="148" t="s">
        <v>76</v>
      </c>
      <c r="AY151" s="140" t="s">
        <v>179</v>
      </c>
      <c r="BK151" s="149">
        <f>SUM(BK152:BK159)</f>
        <v>0</v>
      </c>
    </row>
    <row r="152" spans="1:65" s="2" customFormat="1" ht="21.75" customHeight="1">
      <c r="A152" s="29"/>
      <c r="B152" s="152"/>
      <c r="C152" s="153" t="s">
        <v>205</v>
      </c>
      <c r="D152" s="153" t="s">
        <v>181</v>
      </c>
      <c r="E152" s="154" t="s">
        <v>1956</v>
      </c>
      <c r="F152" s="155" t="s">
        <v>1818</v>
      </c>
      <c r="G152" s="156" t="s">
        <v>217</v>
      </c>
      <c r="H152" s="157">
        <v>1</v>
      </c>
      <c r="I152" s="158"/>
      <c r="J152" s="151">
        <v>0</v>
      </c>
      <c r="K152" s="160"/>
      <c r="L152" s="30"/>
      <c r="M152" s="161" t="s">
        <v>1</v>
      </c>
      <c r="N152" s="162" t="s">
        <v>35</v>
      </c>
      <c r="O152" s="58"/>
      <c r="P152" s="163">
        <f t="shared" ref="P152:P159" si="9">O152*H152</f>
        <v>0</v>
      </c>
      <c r="Q152" s="163">
        <v>0</v>
      </c>
      <c r="R152" s="163">
        <f t="shared" ref="R152:R159" si="10">Q152*H152</f>
        <v>0</v>
      </c>
      <c r="S152" s="163">
        <v>0</v>
      </c>
      <c r="T152" s="164">
        <f t="shared" ref="T152:T159" si="11"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5" t="s">
        <v>185</v>
      </c>
      <c r="AT152" s="165" t="s">
        <v>181</v>
      </c>
      <c r="AU152" s="165" t="s">
        <v>82</v>
      </c>
      <c r="AY152" s="14" t="s">
        <v>179</v>
      </c>
      <c r="BE152" s="166">
        <f t="shared" ref="BE152:BE159" si="12">IF(N152="základná",J152,0)</f>
        <v>0</v>
      </c>
      <c r="BF152" s="166">
        <f t="shared" ref="BF152:BF159" si="13">IF(N152="znížená",J152,0)</f>
        <v>0</v>
      </c>
      <c r="BG152" s="166">
        <f t="shared" ref="BG152:BG159" si="14">IF(N152="zákl. prenesená",J152,0)</f>
        <v>0</v>
      </c>
      <c r="BH152" s="166">
        <f t="shared" ref="BH152:BH159" si="15">IF(N152="zníž. prenesená",J152,0)</f>
        <v>0</v>
      </c>
      <c r="BI152" s="166">
        <f t="shared" ref="BI152:BI159" si="16">IF(N152="nulová",J152,0)</f>
        <v>0</v>
      </c>
      <c r="BJ152" s="14" t="s">
        <v>82</v>
      </c>
      <c r="BK152" s="166">
        <f t="shared" ref="BK152:BK159" si="17">ROUND(I152*H152,2)</f>
        <v>0</v>
      </c>
      <c r="BL152" s="14" t="s">
        <v>185</v>
      </c>
      <c r="BM152" s="165" t="s">
        <v>228</v>
      </c>
    </row>
    <row r="153" spans="1:65" s="2" customFormat="1" ht="21.75" customHeight="1">
      <c r="A153" s="29"/>
      <c r="B153" s="152"/>
      <c r="C153" s="153" t="s">
        <v>229</v>
      </c>
      <c r="D153" s="153" t="s">
        <v>181</v>
      </c>
      <c r="E153" s="154" t="s">
        <v>1957</v>
      </c>
      <c r="F153" s="155" t="s">
        <v>1818</v>
      </c>
      <c r="G153" s="156" t="s">
        <v>217</v>
      </c>
      <c r="H153" s="157">
        <v>1</v>
      </c>
      <c r="I153" s="158"/>
      <c r="J153" s="151">
        <v>0</v>
      </c>
      <c r="K153" s="160"/>
      <c r="L153" s="30"/>
      <c r="M153" s="161" t="s">
        <v>1</v>
      </c>
      <c r="N153" s="162" t="s">
        <v>35</v>
      </c>
      <c r="O153" s="58"/>
      <c r="P153" s="163">
        <f t="shared" si="9"/>
        <v>0</v>
      </c>
      <c r="Q153" s="163">
        <v>0</v>
      </c>
      <c r="R153" s="163">
        <f t="shared" si="10"/>
        <v>0</v>
      </c>
      <c r="S153" s="163">
        <v>0</v>
      </c>
      <c r="T153" s="164">
        <f t="shared" si="11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5" t="s">
        <v>185</v>
      </c>
      <c r="AT153" s="165" t="s">
        <v>181</v>
      </c>
      <c r="AU153" s="165" t="s">
        <v>82</v>
      </c>
      <c r="AY153" s="14" t="s">
        <v>179</v>
      </c>
      <c r="BE153" s="166">
        <f t="shared" si="12"/>
        <v>0</v>
      </c>
      <c r="BF153" s="166">
        <f t="shared" si="13"/>
        <v>0</v>
      </c>
      <c r="BG153" s="166">
        <f t="shared" si="14"/>
        <v>0</v>
      </c>
      <c r="BH153" s="166">
        <f t="shared" si="15"/>
        <v>0</v>
      </c>
      <c r="BI153" s="166">
        <f t="shared" si="16"/>
        <v>0</v>
      </c>
      <c r="BJ153" s="14" t="s">
        <v>82</v>
      </c>
      <c r="BK153" s="166">
        <f t="shared" si="17"/>
        <v>0</v>
      </c>
      <c r="BL153" s="14" t="s">
        <v>185</v>
      </c>
      <c r="BM153" s="165" t="s">
        <v>232</v>
      </c>
    </row>
    <row r="154" spans="1:65" s="2" customFormat="1" ht="24.2" customHeight="1">
      <c r="A154" s="29"/>
      <c r="B154" s="152"/>
      <c r="C154" s="153" t="s">
        <v>210</v>
      </c>
      <c r="D154" s="153" t="s">
        <v>181</v>
      </c>
      <c r="E154" s="154" t="s">
        <v>1958</v>
      </c>
      <c r="F154" s="155" t="s">
        <v>1820</v>
      </c>
      <c r="G154" s="156" t="s">
        <v>217</v>
      </c>
      <c r="H154" s="157">
        <v>1</v>
      </c>
      <c r="I154" s="158"/>
      <c r="J154" s="151">
        <v>0</v>
      </c>
      <c r="K154" s="160"/>
      <c r="L154" s="30"/>
      <c r="M154" s="161" t="s">
        <v>1</v>
      </c>
      <c r="N154" s="162" t="s">
        <v>35</v>
      </c>
      <c r="O154" s="58"/>
      <c r="P154" s="163">
        <f t="shared" si="9"/>
        <v>0</v>
      </c>
      <c r="Q154" s="163">
        <v>0</v>
      </c>
      <c r="R154" s="163">
        <f t="shared" si="10"/>
        <v>0</v>
      </c>
      <c r="S154" s="163">
        <v>0</v>
      </c>
      <c r="T154" s="164">
        <f t="shared" si="11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5" t="s">
        <v>185</v>
      </c>
      <c r="AT154" s="165" t="s">
        <v>181</v>
      </c>
      <c r="AU154" s="165" t="s">
        <v>82</v>
      </c>
      <c r="AY154" s="14" t="s">
        <v>179</v>
      </c>
      <c r="BE154" s="166">
        <f t="shared" si="12"/>
        <v>0</v>
      </c>
      <c r="BF154" s="166">
        <f t="shared" si="13"/>
        <v>0</v>
      </c>
      <c r="BG154" s="166">
        <f t="shared" si="14"/>
        <v>0</v>
      </c>
      <c r="BH154" s="166">
        <f t="shared" si="15"/>
        <v>0</v>
      </c>
      <c r="BI154" s="166">
        <f t="shared" si="16"/>
        <v>0</v>
      </c>
      <c r="BJ154" s="14" t="s">
        <v>82</v>
      </c>
      <c r="BK154" s="166">
        <f t="shared" si="17"/>
        <v>0</v>
      </c>
      <c r="BL154" s="14" t="s">
        <v>185</v>
      </c>
      <c r="BM154" s="165" t="s">
        <v>235</v>
      </c>
    </row>
    <row r="155" spans="1:65" s="2" customFormat="1" ht="44.25" customHeight="1">
      <c r="A155" s="29"/>
      <c r="B155" s="152"/>
      <c r="C155" s="153" t="s">
        <v>236</v>
      </c>
      <c r="D155" s="153" t="s">
        <v>181</v>
      </c>
      <c r="E155" s="154" t="s">
        <v>1959</v>
      </c>
      <c r="F155" s="155" t="s">
        <v>1822</v>
      </c>
      <c r="G155" s="156" t="s">
        <v>217</v>
      </c>
      <c r="H155" s="157">
        <v>1</v>
      </c>
      <c r="I155" s="158"/>
      <c r="J155" s="151">
        <v>0</v>
      </c>
      <c r="K155" s="160"/>
      <c r="L155" s="30"/>
      <c r="M155" s="161" t="s">
        <v>1</v>
      </c>
      <c r="N155" s="162" t="s">
        <v>35</v>
      </c>
      <c r="O155" s="58"/>
      <c r="P155" s="163">
        <f t="shared" si="9"/>
        <v>0</v>
      </c>
      <c r="Q155" s="163">
        <v>0</v>
      </c>
      <c r="R155" s="163">
        <f t="shared" si="10"/>
        <v>0</v>
      </c>
      <c r="S155" s="163">
        <v>0</v>
      </c>
      <c r="T155" s="164">
        <f t="shared" si="11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5" t="s">
        <v>185</v>
      </c>
      <c r="AT155" s="165" t="s">
        <v>181</v>
      </c>
      <c r="AU155" s="165" t="s">
        <v>82</v>
      </c>
      <c r="AY155" s="14" t="s">
        <v>179</v>
      </c>
      <c r="BE155" s="166">
        <f t="shared" si="12"/>
        <v>0</v>
      </c>
      <c r="BF155" s="166">
        <f t="shared" si="13"/>
        <v>0</v>
      </c>
      <c r="BG155" s="166">
        <f t="shared" si="14"/>
        <v>0</v>
      </c>
      <c r="BH155" s="166">
        <f t="shared" si="15"/>
        <v>0</v>
      </c>
      <c r="BI155" s="166">
        <f t="shared" si="16"/>
        <v>0</v>
      </c>
      <c r="BJ155" s="14" t="s">
        <v>82</v>
      </c>
      <c r="BK155" s="166">
        <f t="shared" si="17"/>
        <v>0</v>
      </c>
      <c r="BL155" s="14" t="s">
        <v>185</v>
      </c>
      <c r="BM155" s="165" t="s">
        <v>239</v>
      </c>
    </row>
    <row r="156" spans="1:65" s="2" customFormat="1" ht="24.2" customHeight="1">
      <c r="A156" s="29"/>
      <c r="B156" s="152"/>
      <c r="C156" s="153" t="s">
        <v>213</v>
      </c>
      <c r="D156" s="153" t="s">
        <v>181</v>
      </c>
      <c r="E156" s="154" t="s">
        <v>1960</v>
      </c>
      <c r="F156" s="155" t="s">
        <v>1820</v>
      </c>
      <c r="G156" s="156" t="s">
        <v>217</v>
      </c>
      <c r="H156" s="157">
        <v>1</v>
      </c>
      <c r="I156" s="158"/>
      <c r="J156" s="151">
        <v>0</v>
      </c>
      <c r="K156" s="160"/>
      <c r="L156" s="30"/>
      <c r="M156" s="161" t="s">
        <v>1</v>
      </c>
      <c r="N156" s="162" t="s">
        <v>35</v>
      </c>
      <c r="O156" s="58"/>
      <c r="P156" s="163">
        <f t="shared" si="9"/>
        <v>0</v>
      </c>
      <c r="Q156" s="163">
        <v>0</v>
      </c>
      <c r="R156" s="163">
        <f t="shared" si="10"/>
        <v>0</v>
      </c>
      <c r="S156" s="163">
        <v>0</v>
      </c>
      <c r="T156" s="164">
        <f t="shared" si="11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5" t="s">
        <v>185</v>
      </c>
      <c r="AT156" s="165" t="s">
        <v>181</v>
      </c>
      <c r="AU156" s="165" t="s">
        <v>82</v>
      </c>
      <c r="AY156" s="14" t="s">
        <v>179</v>
      </c>
      <c r="BE156" s="166">
        <f t="shared" si="12"/>
        <v>0</v>
      </c>
      <c r="BF156" s="166">
        <f t="shared" si="13"/>
        <v>0</v>
      </c>
      <c r="BG156" s="166">
        <f t="shared" si="14"/>
        <v>0</v>
      </c>
      <c r="BH156" s="166">
        <f t="shared" si="15"/>
        <v>0</v>
      </c>
      <c r="BI156" s="166">
        <f t="shared" si="16"/>
        <v>0</v>
      </c>
      <c r="BJ156" s="14" t="s">
        <v>82</v>
      </c>
      <c r="BK156" s="166">
        <f t="shared" si="17"/>
        <v>0</v>
      </c>
      <c r="BL156" s="14" t="s">
        <v>185</v>
      </c>
      <c r="BM156" s="165" t="s">
        <v>242</v>
      </c>
    </row>
    <row r="157" spans="1:65" s="2" customFormat="1" ht="44.25" customHeight="1">
      <c r="A157" s="29"/>
      <c r="B157" s="152"/>
      <c r="C157" s="153" t="s">
        <v>243</v>
      </c>
      <c r="D157" s="153" t="s">
        <v>181</v>
      </c>
      <c r="E157" s="154" t="s">
        <v>1961</v>
      </c>
      <c r="F157" s="155" t="s">
        <v>1822</v>
      </c>
      <c r="G157" s="156" t="s">
        <v>217</v>
      </c>
      <c r="H157" s="157">
        <v>1</v>
      </c>
      <c r="I157" s="158"/>
      <c r="J157" s="151">
        <v>0</v>
      </c>
      <c r="K157" s="160"/>
      <c r="L157" s="30"/>
      <c r="M157" s="161" t="s">
        <v>1</v>
      </c>
      <c r="N157" s="162" t="s">
        <v>35</v>
      </c>
      <c r="O157" s="58"/>
      <c r="P157" s="163">
        <f t="shared" si="9"/>
        <v>0</v>
      </c>
      <c r="Q157" s="163">
        <v>0</v>
      </c>
      <c r="R157" s="163">
        <f t="shared" si="10"/>
        <v>0</v>
      </c>
      <c r="S157" s="163">
        <v>0</v>
      </c>
      <c r="T157" s="164">
        <f t="shared" si="11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5" t="s">
        <v>185</v>
      </c>
      <c r="AT157" s="165" t="s">
        <v>181</v>
      </c>
      <c r="AU157" s="165" t="s">
        <v>82</v>
      </c>
      <c r="AY157" s="14" t="s">
        <v>179</v>
      </c>
      <c r="BE157" s="166">
        <f t="shared" si="12"/>
        <v>0</v>
      </c>
      <c r="BF157" s="166">
        <f t="shared" si="13"/>
        <v>0</v>
      </c>
      <c r="BG157" s="166">
        <f t="shared" si="14"/>
        <v>0</v>
      </c>
      <c r="BH157" s="166">
        <f t="shared" si="15"/>
        <v>0</v>
      </c>
      <c r="BI157" s="166">
        <f t="shared" si="16"/>
        <v>0</v>
      </c>
      <c r="BJ157" s="14" t="s">
        <v>82</v>
      </c>
      <c r="BK157" s="166">
        <f t="shared" si="17"/>
        <v>0</v>
      </c>
      <c r="BL157" s="14" t="s">
        <v>185</v>
      </c>
      <c r="BM157" s="165" t="s">
        <v>246</v>
      </c>
    </row>
    <row r="158" spans="1:65" s="2" customFormat="1" ht="16.5" customHeight="1">
      <c r="A158" s="29"/>
      <c r="B158" s="152"/>
      <c r="C158" s="153" t="s">
        <v>218</v>
      </c>
      <c r="D158" s="153" t="s">
        <v>181</v>
      </c>
      <c r="E158" s="154" t="s">
        <v>1962</v>
      </c>
      <c r="F158" s="155" t="s">
        <v>1452</v>
      </c>
      <c r="G158" s="156" t="s">
        <v>217</v>
      </c>
      <c r="H158" s="157">
        <v>1</v>
      </c>
      <c r="I158" s="158"/>
      <c r="J158" s="151">
        <v>0</v>
      </c>
      <c r="K158" s="160"/>
      <c r="L158" s="30"/>
      <c r="M158" s="161" t="s">
        <v>1</v>
      </c>
      <c r="N158" s="162" t="s">
        <v>35</v>
      </c>
      <c r="O158" s="58"/>
      <c r="P158" s="163">
        <f t="shared" si="9"/>
        <v>0</v>
      </c>
      <c r="Q158" s="163">
        <v>0</v>
      </c>
      <c r="R158" s="163">
        <f t="shared" si="10"/>
        <v>0</v>
      </c>
      <c r="S158" s="163">
        <v>0</v>
      </c>
      <c r="T158" s="164">
        <f t="shared" si="11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5" t="s">
        <v>185</v>
      </c>
      <c r="AT158" s="165" t="s">
        <v>181</v>
      </c>
      <c r="AU158" s="165" t="s">
        <v>82</v>
      </c>
      <c r="AY158" s="14" t="s">
        <v>179</v>
      </c>
      <c r="BE158" s="166">
        <f t="shared" si="12"/>
        <v>0</v>
      </c>
      <c r="BF158" s="166">
        <f t="shared" si="13"/>
        <v>0</v>
      </c>
      <c r="BG158" s="166">
        <f t="shared" si="14"/>
        <v>0</v>
      </c>
      <c r="BH158" s="166">
        <f t="shared" si="15"/>
        <v>0</v>
      </c>
      <c r="BI158" s="166">
        <f t="shared" si="16"/>
        <v>0</v>
      </c>
      <c r="BJ158" s="14" t="s">
        <v>82</v>
      </c>
      <c r="BK158" s="166">
        <f t="shared" si="17"/>
        <v>0</v>
      </c>
      <c r="BL158" s="14" t="s">
        <v>185</v>
      </c>
      <c r="BM158" s="165" t="s">
        <v>250</v>
      </c>
    </row>
    <row r="159" spans="1:65" s="2" customFormat="1" ht="16.5" customHeight="1">
      <c r="A159" s="29"/>
      <c r="B159" s="152"/>
      <c r="C159" s="153" t="s">
        <v>251</v>
      </c>
      <c r="D159" s="153" t="s">
        <v>181</v>
      </c>
      <c r="E159" s="154" t="s">
        <v>1963</v>
      </c>
      <c r="F159" s="155" t="s">
        <v>1825</v>
      </c>
      <c r="G159" s="156" t="s">
        <v>217</v>
      </c>
      <c r="H159" s="157">
        <v>1</v>
      </c>
      <c r="I159" s="158"/>
      <c r="J159" s="151">
        <v>0</v>
      </c>
      <c r="K159" s="160"/>
      <c r="L159" s="30"/>
      <c r="M159" s="161" t="s">
        <v>1</v>
      </c>
      <c r="N159" s="162" t="s">
        <v>35</v>
      </c>
      <c r="O159" s="58"/>
      <c r="P159" s="163">
        <f t="shared" si="9"/>
        <v>0</v>
      </c>
      <c r="Q159" s="163">
        <v>0</v>
      </c>
      <c r="R159" s="163">
        <f t="shared" si="10"/>
        <v>0</v>
      </c>
      <c r="S159" s="163">
        <v>0</v>
      </c>
      <c r="T159" s="164">
        <f t="shared" si="11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5" t="s">
        <v>185</v>
      </c>
      <c r="AT159" s="165" t="s">
        <v>181</v>
      </c>
      <c r="AU159" s="165" t="s">
        <v>82</v>
      </c>
      <c r="AY159" s="14" t="s">
        <v>179</v>
      </c>
      <c r="BE159" s="166">
        <f t="shared" si="12"/>
        <v>0</v>
      </c>
      <c r="BF159" s="166">
        <f t="shared" si="13"/>
        <v>0</v>
      </c>
      <c r="BG159" s="166">
        <f t="shared" si="14"/>
        <v>0</v>
      </c>
      <c r="BH159" s="166">
        <f t="shared" si="15"/>
        <v>0</v>
      </c>
      <c r="BI159" s="166">
        <f t="shared" si="16"/>
        <v>0</v>
      </c>
      <c r="BJ159" s="14" t="s">
        <v>82</v>
      </c>
      <c r="BK159" s="166">
        <f t="shared" si="17"/>
        <v>0</v>
      </c>
      <c r="BL159" s="14" t="s">
        <v>185</v>
      </c>
      <c r="BM159" s="165" t="s">
        <v>254</v>
      </c>
    </row>
    <row r="160" spans="1:65" s="12" customFormat="1" ht="25.9" customHeight="1">
      <c r="B160" s="139"/>
      <c r="D160" s="140" t="s">
        <v>68</v>
      </c>
      <c r="E160" s="141" t="s">
        <v>1964</v>
      </c>
      <c r="F160" s="141" t="s">
        <v>1964</v>
      </c>
      <c r="I160" s="142"/>
      <c r="J160" s="151">
        <v>0</v>
      </c>
      <c r="L160" s="139"/>
      <c r="M160" s="144"/>
      <c r="N160" s="145"/>
      <c r="O160" s="145"/>
      <c r="P160" s="146">
        <f>SUM(P161:P168)</f>
        <v>0</v>
      </c>
      <c r="Q160" s="145"/>
      <c r="R160" s="146">
        <f>SUM(R161:R168)</f>
        <v>0</v>
      </c>
      <c r="S160" s="145"/>
      <c r="T160" s="147">
        <f>SUM(T161:T168)</f>
        <v>0</v>
      </c>
      <c r="AR160" s="140" t="s">
        <v>76</v>
      </c>
      <c r="AT160" s="148" t="s">
        <v>68</v>
      </c>
      <c r="AU160" s="148" t="s">
        <v>69</v>
      </c>
      <c r="AY160" s="140" t="s">
        <v>179</v>
      </c>
      <c r="BK160" s="149">
        <f>SUM(BK161:BK168)</f>
        <v>0</v>
      </c>
    </row>
    <row r="161" spans="1:65" s="2" customFormat="1" ht="72" customHeight="1">
      <c r="A161" s="29"/>
      <c r="B161" s="152"/>
      <c r="C161" s="153" t="s">
        <v>221</v>
      </c>
      <c r="D161" s="153" t="s">
        <v>181</v>
      </c>
      <c r="E161" s="154" t="s">
        <v>1965</v>
      </c>
      <c r="F161" s="339" t="s">
        <v>3419</v>
      </c>
      <c r="G161" s="156" t="s">
        <v>217</v>
      </c>
      <c r="H161" s="157">
        <v>1</v>
      </c>
      <c r="I161" s="158"/>
      <c r="J161" s="151">
        <v>0</v>
      </c>
      <c r="K161" s="160"/>
      <c r="L161" s="30"/>
      <c r="M161" s="161" t="s">
        <v>1</v>
      </c>
      <c r="N161" s="162" t="s">
        <v>35</v>
      </c>
      <c r="O161" s="58"/>
      <c r="P161" s="163">
        <f t="shared" ref="P161:P168" si="18">O161*H161</f>
        <v>0</v>
      </c>
      <c r="Q161" s="163">
        <v>0</v>
      </c>
      <c r="R161" s="163">
        <f t="shared" ref="R161:R168" si="19">Q161*H161</f>
        <v>0</v>
      </c>
      <c r="S161" s="163">
        <v>0</v>
      </c>
      <c r="T161" s="164">
        <f t="shared" ref="T161:T168" si="20">S161*H161</f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5" t="s">
        <v>185</v>
      </c>
      <c r="AT161" s="165" t="s">
        <v>181</v>
      </c>
      <c r="AU161" s="165" t="s">
        <v>76</v>
      </c>
      <c r="AY161" s="14" t="s">
        <v>179</v>
      </c>
      <c r="BE161" s="166">
        <f t="shared" ref="BE161:BE168" si="21">IF(N161="základná",J161,0)</f>
        <v>0</v>
      </c>
      <c r="BF161" s="166">
        <f t="shared" ref="BF161:BF168" si="22">IF(N161="znížená",J161,0)</f>
        <v>0</v>
      </c>
      <c r="BG161" s="166">
        <f t="shared" ref="BG161:BG168" si="23">IF(N161="zákl. prenesená",J161,0)</f>
        <v>0</v>
      </c>
      <c r="BH161" s="166">
        <f t="shared" ref="BH161:BH168" si="24">IF(N161="zníž. prenesená",J161,0)</f>
        <v>0</v>
      </c>
      <c r="BI161" s="166">
        <f t="shared" ref="BI161:BI168" si="25">IF(N161="nulová",J161,0)</f>
        <v>0</v>
      </c>
      <c r="BJ161" s="14" t="s">
        <v>82</v>
      </c>
      <c r="BK161" s="166">
        <f t="shared" ref="BK161:BK168" si="26">ROUND(I161*H161,2)</f>
        <v>0</v>
      </c>
      <c r="BL161" s="14" t="s">
        <v>185</v>
      </c>
      <c r="BM161" s="165" t="s">
        <v>257</v>
      </c>
    </row>
    <row r="162" spans="1:65" s="2" customFormat="1" ht="21.75" customHeight="1">
      <c r="A162" s="29"/>
      <c r="B162" s="152"/>
      <c r="C162" s="153" t="s">
        <v>258</v>
      </c>
      <c r="D162" s="153" t="s">
        <v>181</v>
      </c>
      <c r="E162" s="154" t="s">
        <v>1966</v>
      </c>
      <c r="F162" s="155" t="s">
        <v>1829</v>
      </c>
      <c r="G162" s="156" t="s">
        <v>217</v>
      </c>
      <c r="H162" s="157">
        <v>1</v>
      </c>
      <c r="I162" s="158"/>
      <c r="J162" s="151">
        <v>0</v>
      </c>
      <c r="K162" s="160"/>
      <c r="L162" s="30"/>
      <c r="M162" s="161" t="s">
        <v>1</v>
      </c>
      <c r="N162" s="162" t="s">
        <v>35</v>
      </c>
      <c r="O162" s="58"/>
      <c r="P162" s="163">
        <f t="shared" si="18"/>
        <v>0</v>
      </c>
      <c r="Q162" s="163">
        <v>0</v>
      </c>
      <c r="R162" s="163">
        <f t="shared" si="19"/>
        <v>0</v>
      </c>
      <c r="S162" s="163">
        <v>0</v>
      </c>
      <c r="T162" s="164">
        <f t="shared" si="20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5" t="s">
        <v>185</v>
      </c>
      <c r="AT162" s="165" t="s">
        <v>181</v>
      </c>
      <c r="AU162" s="165" t="s">
        <v>76</v>
      </c>
      <c r="AY162" s="14" t="s">
        <v>179</v>
      </c>
      <c r="BE162" s="166">
        <f t="shared" si="21"/>
        <v>0</v>
      </c>
      <c r="BF162" s="166">
        <f t="shared" si="22"/>
        <v>0</v>
      </c>
      <c r="BG162" s="166">
        <f t="shared" si="23"/>
        <v>0</v>
      </c>
      <c r="BH162" s="166">
        <f t="shared" si="24"/>
        <v>0</v>
      </c>
      <c r="BI162" s="166">
        <f t="shared" si="25"/>
        <v>0</v>
      </c>
      <c r="BJ162" s="14" t="s">
        <v>82</v>
      </c>
      <c r="BK162" s="166">
        <f t="shared" si="26"/>
        <v>0</v>
      </c>
      <c r="BL162" s="14" t="s">
        <v>185</v>
      </c>
      <c r="BM162" s="165" t="s">
        <v>261</v>
      </c>
    </row>
    <row r="163" spans="1:65" s="2" customFormat="1" ht="21.75" customHeight="1">
      <c r="A163" s="29"/>
      <c r="B163" s="152"/>
      <c r="C163" s="153" t="s">
        <v>225</v>
      </c>
      <c r="D163" s="153" t="s">
        <v>181</v>
      </c>
      <c r="E163" s="154" t="s">
        <v>1967</v>
      </c>
      <c r="F163" s="155" t="s">
        <v>1831</v>
      </c>
      <c r="G163" s="156" t="s">
        <v>217</v>
      </c>
      <c r="H163" s="157">
        <v>1</v>
      </c>
      <c r="I163" s="158"/>
      <c r="J163" s="151">
        <v>0</v>
      </c>
      <c r="K163" s="160"/>
      <c r="L163" s="30"/>
      <c r="M163" s="161" t="s">
        <v>1</v>
      </c>
      <c r="N163" s="162" t="s">
        <v>35</v>
      </c>
      <c r="O163" s="58"/>
      <c r="P163" s="163">
        <f t="shared" si="18"/>
        <v>0</v>
      </c>
      <c r="Q163" s="163">
        <v>0</v>
      </c>
      <c r="R163" s="163">
        <f t="shared" si="19"/>
        <v>0</v>
      </c>
      <c r="S163" s="163">
        <v>0</v>
      </c>
      <c r="T163" s="164">
        <f t="shared" si="20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5" t="s">
        <v>185</v>
      </c>
      <c r="AT163" s="165" t="s">
        <v>181</v>
      </c>
      <c r="AU163" s="165" t="s">
        <v>76</v>
      </c>
      <c r="AY163" s="14" t="s">
        <v>179</v>
      </c>
      <c r="BE163" s="166">
        <f t="shared" si="21"/>
        <v>0</v>
      </c>
      <c r="BF163" s="166">
        <f t="shared" si="22"/>
        <v>0</v>
      </c>
      <c r="BG163" s="166">
        <f t="shared" si="23"/>
        <v>0</v>
      </c>
      <c r="BH163" s="166">
        <f t="shared" si="24"/>
        <v>0</v>
      </c>
      <c r="BI163" s="166">
        <f t="shared" si="25"/>
        <v>0</v>
      </c>
      <c r="BJ163" s="14" t="s">
        <v>82</v>
      </c>
      <c r="BK163" s="166">
        <f t="shared" si="26"/>
        <v>0</v>
      </c>
      <c r="BL163" s="14" t="s">
        <v>185</v>
      </c>
      <c r="BM163" s="165" t="s">
        <v>265</v>
      </c>
    </row>
    <row r="164" spans="1:65" s="2" customFormat="1" ht="16.5" customHeight="1">
      <c r="A164" s="29"/>
      <c r="B164" s="152"/>
      <c r="C164" s="153" t="s">
        <v>7</v>
      </c>
      <c r="D164" s="153" t="s">
        <v>181</v>
      </c>
      <c r="E164" s="154" t="s">
        <v>1968</v>
      </c>
      <c r="F164" s="155" t="s">
        <v>1833</v>
      </c>
      <c r="G164" s="156" t="s">
        <v>217</v>
      </c>
      <c r="H164" s="157">
        <v>1</v>
      </c>
      <c r="I164" s="158"/>
      <c r="J164" s="151">
        <v>0</v>
      </c>
      <c r="K164" s="160"/>
      <c r="L164" s="30"/>
      <c r="M164" s="161" t="s">
        <v>1</v>
      </c>
      <c r="N164" s="162" t="s">
        <v>35</v>
      </c>
      <c r="O164" s="58"/>
      <c r="P164" s="163">
        <f t="shared" si="18"/>
        <v>0</v>
      </c>
      <c r="Q164" s="163">
        <v>0</v>
      </c>
      <c r="R164" s="163">
        <f t="shared" si="19"/>
        <v>0</v>
      </c>
      <c r="S164" s="163">
        <v>0</v>
      </c>
      <c r="T164" s="164">
        <f t="shared" si="20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5" t="s">
        <v>185</v>
      </c>
      <c r="AT164" s="165" t="s">
        <v>181</v>
      </c>
      <c r="AU164" s="165" t="s">
        <v>76</v>
      </c>
      <c r="AY164" s="14" t="s">
        <v>179</v>
      </c>
      <c r="BE164" s="166">
        <f t="shared" si="21"/>
        <v>0</v>
      </c>
      <c r="BF164" s="166">
        <f t="shared" si="22"/>
        <v>0</v>
      </c>
      <c r="BG164" s="166">
        <f t="shared" si="23"/>
        <v>0</v>
      </c>
      <c r="BH164" s="166">
        <f t="shared" si="24"/>
        <v>0</v>
      </c>
      <c r="BI164" s="166">
        <f t="shared" si="25"/>
        <v>0</v>
      </c>
      <c r="BJ164" s="14" t="s">
        <v>82</v>
      </c>
      <c r="BK164" s="166">
        <f t="shared" si="26"/>
        <v>0</v>
      </c>
      <c r="BL164" s="14" t="s">
        <v>185</v>
      </c>
      <c r="BM164" s="165" t="s">
        <v>268</v>
      </c>
    </row>
    <row r="165" spans="1:65" s="2" customFormat="1" ht="21.75" customHeight="1">
      <c r="A165" s="29"/>
      <c r="B165" s="152"/>
      <c r="C165" s="153" t="s">
        <v>228</v>
      </c>
      <c r="D165" s="153" t="s">
        <v>181</v>
      </c>
      <c r="E165" s="154" t="s">
        <v>1969</v>
      </c>
      <c r="F165" s="155" t="s">
        <v>1835</v>
      </c>
      <c r="G165" s="156" t="s">
        <v>217</v>
      </c>
      <c r="H165" s="157">
        <v>1</v>
      </c>
      <c r="I165" s="158"/>
      <c r="J165" s="151">
        <v>0</v>
      </c>
      <c r="K165" s="160"/>
      <c r="L165" s="30"/>
      <c r="M165" s="161" t="s">
        <v>1</v>
      </c>
      <c r="N165" s="162" t="s">
        <v>35</v>
      </c>
      <c r="O165" s="58"/>
      <c r="P165" s="163">
        <f t="shared" si="18"/>
        <v>0</v>
      </c>
      <c r="Q165" s="163">
        <v>0</v>
      </c>
      <c r="R165" s="163">
        <f t="shared" si="19"/>
        <v>0</v>
      </c>
      <c r="S165" s="163">
        <v>0</v>
      </c>
      <c r="T165" s="164">
        <f t="shared" si="20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5" t="s">
        <v>185</v>
      </c>
      <c r="AT165" s="165" t="s">
        <v>181</v>
      </c>
      <c r="AU165" s="165" t="s">
        <v>76</v>
      </c>
      <c r="AY165" s="14" t="s">
        <v>179</v>
      </c>
      <c r="BE165" s="166">
        <f t="shared" si="21"/>
        <v>0</v>
      </c>
      <c r="BF165" s="166">
        <f t="shared" si="22"/>
        <v>0</v>
      </c>
      <c r="BG165" s="166">
        <f t="shared" si="23"/>
        <v>0</v>
      </c>
      <c r="BH165" s="166">
        <f t="shared" si="24"/>
        <v>0</v>
      </c>
      <c r="BI165" s="166">
        <f t="shared" si="25"/>
        <v>0</v>
      </c>
      <c r="BJ165" s="14" t="s">
        <v>82</v>
      </c>
      <c r="BK165" s="166">
        <f t="shared" si="26"/>
        <v>0</v>
      </c>
      <c r="BL165" s="14" t="s">
        <v>185</v>
      </c>
      <c r="BM165" s="165" t="s">
        <v>271</v>
      </c>
    </row>
    <row r="166" spans="1:65" s="2" customFormat="1" ht="16.5" customHeight="1">
      <c r="A166" s="29"/>
      <c r="B166" s="152"/>
      <c r="C166" s="153" t="s">
        <v>272</v>
      </c>
      <c r="D166" s="153" t="s">
        <v>181</v>
      </c>
      <c r="E166" s="154" t="s">
        <v>1970</v>
      </c>
      <c r="F166" s="155" t="s">
        <v>1971</v>
      </c>
      <c r="G166" s="156" t="s">
        <v>217</v>
      </c>
      <c r="H166" s="157">
        <v>1</v>
      </c>
      <c r="I166" s="158"/>
      <c r="J166" s="151">
        <v>0</v>
      </c>
      <c r="K166" s="160"/>
      <c r="L166" s="30"/>
      <c r="M166" s="161" t="s">
        <v>1</v>
      </c>
      <c r="N166" s="162" t="s">
        <v>35</v>
      </c>
      <c r="O166" s="58"/>
      <c r="P166" s="163">
        <f t="shared" si="18"/>
        <v>0</v>
      </c>
      <c r="Q166" s="163">
        <v>0</v>
      </c>
      <c r="R166" s="163">
        <f t="shared" si="19"/>
        <v>0</v>
      </c>
      <c r="S166" s="163">
        <v>0</v>
      </c>
      <c r="T166" s="164">
        <f t="shared" si="20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5" t="s">
        <v>185</v>
      </c>
      <c r="AT166" s="165" t="s">
        <v>181</v>
      </c>
      <c r="AU166" s="165" t="s">
        <v>76</v>
      </c>
      <c r="AY166" s="14" t="s">
        <v>179</v>
      </c>
      <c r="BE166" s="166">
        <f t="shared" si="21"/>
        <v>0</v>
      </c>
      <c r="BF166" s="166">
        <f t="shared" si="22"/>
        <v>0</v>
      </c>
      <c r="BG166" s="166">
        <f t="shared" si="23"/>
        <v>0</v>
      </c>
      <c r="BH166" s="166">
        <f t="shared" si="24"/>
        <v>0</v>
      </c>
      <c r="BI166" s="166">
        <f t="shared" si="25"/>
        <v>0</v>
      </c>
      <c r="BJ166" s="14" t="s">
        <v>82</v>
      </c>
      <c r="BK166" s="166">
        <f t="shared" si="26"/>
        <v>0</v>
      </c>
      <c r="BL166" s="14" t="s">
        <v>185</v>
      </c>
      <c r="BM166" s="165" t="s">
        <v>275</v>
      </c>
    </row>
    <row r="167" spans="1:65" s="2" customFormat="1" ht="16.5" customHeight="1">
      <c r="A167" s="29"/>
      <c r="B167" s="152"/>
      <c r="C167" s="153" t="s">
        <v>232</v>
      </c>
      <c r="D167" s="153" t="s">
        <v>181</v>
      </c>
      <c r="E167" s="154" t="s">
        <v>1972</v>
      </c>
      <c r="F167" s="155" t="s">
        <v>1839</v>
      </c>
      <c r="G167" s="156" t="s">
        <v>217</v>
      </c>
      <c r="H167" s="157">
        <v>1</v>
      </c>
      <c r="I167" s="158"/>
      <c r="J167" s="151">
        <v>0</v>
      </c>
      <c r="K167" s="160"/>
      <c r="L167" s="30"/>
      <c r="M167" s="161" t="s">
        <v>1</v>
      </c>
      <c r="N167" s="162" t="s">
        <v>35</v>
      </c>
      <c r="O167" s="58"/>
      <c r="P167" s="163">
        <f t="shared" si="18"/>
        <v>0</v>
      </c>
      <c r="Q167" s="163">
        <v>0</v>
      </c>
      <c r="R167" s="163">
        <f t="shared" si="19"/>
        <v>0</v>
      </c>
      <c r="S167" s="163">
        <v>0</v>
      </c>
      <c r="T167" s="164">
        <f t="shared" si="20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5" t="s">
        <v>185</v>
      </c>
      <c r="AT167" s="165" t="s">
        <v>181</v>
      </c>
      <c r="AU167" s="165" t="s">
        <v>76</v>
      </c>
      <c r="AY167" s="14" t="s">
        <v>179</v>
      </c>
      <c r="BE167" s="166">
        <f t="shared" si="21"/>
        <v>0</v>
      </c>
      <c r="BF167" s="166">
        <f t="shared" si="22"/>
        <v>0</v>
      </c>
      <c r="BG167" s="166">
        <f t="shared" si="23"/>
        <v>0</v>
      </c>
      <c r="BH167" s="166">
        <f t="shared" si="24"/>
        <v>0</v>
      </c>
      <c r="BI167" s="166">
        <f t="shared" si="25"/>
        <v>0</v>
      </c>
      <c r="BJ167" s="14" t="s">
        <v>82</v>
      </c>
      <c r="BK167" s="166">
        <f t="shared" si="26"/>
        <v>0</v>
      </c>
      <c r="BL167" s="14" t="s">
        <v>185</v>
      </c>
      <c r="BM167" s="165" t="s">
        <v>279</v>
      </c>
    </row>
    <row r="168" spans="1:65" s="2" customFormat="1" ht="24.2" customHeight="1">
      <c r="A168" s="29"/>
      <c r="B168" s="152"/>
      <c r="C168" s="153" t="s">
        <v>280</v>
      </c>
      <c r="D168" s="153" t="s">
        <v>181</v>
      </c>
      <c r="E168" s="154" t="s">
        <v>1973</v>
      </c>
      <c r="F168" s="155" t="s">
        <v>1841</v>
      </c>
      <c r="G168" s="156" t="s">
        <v>217</v>
      </c>
      <c r="H168" s="157">
        <v>4</v>
      </c>
      <c r="I168" s="158"/>
      <c r="J168" s="151">
        <v>0</v>
      </c>
      <c r="K168" s="160"/>
      <c r="L168" s="30"/>
      <c r="M168" s="161" t="s">
        <v>1</v>
      </c>
      <c r="N168" s="162" t="s">
        <v>35</v>
      </c>
      <c r="O168" s="58"/>
      <c r="P168" s="163">
        <f t="shared" si="18"/>
        <v>0</v>
      </c>
      <c r="Q168" s="163">
        <v>0</v>
      </c>
      <c r="R168" s="163">
        <f t="shared" si="19"/>
        <v>0</v>
      </c>
      <c r="S168" s="163">
        <v>0</v>
      </c>
      <c r="T168" s="164">
        <f t="shared" si="20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5" t="s">
        <v>185</v>
      </c>
      <c r="AT168" s="165" t="s">
        <v>181</v>
      </c>
      <c r="AU168" s="165" t="s">
        <v>76</v>
      </c>
      <c r="AY168" s="14" t="s">
        <v>179</v>
      </c>
      <c r="BE168" s="166">
        <f t="shared" si="21"/>
        <v>0</v>
      </c>
      <c r="BF168" s="166">
        <f t="shared" si="22"/>
        <v>0</v>
      </c>
      <c r="BG168" s="166">
        <f t="shared" si="23"/>
        <v>0</v>
      </c>
      <c r="BH168" s="166">
        <f t="shared" si="24"/>
        <v>0</v>
      </c>
      <c r="BI168" s="166">
        <f t="shared" si="25"/>
        <v>0</v>
      </c>
      <c r="BJ168" s="14" t="s">
        <v>82</v>
      </c>
      <c r="BK168" s="166">
        <f t="shared" si="26"/>
        <v>0</v>
      </c>
      <c r="BL168" s="14" t="s">
        <v>185</v>
      </c>
      <c r="BM168" s="165" t="s">
        <v>283</v>
      </c>
    </row>
    <row r="169" spans="1:65" s="12" customFormat="1" ht="25.9" customHeight="1">
      <c r="B169" s="139"/>
      <c r="D169" s="140" t="s">
        <v>68</v>
      </c>
      <c r="E169" s="141" t="s">
        <v>1974</v>
      </c>
      <c r="F169" s="141" t="s">
        <v>1974</v>
      </c>
      <c r="I169" s="142"/>
      <c r="J169" s="151">
        <v>0</v>
      </c>
      <c r="L169" s="139"/>
      <c r="M169" s="144"/>
      <c r="N169" s="145"/>
      <c r="O169" s="145"/>
      <c r="P169" s="146">
        <f>P170+P172</f>
        <v>0</v>
      </c>
      <c r="Q169" s="145"/>
      <c r="R169" s="146">
        <f>R170+R172</f>
        <v>0</v>
      </c>
      <c r="S169" s="145"/>
      <c r="T169" s="147">
        <f>T170+T172</f>
        <v>0</v>
      </c>
      <c r="AR169" s="140" t="s">
        <v>76</v>
      </c>
      <c r="AT169" s="148" t="s">
        <v>68</v>
      </c>
      <c r="AU169" s="148" t="s">
        <v>69</v>
      </c>
      <c r="AY169" s="140" t="s">
        <v>179</v>
      </c>
      <c r="BK169" s="149">
        <f>BK170+BK172</f>
        <v>0</v>
      </c>
    </row>
    <row r="170" spans="1:65" s="12" customFormat="1" ht="22.9" customHeight="1">
      <c r="B170" s="139"/>
      <c r="D170" s="140" t="s">
        <v>68</v>
      </c>
      <c r="E170" s="150" t="s">
        <v>1426</v>
      </c>
      <c r="F170" s="150" t="s">
        <v>1975</v>
      </c>
      <c r="I170" s="142"/>
      <c r="J170" s="151">
        <v>0</v>
      </c>
      <c r="L170" s="139"/>
      <c r="M170" s="144"/>
      <c r="N170" s="145"/>
      <c r="O170" s="145"/>
      <c r="P170" s="146">
        <f>P171</f>
        <v>0</v>
      </c>
      <c r="Q170" s="145"/>
      <c r="R170" s="146">
        <f>R171</f>
        <v>0</v>
      </c>
      <c r="S170" s="145"/>
      <c r="T170" s="147">
        <f>T171</f>
        <v>0</v>
      </c>
      <c r="AR170" s="140" t="s">
        <v>76</v>
      </c>
      <c r="AT170" s="148" t="s">
        <v>68</v>
      </c>
      <c r="AU170" s="148" t="s">
        <v>76</v>
      </c>
      <c r="AY170" s="140" t="s">
        <v>179</v>
      </c>
      <c r="BK170" s="149">
        <f>BK171</f>
        <v>0</v>
      </c>
    </row>
    <row r="171" spans="1:65" s="2" customFormat="1" ht="49.15" customHeight="1">
      <c r="A171" s="29"/>
      <c r="B171" s="152"/>
      <c r="C171" s="153" t="s">
        <v>235</v>
      </c>
      <c r="D171" s="153" t="s">
        <v>181</v>
      </c>
      <c r="E171" s="154" t="s">
        <v>1976</v>
      </c>
      <c r="F171" s="155" t="s">
        <v>1977</v>
      </c>
      <c r="G171" s="156" t="s">
        <v>217</v>
      </c>
      <c r="H171" s="157">
        <v>1</v>
      </c>
      <c r="I171" s="158"/>
      <c r="J171" s="151">
        <v>0</v>
      </c>
      <c r="K171" s="160"/>
      <c r="L171" s="30"/>
      <c r="M171" s="161" t="s">
        <v>1</v>
      </c>
      <c r="N171" s="162" t="s">
        <v>35</v>
      </c>
      <c r="O171" s="58"/>
      <c r="P171" s="163">
        <f>O171*H171</f>
        <v>0</v>
      </c>
      <c r="Q171" s="163">
        <v>0</v>
      </c>
      <c r="R171" s="163">
        <f>Q171*H171</f>
        <v>0</v>
      </c>
      <c r="S171" s="163">
        <v>0</v>
      </c>
      <c r="T171" s="164">
        <f>S171*H171</f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5" t="s">
        <v>185</v>
      </c>
      <c r="AT171" s="165" t="s">
        <v>181</v>
      </c>
      <c r="AU171" s="165" t="s">
        <v>82</v>
      </c>
      <c r="AY171" s="14" t="s">
        <v>179</v>
      </c>
      <c r="BE171" s="166">
        <f>IF(N171="základná",J171,0)</f>
        <v>0</v>
      </c>
      <c r="BF171" s="166">
        <f>IF(N171="znížená",J171,0)</f>
        <v>0</v>
      </c>
      <c r="BG171" s="166">
        <f>IF(N171="zákl. prenesená",J171,0)</f>
        <v>0</v>
      </c>
      <c r="BH171" s="166">
        <f>IF(N171="zníž. prenesená",J171,0)</f>
        <v>0</v>
      </c>
      <c r="BI171" s="166">
        <f>IF(N171="nulová",J171,0)</f>
        <v>0</v>
      </c>
      <c r="BJ171" s="14" t="s">
        <v>82</v>
      </c>
      <c r="BK171" s="166">
        <f>ROUND(I171*H171,2)</f>
        <v>0</v>
      </c>
      <c r="BL171" s="14" t="s">
        <v>185</v>
      </c>
      <c r="BM171" s="165" t="s">
        <v>286</v>
      </c>
    </row>
    <row r="172" spans="1:65" s="12" customFormat="1" ht="22.9" customHeight="1">
      <c r="B172" s="139"/>
      <c r="D172" s="140" t="s">
        <v>68</v>
      </c>
      <c r="E172" s="150" t="s">
        <v>1978</v>
      </c>
      <c r="F172" s="150" t="s">
        <v>1979</v>
      </c>
      <c r="I172" s="142"/>
      <c r="J172" s="151">
        <v>0</v>
      </c>
      <c r="L172" s="139"/>
      <c r="M172" s="144"/>
      <c r="N172" s="145"/>
      <c r="O172" s="145"/>
      <c r="P172" s="146">
        <f>P173</f>
        <v>0</v>
      </c>
      <c r="Q172" s="145"/>
      <c r="R172" s="146">
        <f>R173</f>
        <v>0</v>
      </c>
      <c r="S172" s="145"/>
      <c r="T172" s="147">
        <f>T173</f>
        <v>0</v>
      </c>
      <c r="AR172" s="140" t="s">
        <v>76</v>
      </c>
      <c r="AT172" s="148" t="s">
        <v>68</v>
      </c>
      <c r="AU172" s="148" t="s">
        <v>76</v>
      </c>
      <c r="AY172" s="140" t="s">
        <v>179</v>
      </c>
      <c r="BK172" s="149">
        <f>BK173</f>
        <v>0</v>
      </c>
    </row>
    <row r="173" spans="1:65" s="2" customFormat="1" ht="16.5" customHeight="1">
      <c r="A173" s="29"/>
      <c r="B173" s="152"/>
      <c r="C173" s="153" t="s">
        <v>287</v>
      </c>
      <c r="D173" s="153" t="s">
        <v>181</v>
      </c>
      <c r="E173" s="154" t="s">
        <v>1980</v>
      </c>
      <c r="F173" s="155" t="s">
        <v>1981</v>
      </c>
      <c r="G173" s="156" t="s">
        <v>217</v>
      </c>
      <c r="H173" s="157">
        <v>1</v>
      </c>
      <c r="I173" s="158"/>
      <c r="J173" s="151">
        <v>0</v>
      </c>
      <c r="K173" s="160"/>
      <c r="L173" s="30"/>
      <c r="M173" s="161" t="s">
        <v>1</v>
      </c>
      <c r="N173" s="162" t="s">
        <v>35</v>
      </c>
      <c r="O173" s="58"/>
      <c r="P173" s="163">
        <f>O173*H173</f>
        <v>0</v>
      </c>
      <c r="Q173" s="163">
        <v>0</v>
      </c>
      <c r="R173" s="163">
        <f>Q173*H173</f>
        <v>0</v>
      </c>
      <c r="S173" s="163">
        <v>0</v>
      </c>
      <c r="T173" s="164">
        <f>S173*H173</f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5" t="s">
        <v>185</v>
      </c>
      <c r="AT173" s="165" t="s">
        <v>181</v>
      </c>
      <c r="AU173" s="165" t="s">
        <v>82</v>
      </c>
      <c r="AY173" s="14" t="s">
        <v>179</v>
      </c>
      <c r="BE173" s="166">
        <f>IF(N173="základná",J173,0)</f>
        <v>0</v>
      </c>
      <c r="BF173" s="166">
        <f>IF(N173="znížená",J173,0)</f>
        <v>0</v>
      </c>
      <c r="BG173" s="166">
        <f>IF(N173="zákl. prenesená",J173,0)</f>
        <v>0</v>
      </c>
      <c r="BH173" s="166">
        <f>IF(N173="zníž. prenesená",J173,0)</f>
        <v>0</v>
      </c>
      <c r="BI173" s="166">
        <f>IF(N173="nulová",J173,0)</f>
        <v>0</v>
      </c>
      <c r="BJ173" s="14" t="s">
        <v>82</v>
      </c>
      <c r="BK173" s="166">
        <f>ROUND(I173*H173,2)</f>
        <v>0</v>
      </c>
      <c r="BL173" s="14" t="s">
        <v>185</v>
      </c>
      <c r="BM173" s="165" t="s">
        <v>290</v>
      </c>
    </row>
    <row r="174" spans="1:65" s="12" customFormat="1" ht="25.9" customHeight="1">
      <c r="B174" s="139"/>
      <c r="D174" s="140" t="s">
        <v>68</v>
      </c>
      <c r="E174" s="141" t="s">
        <v>1512</v>
      </c>
      <c r="F174" s="141" t="s">
        <v>1512</v>
      </c>
      <c r="I174" s="142"/>
      <c r="J174" s="151">
        <v>0</v>
      </c>
      <c r="L174" s="139"/>
      <c r="M174" s="144"/>
      <c r="N174" s="145"/>
      <c r="O174" s="145"/>
      <c r="P174" s="146">
        <f>P175+SUM(P176:P222)+P230+P233</f>
        <v>0</v>
      </c>
      <c r="Q174" s="145"/>
      <c r="R174" s="146">
        <f>R175+SUM(R176:R222)+R230+R233</f>
        <v>0</v>
      </c>
      <c r="S174" s="145"/>
      <c r="T174" s="147">
        <f>T175+SUM(T176:T222)+T230+T233</f>
        <v>0</v>
      </c>
      <c r="AR174" s="140" t="s">
        <v>76</v>
      </c>
      <c r="AT174" s="148" t="s">
        <v>68</v>
      </c>
      <c r="AU174" s="148" t="s">
        <v>69</v>
      </c>
      <c r="AY174" s="140" t="s">
        <v>179</v>
      </c>
      <c r="BK174" s="149">
        <f>BK175+SUM(BK176:BK222)+BK230+BK233</f>
        <v>0</v>
      </c>
    </row>
    <row r="175" spans="1:65" s="2" customFormat="1" ht="16.5" customHeight="1">
      <c r="A175" s="29"/>
      <c r="B175" s="152"/>
      <c r="C175" s="153" t="s">
        <v>239</v>
      </c>
      <c r="D175" s="153" t="s">
        <v>181</v>
      </c>
      <c r="E175" s="154" t="s">
        <v>1513</v>
      </c>
      <c r="F175" s="155" t="s">
        <v>1849</v>
      </c>
      <c r="G175" s="156" t="s">
        <v>293</v>
      </c>
      <c r="H175" s="157">
        <v>115</v>
      </c>
      <c r="I175" s="158"/>
      <c r="J175" s="151">
        <v>0</v>
      </c>
      <c r="K175" s="160"/>
      <c r="L175" s="30"/>
      <c r="M175" s="161" t="s">
        <v>1</v>
      </c>
      <c r="N175" s="162" t="s">
        <v>35</v>
      </c>
      <c r="O175" s="58"/>
      <c r="P175" s="163">
        <f t="shared" ref="P175:P221" si="27">O175*H175</f>
        <v>0</v>
      </c>
      <c r="Q175" s="163">
        <v>0</v>
      </c>
      <c r="R175" s="163">
        <f t="shared" ref="R175:R221" si="28">Q175*H175</f>
        <v>0</v>
      </c>
      <c r="S175" s="163">
        <v>0</v>
      </c>
      <c r="T175" s="164">
        <f t="shared" ref="T175:T221" si="29">S175*H175</f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5" t="s">
        <v>185</v>
      </c>
      <c r="AT175" s="165" t="s">
        <v>181</v>
      </c>
      <c r="AU175" s="165" t="s">
        <v>76</v>
      </c>
      <c r="AY175" s="14" t="s">
        <v>179</v>
      </c>
      <c r="BE175" s="166">
        <f t="shared" ref="BE175:BE221" si="30">IF(N175="základná",J175,0)</f>
        <v>0</v>
      </c>
      <c r="BF175" s="166">
        <f t="shared" ref="BF175:BF221" si="31">IF(N175="znížená",J175,0)</f>
        <v>0</v>
      </c>
      <c r="BG175" s="166">
        <f t="shared" ref="BG175:BG221" si="32">IF(N175="zákl. prenesená",J175,0)</f>
        <v>0</v>
      </c>
      <c r="BH175" s="166">
        <f t="shared" ref="BH175:BH221" si="33">IF(N175="zníž. prenesená",J175,0)</f>
        <v>0</v>
      </c>
      <c r="BI175" s="166">
        <f t="shared" ref="BI175:BI221" si="34">IF(N175="nulová",J175,0)</f>
        <v>0</v>
      </c>
      <c r="BJ175" s="14" t="s">
        <v>82</v>
      </c>
      <c r="BK175" s="166">
        <f t="shared" ref="BK175:BK221" si="35">ROUND(I175*H175,2)</f>
        <v>0</v>
      </c>
      <c r="BL175" s="14" t="s">
        <v>185</v>
      </c>
      <c r="BM175" s="165" t="s">
        <v>294</v>
      </c>
    </row>
    <row r="176" spans="1:65" s="2" customFormat="1" ht="16.5" customHeight="1">
      <c r="A176" s="29"/>
      <c r="B176" s="152"/>
      <c r="C176" s="153" t="s">
        <v>295</v>
      </c>
      <c r="D176" s="153" t="s">
        <v>181</v>
      </c>
      <c r="E176" s="154" t="s">
        <v>1515</v>
      </c>
      <c r="F176" s="155" t="s">
        <v>1850</v>
      </c>
      <c r="G176" s="156" t="s">
        <v>293</v>
      </c>
      <c r="H176" s="157">
        <v>46</v>
      </c>
      <c r="I176" s="158"/>
      <c r="J176" s="151">
        <v>0</v>
      </c>
      <c r="K176" s="160"/>
      <c r="L176" s="30"/>
      <c r="M176" s="161" t="s">
        <v>1</v>
      </c>
      <c r="N176" s="162" t="s">
        <v>35</v>
      </c>
      <c r="O176" s="58"/>
      <c r="P176" s="163">
        <f t="shared" si="27"/>
        <v>0</v>
      </c>
      <c r="Q176" s="163">
        <v>0</v>
      </c>
      <c r="R176" s="163">
        <f t="shared" si="28"/>
        <v>0</v>
      </c>
      <c r="S176" s="163">
        <v>0</v>
      </c>
      <c r="T176" s="164">
        <f t="shared" si="29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5" t="s">
        <v>185</v>
      </c>
      <c r="AT176" s="165" t="s">
        <v>181</v>
      </c>
      <c r="AU176" s="165" t="s">
        <v>76</v>
      </c>
      <c r="AY176" s="14" t="s">
        <v>179</v>
      </c>
      <c r="BE176" s="166">
        <f t="shared" si="30"/>
        <v>0</v>
      </c>
      <c r="BF176" s="166">
        <f t="shared" si="31"/>
        <v>0</v>
      </c>
      <c r="BG176" s="166">
        <f t="shared" si="32"/>
        <v>0</v>
      </c>
      <c r="BH176" s="166">
        <f t="shared" si="33"/>
        <v>0</v>
      </c>
      <c r="BI176" s="166">
        <f t="shared" si="34"/>
        <v>0</v>
      </c>
      <c r="BJ176" s="14" t="s">
        <v>82</v>
      </c>
      <c r="BK176" s="166">
        <f t="shared" si="35"/>
        <v>0</v>
      </c>
      <c r="BL176" s="14" t="s">
        <v>185</v>
      </c>
      <c r="BM176" s="165" t="s">
        <v>298</v>
      </c>
    </row>
    <row r="177" spans="1:65" s="2" customFormat="1" ht="24.2" customHeight="1">
      <c r="A177" s="29"/>
      <c r="B177" s="152"/>
      <c r="C177" s="153" t="s">
        <v>242</v>
      </c>
      <c r="D177" s="153" t="s">
        <v>181</v>
      </c>
      <c r="E177" s="154" t="s">
        <v>1517</v>
      </c>
      <c r="F177" s="155" t="s">
        <v>1851</v>
      </c>
      <c r="G177" s="156" t="s">
        <v>293</v>
      </c>
      <c r="H177" s="157">
        <v>132</v>
      </c>
      <c r="I177" s="158"/>
      <c r="J177" s="151">
        <v>0</v>
      </c>
      <c r="K177" s="160"/>
      <c r="L177" s="30"/>
      <c r="M177" s="161" t="s">
        <v>1</v>
      </c>
      <c r="N177" s="162" t="s">
        <v>35</v>
      </c>
      <c r="O177" s="58"/>
      <c r="P177" s="163">
        <f t="shared" si="27"/>
        <v>0</v>
      </c>
      <c r="Q177" s="163">
        <v>0</v>
      </c>
      <c r="R177" s="163">
        <f t="shared" si="28"/>
        <v>0</v>
      </c>
      <c r="S177" s="163">
        <v>0</v>
      </c>
      <c r="T177" s="164">
        <f t="shared" si="29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5" t="s">
        <v>185</v>
      </c>
      <c r="AT177" s="165" t="s">
        <v>181</v>
      </c>
      <c r="AU177" s="165" t="s">
        <v>76</v>
      </c>
      <c r="AY177" s="14" t="s">
        <v>179</v>
      </c>
      <c r="BE177" s="166">
        <f t="shared" si="30"/>
        <v>0</v>
      </c>
      <c r="BF177" s="166">
        <f t="shared" si="31"/>
        <v>0</v>
      </c>
      <c r="BG177" s="166">
        <f t="shared" si="32"/>
        <v>0</v>
      </c>
      <c r="BH177" s="166">
        <f t="shared" si="33"/>
        <v>0</v>
      </c>
      <c r="BI177" s="166">
        <f t="shared" si="34"/>
        <v>0</v>
      </c>
      <c r="BJ177" s="14" t="s">
        <v>82</v>
      </c>
      <c r="BK177" s="166">
        <f t="shared" si="35"/>
        <v>0</v>
      </c>
      <c r="BL177" s="14" t="s">
        <v>185</v>
      </c>
      <c r="BM177" s="165" t="s">
        <v>301</v>
      </c>
    </row>
    <row r="178" spans="1:65" s="2" customFormat="1" ht="24.2" customHeight="1">
      <c r="A178" s="29"/>
      <c r="B178" s="152"/>
      <c r="C178" s="153" t="s">
        <v>302</v>
      </c>
      <c r="D178" s="153" t="s">
        <v>181</v>
      </c>
      <c r="E178" s="154" t="s">
        <v>1519</v>
      </c>
      <c r="F178" s="155" t="s">
        <v>1852</v>
      </c>
      <c r="G178" s="156" t="s">
        <v>293</v>
      </c>
      <c r="H178" s="157">
        <v>34</v>
      </c>
      <c r="I178" s="158"/>
      <c r="J178" s="151">
        <v>0</v>
      </c>
      <c r="K178" s="160"/>
      <c r="L178" s="30"/>
      <c r="M178" s="161" t="s">
        <v>1</v>
      </c>
      <c r="N178" s="162" t="s">
        <v>35</v>
      </c>
      <c r="O178" s="58"/>
      <c r="P178" s="163">
        <f t="shared" si="27"/>
        <v>0</v>
      </c>
      <c r="Q178" s="163">
        <v>0</v>
      </c>
      <c r="R178" s="163">
        <f t="shared" si="28"/>
        <v>0</v>
      </c>
      <c r="S178" s="163">
        <v>0</v>
      </c>
      <c r="T178" s="164">
        <f t="shared" si="29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5" t="s">
        <v>185</v>
      </c>
      <c r="AT178" s="165" t="s">
        <v>181</v>
      </c>
      <c r="AU178" s="165" t="s">
        <v>76</v>
      </c>
      <c r="AY178" s="14" t="s">
        <v>179</v>
      </c>
      <c r="BE178" s="166">
        <f t="shared" si="30"/>
        <v>0</v>
      </c>
      <c r="BF178" s="166">
        <f t="shared" si="31"/>
        <v>0</v>
      </c>
      <c r="BG178" s="166">
        <f t="shared" si="32"/>
        <v>0</v>
      </c>
      <c r="BH178" s="166">
        <f t="shared" si="33"/>
        <v>0</v>
      </c>
      <c r="BI178" s="166">
        <f t="shared" si="34"/>
        <v>0</v>
      </c>
      <c r="BJ178" s="14" t="s">
        <v>82</v>
      </c>
      <c r="BK178" s="166">
        <f t="shared" si="35"/>
        <v>0</v>
      </c>
      <c r="BL178" s="14" t="s">
        <v>185</v>
      </c>
      <c r="BM178" s="165" t="s">
        <v>305</v>
      </c>
    </row>
    <row r="179" spans="1:65" s="2" customFormat="1" ht="24.2" customHeight="1">
      <c r="A179" s="29"/>
      <c r="B179" s="152"/>
      <c r="C179" s="153" t="s">
        <v>246</v>
      </c>
      <c r="D179" s="153" t="s">
        <v>181</v>
      </c>
      <c r="E179" s="154" t="s">
        <v>1521</v>
      </c>
      <c r="F179" s="155" t="s">
        <v>1853</v>
      </c>
      <c r="G179" s="156" t="s">
        <v>293</v>
      </c>
      <c r="H179" s="157">
        <v>37</v>
      </c>
      <c r="I179" s="158"/>
      <c r="J179" s="151">
        <v>0</v>
      </c>
      <c r="K179" s="160"/>
      <c r="L179" s="30"/>
      <c r="M179" s="161" t="s">
        <v>1</v>
      </c>
      <c r="N179" s="162" t="s">
        <v>35</v>
      </c>
      <c r="O179" s="58"/>
      <c r="P179" s="163">
        <f t="shared" si="27"/>
        <v>0</v>
      </c>
      <c r="Q179" s="163">
        <v>0</v>
      </c>
      <c r="R179" s="163">
        <f t="shared" si="28"/>
        <v>0</v>
      </c>
      <c r="S179" s="163">
        <v>0</v>
      </c>
      <c r="T179" s="164">
        <f t="shared" si="29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5" t="s">
        <v>185</v>
      </c>
      <c r="AT179" s="165" t="s">
        <v>181</v>
      </c>
      <c r="AU179" s="165" t="s">
        <v>76</v>
      </c>
      <c r="AY179" s="14" t="s">
        <v>179</v>
      </c>
      <c r="BE179" s="166">
        <f t="shared" si="30"/>
        <v>0</v>
      </c>
      <c r="BF179" s="166">
        <f t="shared" si="31"/>
        <v>0</v>
      </c>
      <c r="BG179" s="166">
        <f t="shared" si="32"/>
        <v>0</v>
      </c>
      <c r="BH179" s="166">
        <f t="shared" si="33"/>
        <v>0</v>
      </c>
      <c r="BI179" s="166">
        <f t="shared" si="34"/>
        <v>0</v>
      </c>
      <c r="BJ179" s="14" t="s">
        <v>82</v>
      </c>
      <c r="BK179" s="166">
        <f t="shared" si="35"/>
        <v>0</v>
      </c>
      <c r="BL179" s="14" t="s">
        <v>185</v>
      </c>
      <c r="BM179" s="165" t="s">
        <v>308</v>
      </c>
    </row>
    <row r="180" spans="1:65" s="2" customFormat="1" ht="24.2" customHeight="1">
      <c r="A180" s="29"/>
      <c r="B180" s="152"/>
      <c r="C180" s="153" t="s">
        <v>309</v>
      </c>
      <c r="D180" s="153" t="s">
        <v>181</v>
      </c>
      <c r="E180" s="154" t="s">
        <v>1523</v>
      </c>
      <c r="F180" s="155" t="s">
        <v>1982</v>
      </c>
      <c r="G180" s="156" t="s">
        <v>293</v>
      </c>
      <c r="H180" s="157">
        <v>90</v>
      </c>
      <c r="I180" s="158"/>
      <c r="J180" s="151">
        <v>0</v>
      </c>
      <c r="K180" s="160"/>
      <c r="L180" s="30"/>
      <c r="M180" s="161" t="s">
        <v>1</v>
      </c>
      <c r="N180" s="162" t="s">
        <v>35</v>
      </c>
      <c r="O180" s="58"/>
      <c r="P180" s="163">
        <f t="shared" si="27"/>
        <v>0</v>
      </c>
      <c r="Q180" s="163">
        <v>0</v>
      </c>
      <c r="R180" s="163">
        <f t="shared" si="28"/>
        <v>0</v>
      </c>
      <c r="S180" s="163">
        <v>0</v>
      </c>
      <c r="T180" s="164">
        <f t="shared" si="29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5" t="s">
        <v>185</v>
      </c>
      <c r="AT180" s="165" t="s">
        <v>181</v>
      </c>
      <c r="AU180" s="165" t="s">
        <v>76</v>
      </c>
      <c r="AY180" s="14" t="s">
        <v>179</v>
      </c>
      <c r="BE180" s="166">
        <f t="shared" si="30"/>
        <v>0</v>
      </c>
      <c r="BF180" s="166">
        <f t="shared" si="31"/>
        <v>0</v>
      </c>
      <c r="BG180" s="166">
        <f t="shared" si="32"/>
        <v>0</v>
      </c>
      <c r="BH180" s="166">
        <f t="shared" si="33"/>
        <v>0</v>
      </c>
      <c r="BI180" s="166">
        <f t="shared" si="34"/>
        <v>0</v>
      </c>
      <c r="BJ180" s="14" t="s">
        <v>82</v>
      </c>
      <c r="BK180" s="166">
        <f t="shared" si="35"/>
        <v>0</v>
      </c>
      <c r="BL180" s="14" t="s">
        <v>185</v>
      </c>
      <c r="BM180" s="165" t="s">
        <v>312</v>
      </c>
    </row>
    <row r="181" spans="1:65" s="2" customFormat="1" ht="16.5" customHeight="1">
      <c r="A181" s="29"/>
      <c r="B181" s="152"/>
      <c r="C181" s="153" t="s">
        <v>250</v>
      </c>
      <c r="D181" s="153" t="s">
        <v>181</v>
      </c>
      <c r="E181" s="154" t="s">
        <v>1525</v>
      </c>
      <c r="F181" s="155" t="s">
        <v>1983</v>
      </c>
      <c r="G181" s="156" t="s">
        <v>293</v>
      </c>
      <c r="H181" s="157">
        <v>31</v>
      </c>
      <c r="I181" s="158"/>
      <c r="J181" s="151">
        <v>0</v>
      </c>
      <c r="K181" s="160"/>
      <c r="L181" s="30"/>
      <c r="M181" s="161" t="s">
        <v>1</v>
      </c>
      <c r="N181" s="162" t="s">
        <v>35</v>
      </c>
      <c r="O181" s="58"/>
      <c r="P181" s="163">
        <f t="shared" si="27"/>
        <v>0</v>
      </c>
      <c r="Q181" s="163">
        <v>0</v>
      </c>
      <c r="R181" s="163">
        <f t="shared" si="28"/>
        <v>0</v>
      </c>
      <c r="S181" s="163">
        <v>0</v>
      </c>
      <c r="T181" s="164">
        <f t="shared" si="29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5" t="s">
        <v>185</v>
      </c>
      <c r="AT181" s="165" t="s">
        <v>181</v>
      </c>
      <c r="AU181" s="165" t="s">
        <v>76</v>
      </c>
      <c r="AY181" s="14" t="s">
        <v>179</v>
      </c>
      <c r="BE181" s="166">
        <f t="shared" si="30"/>
        <v>0</v>
      </c>
      <c r="BF181" s="166">
        <f t="shared" si="31"/>
        <v>0</v>
      </c>
      <c r="BG181" s="166">
        <f t="shared" si="32"/>
        <v>0</v>
      </c>
      <c r="BH181" s="166">
        <f t="shared" si="33"/>
        <v>0</v>
      </c>
      <c r="BI181" s="166">
        <f t="shared" si="34"/>
        <v>0</v>
      </c>
      <c r="BJ181" s="14" t="s">
        <v>82</v>
      </c>
      <c r="BK181" s="166">
        <f t="shared" si="35"/>
        <v>0</v>
      </c>
      <c r="BL181" s="14" t="s">
        <v>185</v>
      </c>
      <c r="BM181" s="165" t="s">
        <v>315</v>
      </c>
    </row>
    <row r="182" spans="1:65" s="2" customFormat="1" ht="55.5" customHeight="1">
      <c r="A182" s="29"/>
      <c r="B182" s="152"/>
      <c r="C182" s="153" t="s">
        <v>316</v>
      </c>
      <c r="D182" s="153" t="s">
        <v>181</v>
      </c>
      <c r="E182" s="154" t="s">
        <v>1527</v>
      </c>
      <c r="F182" s="155" t="s">
        <v>1854</v>
      </c>
      <c r="G182" s="156" t="s">
        <v>293</v>
      </c>
      <c r="H182" s="157">
        <v>50</v>
      </c>
      <c r="I182" s="158"/>
      <c r="J182" s="151">
        <v>0</v>
      </c>
      <c r="K182" s="160"/>
      <c r="L182" s="30"/>
      <c r="M182" s="161" t="s">
        <v>1</v>
      </c>
      <c r="N182" s="162" t="s">
        <v>35</v>
      </c>
      <c r="O182" s="58"/>
      <c r="P182" s="163">
        <f t="shared" si="27"/>
        <v>0</v>
      </c>
      <c r="Q182" s="163">
        <v>0</v>
      </c>
      <c r="R182" s="163">
        <f t="shared" si="28"/>
        <v>0</v>
      </c>
      <c r="S182" s="163">
        <v>0</v>
      </c>
      <c r="T182" s="164">
        <f t="shared" si="29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65" t="s">
        <v>185</v>
      </c>
      <c r="AT182" s="165" t="s">
        <v>181</v>
      </c>
      <c r="AU182" s="165" t="s">
        <v>76</v>
      </c>
      <c r="AY182" s="14" t="s">
        <v>179</v>
      </c>
      <c r="BE182" s="166">
        <f t="shared" si="30"/>
        <v>0</v>
      </c>
      <c r="BF182" s="166">
        <f t="shared" si="31"/>
        <v>0</v>
      </c>
      <c r="BG182" s="166">
        <f t="shared" si="32"/>
        <v>0</v>
      </c>
      <c r="BH182" s="166">
        <f t="shared" si="33"/>
        <v>0</v>
      </c>
      <c r="BI182" s="166">
        <f t="shared" si="34"/>
        <v>0</v>
      </c>
      <c r="BJ182" s="14" t="s">
        <v>82</v>
      </c>
      <c r="BK182" s="166">
        <f t="shared" si="35"/>
        <v>0</v>
      </c>
      <c r="BL182" s="14" t="s">
        <v>185</v>
      </c>
      <c r="BM182" s="165" t="s">
        <v>319</v>
      </c>
    </row>
    <row r="183" spans="1:65" s="2" customFormat="1" ht="37.9" customHeight="1">
      <c r="A183" s="29"/>
      <c r="B183" s="152"/>
      <c r="C183" s="153" t="s">
        <v>254</v>
      </c>
      <c r="D183" s="153" t="s">
        <v>181</v>
      </c>
      <c r="E183" s="154" t="s">
        <v>1529</v>
      </c>
      <c r="F183" s="155" t="s">
        <v>1855</v>
      </c>
      <c r="G183" s="156" t="s">
        <v>293</v>
      </c>
      <c r="H183" s="157">
        <v>15</v>
      </c>
      <c r="I183" s="158"/>
      <c r="J183" s="151">
        <v>0</v>
      </c>
      <c r="K183" s="160"/>
      <c r="L183" s="30"/>
      <c r="M183" s="161" t="s">
        <v>1</v>
      </c>
      <c r="N183" s="162" t="s">
        <v>35</v>
      </c>
      <c r="O183" s="58"/>
      <c r="P183" s="163">
        <f t="shared" si="27"/>
        <v>0</v>
      </c>
      <c r="Q183" s="163">
        <v>0</v>
      </c>
      <c r="R183" s="163">
        <f t="shared" si="28"/>
        <v>0</v>
      </c>
      <c r="S183" s="163">
        <v>0</v>
      </c>
      <c r="T183" s="164">
        <f t="shared" si="29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5" t="s">
        <v>185</v>
      </c>
      <c r="AT183" s="165" t="s">
        <v>181</v>
      </c>
      <c r="AU183" s="165" t="s">
        <v>76</v>
      </c>
      <c r="AY183" s="14" t="s">
        <v>179</v>
      </c>
      <c r="BE183" s="166">
        <f t="shared" si="30"/>
        <v>0</v>
      </c>
      <c r="BF183" s="166">
        <f t="shared" si="31"/>
        <v>0</v>
      </c>
      <c r="BG183" s="166">
        <f t="shared" si="32"/>
        <v>0</v>
      </c>
      <c r="BH183" s="166">
        <f t="shared" si="33"/>
        <v>0</v>
      </c>
      <c r="BI183" s="166">
        <f t="shared" si="34"/>
        <v>0</v>
      </c>
      <c r="BJ183" s="14" t="s">
        <v>82</v>
      </c>
      <c r="BK183" s="166">
        <f t="shared" si="35"/>
        <v>0</v>
      </c>
      <c r="BL183" s="14" t="s">
        <v>185</v>
      </c>
      <c r="BM183" s="165" t="s">
        <v>322</v>
      </c>
    </row>
    <row r="184" spans="1:65" s="2" customFormat="1" ht="16.5" customHeight="1">
      <c r="A184" s="29"/>
      <c r="B184" s="152"/>
      <c r="C184" s="153" t="s">
        <v>323</v>
      </c>
      <c r="D184" s="153" t="s">
        <v>181</v>
      </c>
      <c r="E184" s="154" t="s">
        <v>1531</v>
      </c>
      <c r="F184" s="155" t="s">
        <v>1856</v>
      </c>
      <c r="G184" s="156" t="s">
        <v>217</v>
      </c>
      <c r="H184" s="157">
        <v>60</v>
      </c>
      <c r="I184" s="158"/>
      <c r="J184" s="151">
        <v>0</v>
      </c>
      <c r="K184" s="160"/>
      <c r="L184" s="30"/>
      <c r="M184" s="161" t="s">
        <v>1</v>
      </c>
      <c r="N184" s="162" t="s">
        <v>35</v>
      </c>
      <c r="O184" s="58"/>
      <c r="P184" s="163">
        <f t="shared" si="27"/>
        <v>0</v>
      </c>
      <c r="Q184" s="163">
        <v>0</v>
      </c>
      <c r="R184" s="163">
        <f t="shared" si="28"/>
        <v>0</v>
      </c>
      <c r="S184" s="163">
        <v>0</v>
      </c>
      <c r="T184" s="164">
        <f t="shared" si="29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5" t="s">
        <v>185</v>
      </c>
      <c r="AT184" s="165" t="s">
        <v>181</v>
      </c>
      <c r="AU184" s="165" t="s">
        <v>76</v>
      </c>
      <c r="AY184" s="14" t="s">
        <v>179</v>
      </c>
      <c r="BE184" s="166">
        <f t="shared" si="30"/>
        <v>0</v>
      </c>
      <c r="BF184" s="166">
        <f t="shared" si="31"/>
        <v>0</v>
      </c>
      <c r="BG184" s="166">
        <f t="shared" si="32"/>
        <v>0</v>
      </c>
      <c r="BH184" s="166">
        <f t="shared" si="33"/>
        <v>0</v>
      </c>
      <c r="BI184" s="166">
        <f t="shared" si="34"/>
        <v>0</v>
      </c>
      <c r="BJ184" s="14" t="s">
        <v>82</v>
      </c>
      <c r="BK184" s="166">
        <f t="shared" si="35"/>
        <v>0</v>
      </c>
      <c r="BL184" s="14" t="s">
        <v>185</v>
      </c>
      <c r="BM184" s="165" t="s">
        <v>326</v>
      </c>
    </row>
    <row r="185" spans="1:65" s="2" customFormat="1" ht="33" customHeight="1">
      <c r="A185" s="29"/>
      <c r="B185" s="152"/>
      <c r="C185" s="153" t="s">
        <v>257</v>
      </c>
      <c r="D185" s="153" t="s">
        <v>181</v>
      </c>
      <c r="E185" s="154" t="s">
        <v>1533</v>
      </c>
      <c r="F185" s="155" t="s">
        <v>1554</v>
      </c>
      <c r="G185" s="156" t="s">
        <v>217</v>
      </c>
      <c r="H185" s="157">
        <v>334</v>
      </c>
      <c r="I185" s="158"/>
      <c r="J185" s="151">
        <v>0</v>
      </c>
      <c r="K185" s="160"/>
      <c r="L185" s="30"/>
      <c r="M185" s="161" t="s">
        <v>1</v>
      </c>
      <c r="N185" s="162" t="s">
        <v>35</v>
      </c>
      <c r="O185" s="58"/>
      <c r="P185" s="163">
        <f t="shared" si="27"/>
        <v>0</v>
      </c>
      <c r="Q185" s="163">
        <v>0</v>
      </c>
      <c r="R185" s="163">
        <f t="shared" si="28"/>
        <v>0</v>
      </c>
      <c r="S185" s="163">
        <v>0</v>
      </c>
      <c r="T185" s="164">
        <f t="shared" si="29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5" t="s">
        <v>185</v>
      </c>
      <c r="AT185" s="165" t="s">
        <v>181</v>
      </c>
      <c r="AU185" s="165" t="s">
        <v>76</v>
      </c>
      <c r="AY185" s="14" t="s">
        <v>179</v>
      </c>
      <c r="BE185" s="166">
        <f t="shared" si="30"/>
        <v>0</v>
      </c>
      <c r="BF185" s="166">
        <f t="shared" si="31"/>
        <v>0</v>
      </c>
      <c r="BG185" s="166">
        <f t="shared" si="32"/>
        <v>0</v>
      </c>
      <c r="BH185" s="166">
        <f t="shared" si="33"/>
        <v>0</v>
      </c>
      <c r="BI185" s="166">
        <f t="shared" si="34"/>
        <v>0</v>
      </c>
      <c r="BJ185" s="14" t="s">
        <v>82</v>
      </c>
      <c r="BK185" s="166">
        <f t="shared" si="35"/>
        <v>0</v>
      </c>
      <c r="BL185" s="14" t="s">
        <v>185</v>
      </c>
      <c r="BM185" s="165" t="s">
        <v>329</v>
      </c>
    </row>
    <row r="186" spans="1:65" s="2" customFormat="1" ht="16.5" customHeight="1">
      <c r="A186" s="29"/>
      <c r="B186" s="152"/>
      <c r="C186" s="153" t="s">
        <v>330</v>
      </c>
      <c r="D186" s="153" t="s">
        <v>181</v>
      </c>
      <c r="E186" s="154" t="s">
        <v>1535</v>
      </c>
      <c r="F186" s="155" t="s">
        <v>1857</v>
      </c>
      <c r="G186" s="156" t="s">
        <v>217</v>
      </c>
      <c r="H186" s="157">
        <v>110</v>
      </c>
      <c r="I186" s="158"/>
      <c r="J186" s="151">
        <v>0</v>
      </c>
      <c r="K186" s="160"/>
      <c r="L186" s="30"/>
      <c r="M186" s="161" t="s">
        <v>1</v>
      </c>
      <c r="N186" s="162" t="s">
        <v>35</v>
      </c>
      <c r="O186" s="58"/>
      <c r="P186" s="163">
        <f t="shared" si="27"/>
        <v>0</v>
      </c>
      <c r="Q186" s="163">
        <v>0</v>
      </c>
      <c r="R186" s="163">
        <f t="shared" si="28"/>
        <v>0</v>
      </c>
      <c r="S186" s="163">
        <v>0</v>
      </c>
      <c r="T186" s="164">
        <f t="shared" si="29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5" t="s">
        <v>185</v>
      </c>
      <c r="AT186" s="165" t="s">
        <v>181</v>
      </c>
      <c r="AU186" s="165" t="s">
        <v>76</v>
      </c>
      <c r="AY186" s="14" t="s">
        <v>179</v>
      </c>
      <c r="BE186" s="166">
        <f t="shared" si="30"/>
        <v>0</v>
      </c>
      <c r="BF186" s="166">
        <f t="shared" si="31"/>
        <v>0</v>
      </c>
      <c r="BG186" s="166">
        <f t="shared" si="32"/>
        <v>0</v>
      </c>
      <c r="BH186" s="166">
        <f t="shared" si="33"/>
        <v>0</v>
      </c>
      <c r="BI186" s="166">
        <f t="shared" si="34"/>
        <v>0</v>
      </c>
      <c r="BJ186" s="14" t="s">
        <v>82</v>
      </c>
      <c r="BK186" s="166">
        <f t="shared" si="35"/>
        <v>0</v>
      </c>
      <c r="BL186" s="14" t="s">
        <v>185</v>
      </c>
      <c r="BM186" s="165" t="s">
        <v>333</v>
      </c>
    </row>
    <row r="187" spans="1:65" s="2" customFormat="1" ht="16.5" customHeight="1">
      <c r="A187" s="29"/>
      <c r="B187" s="152"/>
      <c r="C187" s="153" t="s">
        <v>261</v>
      </c>
      <c r="D187" s="153" t="s">
        <v>181</v>
      </c>
      <c r="E187" s="154" t="s">
        <v>1537</v>
      </c>
      <c r="F187" s="155" t="s">
        <v>1858</v>
      </c>
      <c r="G187" s="156" t="s">
        <v>217</v>
      </c>
      <c r="H187" s="157">
        <v>110</v>
      </c>
      <c r="I187" s="158"/>
      <c r="J187" s="151">
        <v>0</v>
      </c>
      <c r="K187" s="160"/>
      <c r="L187" s="30"/>
      <c r="M187" s="161" t="s">
        <v>1</v>
      </c>
      <c r="N187" s="162" t="s">
        <v>35</v>
      </c>
      <c r="O187" s="58"/>
      <c r="P187" s="163">
        <f t="shared" si="27"/>
        <v>0</v>
      </c>
      <c r="Q187" s="163">
        <v>0</v>
      </c>
      <c r="R187" s="163">
        <f t="shared" si="28"/>
        <v>0</v>
      </c>
      <c r="S187" s="163">
        <v>0</v>
      </c>
      <c r="T187" s="164">
        <f t="shared" si="29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5" t="s">
        <v>185</v>
      </c>
      <c r="AT187" s="165" t="s">
        <v>181</v>
      </c>
      <c r="AU187" s="165" t="s">
        <v>76</v>
      </c>
      <c r="AY187" s="14" t="s">
        <v>179</v>
      </c>
      <c r="BE187" s="166">
        <f t="shared" si="30"/>
        <v>0</v>
      </c>
      <c r="BF187" s="166">
        <f t="shared" si="31"/>
        <v>0</v>
      </c>
      <c r="BG187" s="166">
        <f t="shared" si="32"/>
        <v>0</v>
      </c>
      <c r="BH187" s="166">
        <f t="shared" si="33"/>
        <v>0</v>
      </c>
      <c r="BI187" s="166">
        <f t="shared" si="34"/>
        <v>0</v>
      </c>
      <c r="BJ187" s="14" t="s">
        <v>82</v>
      </c>
      <c r="BK187" s="166">
        <f t="shared" si="35"/>
        <v>0</v>
      </c>
      <c r="BL187" s="14" t="s">
        <v>185</v>
      </c>
      <c r="BM187" s="165" t="s">
        <v>336</v>
      </c>
    </row>
    <row r="188" spans="1:65" s="2" customFormat="1" ht="44.25" customHeight="1">
      <c r="A188" s="29"/>
      <c r="B188" s="152"/>
      <c r="C188" s="153" t="s">
        <v>337</v>
      </c>
      <c r="D188" s="153" t="s">
        <v>181</v>
      </c>
      <c r="E188" s="154" t="s">
        <v>1539</v>
      </c>
      <c r="F188" s="155" t="s">
        <v>1859</v>
      </c>
      <c r="G188" s="156" t="s">
        <v>293</v>
      </c>
      <c r="H188" s="157">
        <v>35</v>
      </c>
      <c r="I188" s="158"/>
      <c r="J188" s="151">
        <v>0</v>
      </c>
      <c r="K188" s="160"/>
      <c r="L188" s="30"/>
      <c r="M188" s="161" t="s">
        <v>1</v>
      </c>
      <c r="N188" s="162" t="s">
        <v>35</v>
      </c>
      <c r="O188" s="58"/>
      <c r="P188" s="163">
        <f t="shared" si="27"/>
        <v>0</v>
      </c>
      <c r="Q188" s="163">
        <v>0</v>
      </c>
      <c r="R188" s="163">
        <f t="shared" si="28"/>
        <v>0</v>
      </c>
      <c r="S188" s="163">
        <v>0</v>
      </c>
      <c r="T188" s="164">
        <f t="shared" si="29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5" t="s">
        <v>185</v>
      </c>
      <c r="AT188" s="165" t="s">
        <v>181</v>
      </c>
      <c r="AU188" s="165" t="s">
        <v>76</v>
      </c>
      <c r="AY188" s="14" t="s">
        <v>179</v>
      </c>
      <c r="BE188" s="166">
        <f t="shared" si="30"/>
        <v>0</v>
      </c>
      <c r="BF188" s="166">
        <f t="shared" si="31"/>
        <v>0</v>
      </c>
      <c r="BG188" s="166">
        <f t="shared" si="32"/>
        <v>0</v>
      </c>
      <c r="BH188" s="166">
        <f t="shared" si="33"/>
        <v>0</v>
      </c>
      <c r="BI188" s="166">
        <f t="shared" si="34"/>
        <v>0</v>
      </c>
      <c r="BJ188" s="14" t="s">
        <v>82</v>
      </c>
      <c r="BK188" s="166">
        <f t="shared" si="35"/>
        <v>0</v>
      </c>
      <c r="BL188" s="14" t="s">
        <v>185</v>
      </c>
      <c r="BM188" s="165" t="s">
        <v>340</v>
      </c>
    </row>
    <row r="189" spans="1:65" s="2" customFormat="1" ht="44.25" customHeight="1">
      <c r="A189" s="29"/>
      <c r="B189" s="152"/>
      <c r="C189" s="153" t="s">
        <v>265</v>
      </c>
      <c r="D189" s="153" t="s">
        <v>181</v>
      </c>
      <c r="E189" s="154" t="s">
        <v>1541</v>
      </c>
      <c r="F189" s="155" t="s">
        <v>1860</v>
      </c>
      <c r="G189" s="156" t="s">
        <v>293</v>
      </c>
      <c r="H189" s="157">
        <v>50</v>
      </c>
      <c r="I189" s="158"/>
      <c r="J189" s="151">
        <v>0</v>
      </c>
      <c r="K189" s="160"/>
      <c r="L189" s="30"/>
      <c r="M189" s="161" t="s">
        <v>1</v>
      </c>
      <c r="N189" s="162" t="s">
        <v>35</v>
      </c>
      <c r="O189" s="58"/>
      <c r="P189" s="163">
        <f t="shared" si="27"/>
        <v>0</v>
      </c>
      <c r="Q189" s="163">
        <v>0</v>
      </c>
      <c r="R189" s="163">
        <f t="shared" si="28"/>
        <v>0</v>
      </c>
      <c r="S189" s="163">
        <v>0</v>
      </c>
      <c r="T189" s="164">
        <f t="shared" si="29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65" t="s">
        <v>185</v>
      </c>
      <c r="AT189" s="165" t="s">
        <v>181</v>
      </c>
      <c r="AU189" s="165" t="s">
        <v>76</v>
      </c>
      <c r="AY189" s="14" t="s">
        <v>179</v>
      </c>
      <c r="BE189" s="166">
        <f t="shared" si="30"/>
        <v>0</v>
      </c>
      <c r="BF189" s="166">
        <f t="shared" si="31"/>
        <v>0</v>
      </c>
      <c r="BG189" s="166">
        <f t="shared" si="32"/>
        <v>0</v>
      </c>
      <c r="BH189" s="166">
        <f t="shared" si="33"/>
        <v>0</v>
      </c>
      <c r="BI189" s="166">
        <f t="shared" si="34"/>
        <v>0</v>
      </c>
      <c r="BJ189" s="14" t="s">
        <v>82</v>
      </c>
      <c r="BK189" s="166">
        <f t="shared" si="35"/>
        <v>0</v>
      </c>
      <c r="BL189" s="14" t="s">
        <v>185</v>
      </c>
      <c r="BM189" s="165" t="s">
        <v>343</v>
      </c>
    </row>
    <row r="190" spans="1:65" s="2" customFormat="1" ht="44.25" customHeight="1">
      <c r="A190" s="29"/>
      <c r="B190" s="152"/>
      <c r="C190" s="153" t="s">
        <v>344</v>
      </c>
      <c r="D190" s="153" t="s">
        <v>181</v>
      </c>
      <c r="E190" s="154" t="s">
        <v>1543</v>
      </c>
      <c r="F190" s="155" t="s">
        <v>1861</v>
      </c>
      <c r="G190" s="156" t="s">
        <v>293</v>
      </c>
      <c r="H190" s="157">
        <v>45</v>
      </c>
      <c r="I190" s="158"/>
      <c r="J190" s="151">
        <v>0</v>
      </c>
      <c r="K190" s="160"/>
      <c r="L190" s="30"/>
      <c r="M190" s="161" t="s">
        <v>1</v>
      </c>
      <c r="N190" s="162" t="s">
        <v>35</v>
      </c>
      <c r="O190" s="58"/>
      <c r="P190" s="163">
        <f t="shared" si="27"/>
        <v>0</v>
      </c>
      <c r="Q190" s="163">
        <v>0</v>
      </c>
      <c r="R190" s="163">
        <f t="shared" si="28"/>
        <v>0</v>
      </c>
      <c r="S190" s="163">
        <v>0</v>
      </c>
      <c r="T190" s="164">
        <f t="shared" si="29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65" t="s">
        <v>185</v>
      </c>
      <c r="AT190" s="165" t="s">
        <v>181</v>
      </c>
      <c r="AU190" s="165" t="s">
        <v>76</v>
      </c>
      <c r="AY190" s="14" t="s">
        <v>179</v>
      </c>
      <c r="BE190" s="166">
        <f t="shared" si="30"/>
        <v>0</v>
      </c>
      <c r="BF190" s="166">
        <f t="shared" si="31"/>
        <v>0</v>
      </c>
      <c r="BG190" s="166">
        <f t="shared" si="32"/>
        <v>0</v>
      </c>
      <c r="BH190" s="166">
        <f t="shared" si="33"/>
        <v>0</v>
      </c>
      <c r="BI190" s="166">
        <f t="shared" si="34"/>
        <v>0</v>
      </c>
      <c r="BJ190" s="14" t="s">
        <v>82</v>
      </c>
      <c r="BK190" s="166">
        <f t="shared" si="35"/>
        <v>0</v>
      </c>
      <c r="BL190" s="14" t="s">
        <v>185</v>
      </c>
      <c r="BM190" s="165" t="s">
        <v>354</v>
      </c>
    </row>
    <row r="191" spans="1:65" s="2" customFormat="1" ht="44.25" customHeight="1">
      <c r="A191" s="29"/>
      <c r="B191" s="152"/>
      <c r="C191" s="153" t="s">
        <v>268</v>
      </c>
      <c r="D191" s="153" t="s">
        <v>181</v>
      </c>
      <c r="E191" s="154" t="s">
        <v>1545</v>
      </c>
      <c r="F191" s="155" t="s">
        <v>1984</v>
      </c>
      <c r="G191" s="156" t="s">
        <v>293</v>
      </c>
      <c r="H191" s="157">
        <v>5</v>
      </c>
      <c r="I191" s="158"/>
      <c r="J191" s="151">
        <v>0</v>
      </c>
      <c r="K191" s="160"/>
      <c r="L191" s="30"/>
      <c r="M191" s="161" t="s">
        <v>1</v>
      </c>
      <c r="N191" s="162" t="s">
        <v>35</v>
      </c>
      <c r="O191" s="58"/>
      <c r="P191" s="163">
        <f t="shared" si="27"/>
        <v>0</v>
      </c>
      <c r="Q191" s="163">
        <v>0</v>
      </c>
      <c r="R191" s="163">
        <f t="shared" si="28"/>
        <v>0</v>
      </c>
      <c r="S191" s="163">
        <v>0</v>
      </c>
      <c r="T191" s="164">
        <f t="shared" si="29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65" t="s">
        <v>185</v>
      </c>
      <c r="AT191" s="165" t="s">
        <v>181</v>
      </c>
      <c r="AU191" s="165" t="s">
        <v>76</v>
      </c>
      <c r="AY191" s="14" t="s">
        <v>179</v>
      </c>
      <c r="BE191" s="166">
        <f t="shared" si="30"/>
        <v>0</v>
      </c>
      <c r="BF191" s="166">
        <f t="shared" si="31"/>
        <v>0</v>
      </c>
      <c r="BG191" s="166">
        <f t="shared" si="32"/>
        <v>0</v>
      </c>
      <c r="BH191" s="166">
        <f t="shared" si="33"/>
        <v>0</v>
      </c>
      <c r="BI191" s="166">
        <f t="shared" si="34"/>
        <v>0</v>
      </c>
      <c r="BJ191" s="14" t="s">
        <v>82</v>
      </c>
      <c r="BK191" s="166">
        <f t="shared" si="35"/>
        <v>0</v>
      </c>
      <c r="BL191" s="14" t="s">
        <v>185</v>
      </c>
      <c r="BM191" s="165" t="s">
        <v>357</v>
      </c>
    </row>
    <row r="192" spans="1:65" s="2" customFormat="1" ht="37.9" customHeight="1">
      <c r="A192" s="29"/>
      <c r="B192" s="152"/>
      <c r="C192" s="153" t="s">
        <v>351</v>
      </c>
      <c r="D192" s="153" t="s">
        <v>181</v>
      </c>
      <c r="E192" s="154" t="s">
        <v>1547</v>
      </c>
      <c r="F192" s="155" t="s">
        <v>1862</v>
      </c>
      <c r="G192" s="156" t="s">
        <v>293</v>
      </c>
      <c r="H192" s="157">
        <v>35</v>
      </c>
      <c r="I192" s="158"/>
      <c r="J192" s="151">
        <v>0</v>
      </c>
      <c r="K192" s="160"/>
      <c r="L192" s="30"/>
      <c r="M192" s="161" t="s">
        <v>1</v>
      </c>
      <c r="N192" s="162" t="s">
        <v>35</v>
      </c>
      <c r="O192" s="58"/>
      <c r="P192" s="163">
        <f t="shared" si="27"/>
        <v>0</v>
      </c>
      <c r="Q192" s="163">
        <v>0</v>
      </c>
      <c r="R192" s="163">
        <f t="shared" si="28"/>
        <v>0</v>
      </c>
      <c r="S192" s="163">
        <v>0</v>
      </c>
      <c r="T192" s="164">
        <f t="shared" si="29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65" t="s">
        <v>185</v>
      </c>
      <c r="AT192" s="165" t="s">
        <v>181</v>
      </c>
      <c r="AU192" s="165" t="s">
        <v>76</v>
      </c>
      <c r="AY192" s="14" t="s">
        <v>179</v>
      </c>
      <c r="BE192" s="166">
        <f t="shared" si="30"/>
        <v>0</v>
      </c>
      <c r="BF192" s="166">
        <f t="shared" si="31"/>
        <v>0</v>
      </c>
      <c r="BG192" s="166">
        <f t="shared" si="32"/>
        <v>0</v>
      </c>
      <c r="BH192" s="166">
        <f t="shared" si="33"/>
        <v>0</v>
      </c>
      <c r="BI192" s="166">
        <f t="shared" si="34"/>
        <v>0</v>
      </c>
      <c r="BJ192" s="14" t="s">
        <v>82</v>
      </c>
      <c r="BK192" s="166">
        <f t="shared" si="35"/>
        <v>0</v>
      </c>
      <c r="BL192" s="14" t="s">
        <v>185</v>
      </c>
      <c r="BM192" s="165" t="s">
        <v>361</v>
      </c>
    </row>
    <row r="193" spans="1:65" s="2" customFormat="1" ht="37.9" customHeight="1">
      <c r="A193" s="29"/>
      <c r="B193" s="152"/>
      <c r="C193" s="153" t="s">
        <v>271</v>
      </c>
      <c r="D193" s="153" t="s">
        <v>181</v>
      </c>
      <c r="E193" s="154" t="s">
        <v>1549</v>
      </c>
      <c r="F193" s="155" t="s">
        <v>1863</v>
      </c>
      <c r="G193" s="156" t="s">
        <v>293</v>
      </c>
      <c r="H193" s="157">
        <v>50</v>
      </c>
      <c r="I193" s="158"/>
      <c r="J193" s="151">
        <v>0</v>
      </c>
      <c r="K193" s="160"/>
      <c r="L193" s="30"/>
      <c r="M193" s="161" t="s">
        <v>1</v>
      </c>
      <c r="N193" s="162" t="s">
        <v>35</v>
      </c>
      <c r="O193" s="58"/>
      <c r="P193" s="163">
        <f t="shared" si="27"/>
        <v>0</v>
      </c>
      <c r="Q193" s="163">
        <v>0</v>
      </c>
      <c r="R193" s="163">
        <f t="shared" si="28"/>
        <v>0</v>
      </c>
      <c r="S193" s="163">
        <v>0</v>
      </c>
      <c r="T193" s="164">
        <f t="shared" si="29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65" t="s">
        <v>185</v>
      </c>
      <c r="AT193" s="165" t="s">
        <v>181</v>
      </c>
      <c r="AU193" s="165" t="s">
        <v>76</v>
      </c>
      <c r="AY193" s="14" t="s">
        <v>179</v>
      </c>
      <c r="BE193" s="166">
        <f t="shared" si="30"/>
        <v>0</v>
      </c>
      <c r="BF193" s="166">
        <f t="shared" si="31"/>
        <v>0</v>
      </c>
      <c r="BG193" s="166">
        <f t="shared" si="32"/>
        <v>0</v>
      </c>
      <c r="BH193" s="166">
        <f t="shared" si="33"/>
        <v>0</v>
      </c>
      <c r="BI193" s="166">
        <f t="shared" si="34"/>
        <v>0</v>
      </c>
      <c r="BJ193" s="14" t="s">
        <v>82</v>
      </c>
      <c r="BK193" s="166">
        <f t="shared" si="35"/>
        <v>0</v>
      </c>
      <c r="BL193" s="14" t="s">
        <v>185</v>
      </c>
      <c r="BM193" s="165" t="s">
        <v>364</v>
      </c>
    </row>
    <row r="194" spans="1:65" s="2" customFormat="1" ht="37.9" customHeight="1">
      <c r="A194" s="29"/>
      <c r="B194" s="152"/>
      <c r="C194" s="153" t="s">
        <v>358</v>
      </c>
      <c r="D194" s="153" t="s">
        <v>181</v>
      </c>
      <c r="E194" s="154" t="s">
        <v>1551</v>
      </c>
      <c r="F194" s="155" t="s">
        <v>1864</v>
      </c>
      <c r="G194" s="156" t="s">
        <v>293</v>
      </c>
      <c r="H194" s="157">
        <v>5</v>
      </c>
      <c r="I194" s="158"/>
      <c r="J194" s="151">
        <v>0</v>
      </c>
      <c r="K194" s="160"/>
      <c r="L194" s="30"/>
      <c r="M194" s="161" t="s">
        <v>1</v>
      </c>
      <c r="N194" s="162" t="s">
        <v>35</v>
      </c>
      <c r="O194" s="58"/>
      <c r="P194" s="163">
        <f t="shared" si="27"/>
        <v>0</v>
      </c>
      <c r="Q194" s="163">
        <v>0</v>
      </c>
      <c r="R194" s="163">
        <f t="shared" si="28"/>
        <v>0</v>
      </c>
      <c r="S194" s="163">
        <v>0</v>
      </c>
      <c r="T194" s="164">
        <f t="shared" si="29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65" t="s">
        <v>185</v>
      </c>
      <c r="AT194" s="165" t="s">
        <v>181</v>
      </c>
      <c r="AU194" s="165" t="s">
        <v>76</v>
      </c>
      <c r="AY194" s="14" t="s">
        <v>179</v>
      </c>
      <c r="BE194" s="166">
        <f t="shared" si="30"/>
        <v>0</v>
      </c>
      <c r="BF194" s="166">
        <f t="shared" si="31"/>
        <v>0</v>
      </c>
      <c r="BG194" s="166">
        <f t="shared" si="32"/>
        <v>0</v>
      </c>
      <c r="BH194" s="166">
        <f t="shared" si="33"/>
        <v>0</v>
      </c>
      <c r="BI194" s="166">
        <f t="shared" si="34"/>
        <v>0</v>
      </c>
      <c r="BJ194" s="14" t="s">
        <v>82</v>
      </c>
      <c r="BK194" s="166">
        <f t="shared" si="35"/>
        <v>0</v>
      </c>
      <c r="BL194" s="14" t="s">
        <v>185</v>
      </c>
      <c r="BM194" s="165" t="s">
        <v>368</v>
      </c>
    </row>
    <row r="195" spans="1:65" s="2" customFormat="1" ht="37.9" customHeight="1">
      <c r="A195" s="29"/>
      <c r="B195" s="152"/>
      <c r="C195" s="153" t="s">
        <v>275</v>
      </c>
      <c r="D195" s="153" t="s">
        <v>181</v>
      </c>
      <c r="E195" s="154" t="s">
        <v>1553</v>
      </c>
      <c r="F195" s="155" t="s">
        <v>1985</v>
      </c>
      <c r="G195" s="156" t="s">
        <v>293</v>
      </c>
      <c r="H195" s="157">
        <v>5</v>
      </c>
      <c r="I195" s="158"/>
      <c r="J195" s="151">
        <v>0</v>
      </c>
      <c r="K195" s="160"/>
      <c r="L195" s="30"/>
      <c r="M195" s="161" t="s">
        <v>1</v>
      </c>
      <c r="N195" s="162" t="s">
        <v>35</v>
      </c>
      <c r="O195" s="58"/>
      <c r="P195" s="163">
        <f t="shared" si="27"/>
        <v>0</v>
      </c>
      <c r="Q195" s="163">
        <v>0</v>
      </c>
      <c r="R195" s="163">
        <f t="shared" si="28"/>
        <v>0</v>
      </c>
      <c r="S195" s="163">
        <v>0</v>
      </c>
      <c r="T195" s="164">
        <f t="shared" si="29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65" t="s">
        <v>185</v>
      </c>
      <c r="AT195" s="165" t="s">
        <v>181</v>
      </c>
      <c r="AU195" s="165" t="s">
        <v>76</v>
      </c>
      <c r="AY195" s="14" t="s">
        <v>179</v>
      </c>
      <c r="BE195" s="166">
        <f t="shared" si="30"/>
        <v>0</v>
      </c>
      <c r="BF195" s="166">
        <f t="shared" si="31"/>
        <v>0</v>
      </c>
      <c r="BG195" s="166">
        <f t="shared" si="32"/>
        <v>0</v>
      </c>
      <c r="BH195" s="166">
        <f t="shared" si="33"/>
        <v>0</v>
      </c>
      <c r="BI195" s="166">
        <f t="shared" si="34"/>
        <v>0</v>
      </c>
      <c r="BJ195" s="14" t="s">
        <v>82</v>
      </c>
      <c r="BK195" s="166">
        <f t="shared" si="35"/>
        <v>0</v>
      </c>
      <c r="BL195" s="14" t="s">
        <v>185</v>
      </c>
      <c r="BM195" s="165" t="s">
        <v>371</v>
      </c>
    </row>
    <row r="196" spans="1:65" s="2" customFormat="1" ht="49.15" customHeight="1">
      <c r="A196" s="29"/>
      <c r="B196" s="152"/>
      <c r="C196" s="153" t="s">
        <v>365</v>
      </c>
      <c r="D196" s="153" t="s">
        <v>181</v>
      </c>
      <c r="E196" s="154" t="s">
        <v>1555</v>
      </c>
      <c r="F196" s="155" t="s">
        <v>1865</v>
      </c>
      <c r="G196" s="156" t="s">
        <v>217</v>
      </c>
      <c r="H196" s="157">
        <v>70</v>
      </c>
      <c r="I196" s="158"/>
      <c r="J196" s="151">
        <v>0</v>
      </c>
      <c r="K196" s="160"/>
      <c r="L196" s="30"/>
      <c r="M196" s="161" t="s">
        <v>1</v>
      </c>
      <c r="N196" s="162" t="s">
        <v>35</v>
      </c>
      <c r="O196" s="58"/>
      <c r="P196" s="163">
        <f t="shared" si="27"/>
        <v>0</v>
      </c>
      <c r="Q196" s="163">
        <v>0</v>
      </c>
      <c r="R196" s="163">
        <f t="shared" si="28"/>
        <v>0</v>
      </c>
      <c r="S196" s="163">
        <v>0</v>
      </c>
      <c r="T196" s="164">
        <f t="shared" si="29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65" t="s">
        <v>185</v>
      </c>
      <c r="AT196" s="165" t="s">
        <v>181</v>
      </c>
      <c r="AU196" s="165" t="s">
        <v>76</v>
      </c>
      <c r="AY196" s="14" t="s">
        <v>179</v>
      </c>
      <c r="BE196" s="166">
        <f t="shared" si="30"/>
        <v>0</v>
      </c>
      <c r="BF196" s="166">
        <f t="shared" si="31"/>
        <v>0</v>
      </c>
      <c r="BG196" s="166">
        <f t="shared" si="32"/>
        <v>0</v>
      </c>
      <c r="BH196" s="166">
        <f t="shared" si="33"/>
        <v>0</v>
      </c>
      <c r="BI196" s="166">
        <f t="shared" si="34"/>
        <v>0</v>
      </c>
      <c r="BJ196" s="14" t="s">
        <v>82</v>
      </c>
      <c r="BK196" s="166">
        <f t="shared" si="35"/>
        <v>0</v>
      </c>
      <c r="BL196" s="14" t="s">
        <v>185</v>
      </c>
      <c r="BM196" s="165" t="s">
        <v>375</v>
      </c>
    </row>
    <row r="197" spans="1:65" s="2" customFormat="1" ht="49.15" customHeight="1">
      <c r="A197" s="29"/>
      <c r="B197" s="152"/>
      <c r="C197" s="153" t="s">
        <v>279</v>
      </c>
      <c r="D197" s="153" t="s">
        <v>181</v>
      </c>
      <c r="E197" s="154" t="s">
        <v>1557</v>
      </c>
      <c r="F197" s="155" t="s">
        <v>1866</v>
      </c>
      <c r="G197" s="156" t="s">
        <v>217</v>
      </c>
      <c r="H197" s="157">
        <v>150</v>
      </c>
      <c r="I197" s="158"/>
      <c r="J197" s="151">
        <v>0</v>
      </c>
      <c r="K197" s="160"/>
      <c r="L197" s="30"/>
      <c r="M197" s="161" t="s">
        <v>1</v>
      </c>
      <c r="N197" s="162" t="s">
        <v>35</v>
      </c>
      <c r="O197" s="58"/>
      <c r="P197" s="163">
        <f t="shared" si="27"/>
        <v>0</v>
      </c>
      <c r="Q197" s="163">
        <v>0</v>
      </c>
      <c r="R197" s="163">
        <f t="shared" si="28"/>
        <v>0</v>
      </c>
      <c r="S197" s="163">
        <v>0</v>
      </c>
      <c r="T197" s="164">
        <f t="shared" si="29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65" t="s">
        <v>185</v>
      </c>
      <c r="AT197" s="165" t="s">
        <v>181</v>
      </c>
      <c r="AU197" s="165" t="s">
        <v>76</v>
      </c>
      <c r="AY197" s="14" t="s">
        <v>179</v>
      </c>
      <c r="BE197" s="166">
        <f t="shared" si="30"/>
        <v>0</v>
      </c>
      <c r="BF197" s="166">
        <f t="shared" si="31"/>
        <v>0</v>
      </c>
      <c r="BG197" s="166">
        <f t="shared" si="32"/>
        <v>0</v>
      </c>
      <c r="BH197" s="166">
        <f t="shared" si="33"/>
        <v>0</v>
      </c>
      <c r="BI197" s="166">
        <f t="shared" si="34"/>
        <v>0</v>
      </c>
      <c r="BJ197" s="14" t="s">
        <v>82</v>
      </c>
      <c r="BK197" s="166">
        <f t="shared" si="35"/>
        <v>0</v>
      </c>
      <c r="BL197" s="14" t="s">
        <v>185</v>
      </c>
      <c r="BM197" s="165" t="s">
        <v>378</v>
      </c>
    </row>
    <row r="198" spans="1:65" s="2" customFormat="1" ht="49.15" customHeight="1">
      <c r="A198" s="29"/>
      <c r="B198" s="152"/>
      <c r="C198" s="153" t="s">
        <v>372</v>
      </c>
      <c r="D198" s="153" t="s">
        <v>181</v>
      </c>
      <c r="E198" s="154" t="s">
        <v>1559</v>
      </c>
      <c r="F198" s="155" t="s">
        <v>1986</v>
      </c>
      <c r="G198" s="156" t="s">
        <v>217</v>
      </c>
      <c r="H198" s="157">
        <v>10</v>
      </c>
      <c r="I198" s="158"/>
      <c r="J198" s="151">
        <v>0</v>
      </c>
      <c r="K198" s="160"/>
      <c r="L198" s="30"/>
      <c r="M198" s="161" t="s">
        <v>1</v>
      </c>
      <c r="N198" s="162" t="s">
        <v>35</v>
      </c>
      <c r="O198" s="58"/>
      <c r="P198" s="163">
        <f t="shared" si="27"/>
        <v>0</v>
      </c>
      <c r="Q198" s="163">
        <v>0</v>
      </c>
      <c r="R198" s="163">
        <f t="shared" si="28"/>
        <v>0</v>
      </c>
      <c r="S198" s="163">
        <v>0</v>
      </c>
      <c r="T198" s="164">
        <f t="shared" si="29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65" t="s">
        <v>185</v>
      </c>
      <c r="AT198" s="165" t="s">
        <v>181</v>
      </c>
      <c r="AU198" s="165" t="s">
        <v>76</v>
      </c>
      <c r="AY198" s="14" t="s">
        <v>179</v>
      </c>
      <c r="BE198" s="166">
        <f t="shared" si="30"/>
        <v>0</v>
      </c>
      <c r="BF198" s="166">
        <f t="shared" si="31"/>
        <v>0</v>
      </c>
      <c r="BG198" s="166">
        <f t="shared" si="32"/>
        <v>0</v>
      </c>
      <c r="BH198" s="166">
        <f t="shared" si="33"/>
        <v>0</v>
      </c>
      <c r="BI198" s="166">
        <f t="shared" si="34"/>
        <v>0</v>
      </c>
      <c r="BJ198" s="14" t="s">
        <v>82</v>
      </c>
      <c r="BK198" s="166">
        <f t="shared" si="35"/>
        <v>0</v>
      </c>
      <c r="BL198" s="14" t="s">
        <v>185</v>
      </c>
      <c r="BM198" s="165" t="s">
        <v>382</v>
      </c>
    </row>
    <row r="199" spans="1:65" s="2" customFormat="1" ht="16.5" customHeight="1">
      <c r="A199" s="29"/>
      <c r="B199" s="152"/>
      <c r="C199" s="153" t="s">
        <v>283</v>
      </c>
      <c r="D199" s="153" t="s">
        <v>181</v>
      </c>
      <c r="E199" s="154" t="s">
        <v>1561</v>
      </c>
      <c r="F199" s="155" t="s">
        <v>1867</v>
      </c>
      <c r="G199" s="156" t="s">
        <v>217</v>
      </c>
      <c r="H199" s="157">
        <v>1</v>
      </c>
      <c r="I199" s="158"/>
      <c r="J199" s="151">
        <v>0</v>
      </c>
      <c r="K199" s="160"/>
      <c r="L199" s="30"/>
      <c r="M199" s="161" t="s">
        <v>1</v>
      </c>
      <c r="N199" s="162" t="s">
        <v>35</v>
      </c>
      <c r="O199" s="58"/>
      <c r="P199" s="163">
        <f t="shared" si="27"/>
        <v>0</v>
      </c>
      <c r="Q199" s="163">
        <v>0</v>
      </c>
      <c r="R199" s="163">
        <f t="shared" si="28"/>
        <v>0</v>
      </c>
      <c r="S199" s="163">
        <v>0</v>
      </c>
      <c r="T199" s="164">
        <f t="shared" si="29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65" t="s">
        <v>185</v>
      </c>
      <c r="AT199" s="165" t="s">
        <v>181</v>
      </c>
      <c r="AU199" s="165" t="s">
        <v>76</v>
      </c>
      <c r="AY199" s="14" t="s">
        <v>179</v>
      </c>
      <c r="BE199" s="166">
        <f t="shared" si="30"/>
        <v>0</v>
      </c>
      <c r="BF199" s="166">
        <f t="shared" si="31"/>
        <v>0</v>
      </c>
      <c r="BG199" s="166">
        <f t="shared" si="32"/>
        <v>0</v>
      </c>
      <c r="BH199" s="166">
        <f t="shared" si="33"/>
        <v>0</v>
      </c>
      <c r="BI199" s="166">
        <f t="shared" si="34"/>
        <v>0</v>
      </c>
      <c r="BJ199" s="14" t="s">
        <v>82</v>
      </c>
      <c r="BK199" s="166">
        <f t="shared" si="35"/>
        <v>0</v>
      </c>
      <c r="BL199" s="14" t="s">
        <v>185</v>
      </c>
      <c r="BM199" s="165" t="s">
        <v>385</v>
      </c>
    </row>
    <row r="200" spans="1:65" s="2" customFormat="1" ht="16.5" customHeight="1">
      <c r="A200" s="29"/>
      <c r="B200" s="152"/>
      <c r="C200" s="153" t="s">
        <v>379</v>
      </c>
      <c r="D200" s="153" t="s">
        <v>181</v>
      </c>
      <c r="E200" s="154" t="s">
        <v>1563</v>
      </c>
      <c r="F200" s="155" t="s">
        <v>1868</v>
      </c>
      <c r="G200" s="156" t="s">
        <v>217</v>
      </c>
      <c r="H200" s="157">
        <v>1</v>
      </c>
      <c r="I200" s="158"/>
      <c r="J200" s="151">
        <v>0</v>
      </c>
      <c r="K200" s="160"/>
      <c r="L200" s="30"/>
      <c r="M200" s="161" t="s">
        <v>1</v>
      </c>
      <c r="N200" s="162" t="s">
        <v>35</v>
      </c>
      <c r="O200" s="58"/>
      <c r="P200" s="163">
        <f t="shared" si="27"/>
        <v>0</v>
      </c>
      <c r="Q200" s="163">
        <v>0</v>
      </c>
      <c r="R200" s="163">
        <f t="shared" si="28"/>
        <v>0</v>
      </c>
      <c r="S200" s="163">
        <v>0</v>
      </c>
      <c r="T200" s="164">
        <f t="shared" si="29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65" t="s">
        <v>185</v>
      </c>
      <c r="AT200" s="165" t="s">
        <v>181</v>
      </c>
      <c r="AU200" s="165" t="s">
        <v>76</v>
      </c>
      <c r="AY200" s="14" t="s">
        <v>179</v>
      </c>
      <c r="BE200" s="166">
        <f t="shared" si="30"/>
        <v>0</v>
      </c>
      <c r="BF200" s="166">
        <f t="shared" si="31"/>
        <v>0</v>
      </c>
      <c r="BG200" s="166">
        <f t="shared" si="32"/>
        <v>0</v>
      </c>
      <c r="BH200" s="166">
        <f t="shared" si="33"/>
        <v>0</v>
      </c>
      <c r="BI200" s="166">
        <f t="shared" si="34"/>
        <v>0</v>
      </c>
      <c r="BJ200" s="14" t="s">
        <v>82</v>
      </c>
      <c r="BK200" s="166">
        <f t="shared" si="35"/>
        <v>0</v>
      </c>
      <c r="BL200" s="14" t="s">
        <v>185</v>
      </c>
      <c r="BM200" s="165" t="s">
        <v>390</v>
      </c>
    </row>
    <row r="201" spans="1:65" s="2" customFormat="1" ht="24.2" customHeight="1">
      <c r="A201" s="29"/>
      <c r="B201" s="152"/>
      <c r="C201" s="153" t="s">
        <v>286</v>
      </c>
      <c r="D201" s="153" t="s">
        <v>181</v>
      </c>
      <c r="E201" s="154" t="s">
        <v>1565</v>
      </c>
      <c r="F201" s="155" t="s">
        <v>1869</v>
      </c>
      <c r="G201" s="156" t="s">
        <v>217</v>
      </c>
      <c r="H201" s="157">
        <v>1</v>
      </c>
      <c r="I201" s="158"/>
      <c r="J201" s="151">
        <v>0</v>
      </c>
      <c r="K201" s="160"/>
      <c r="L201" s="30"/>
      <c r="M201" s="161" t="s">
        <v>1</v>
      </c>
      <c r="N201" s="162" t="s">
        <v>35</v>
      </c>
      <c r="O201" s="58"/>
      <c r="P201" s="163">
        <f t="shared" si="27"/>
        <v>0</v>
      </c>
      <c r="Q201" s="163">
        <v>0</v>
      </c>
      <c r="R201" s="163">
        <f t="shared" si="28"/>
        <v>0</v>
      </c>
      <c r="S201" s="163">
        <v>0</v>
      </c>
      <c r="T201" s="164">
        <f t="shared" si="29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65" t="s">
        <v>185</v>
      </c>
      <c r="AT201" s="165" t="s">
        <v>181</v>
      </c>
      <c r="AU201" s="165" t="s">
        <v>76</v>
      </c>
      <c r="AY201" s="14" t="s">
        <v>179</v>
      </c>
      <c r="BE201" s="166">
        <f t="shared" si="30"/>
        <v>0</v>
      </c>
      <c r="BF201" s="166">
        <f t="shared" si="31"/>
        <v>0</v>
      </c>
      <c r="BG201" s="166">
        <f t="shared" si="32"/>
        <v>0</v>
      </c>
      <c r="BH201" s="166">
        <f t="shared" si="33"/>
        <v>0</v>
      </c>
      <c r="BI201" s="166">
        <f t="shared" si="34"/>
        <v>0</v>
      </c>
      <c r="BJ201" s="14" t="s">
        <v>82</v>
      </c>
      <c r="BK201" s="166">
        <f t="shared" si="35"/>
        <v>0</v>
      </c>
      <c r="BL201" s="14" t="s">
        <v>185</v>
      </c>
      <c r="BM201" s="165" t="s">
        <v>393</v>
      </c>
    </row>
    <row r="202" spans="1:65" s="2" customFormat="1" ht="16.5" customHeight="1">
      <c r="A202" s="29"/>
      <c r="B202" s="152"/>
      <c r="C202" s="153" t="s">
        <v>387</v>
      </c>
      <c r="D202" s="153" t="s">
        <v>181</v>
      </c>
      <c r="E202" s="154" t="s">
        <v>1567</v>
      </c>
      <c r="F202" s="155" t="s">
        <v>1870</v>
      </c>
      <c r="G202" s="156" t="s">
        <v>293</v>
      </c>
      <c r="H202" s="157">
        <v>25</v>
      </c>
      <c r="I202" s="158"/>
      <c r="J202" s="151">
        <v>0</v>
      </c>
      <c r="K202" s="160"/>
      <c r="L202" s="30"/>
      <c r="M202" s="161" t="s">
        <v>1</v>
      </c>
      <c r="N202" s="162" t="s">
        <v>35</v>
      </c>
      <c r="O202" s="58"/>
      <c r="P202" s="163">
        <f t="shared" si="27"/>
        <v>0</v>
      </c>
      <c r="Q202" s="163">
        <v>0</v>
      </c>
      <c r="R202" s="163">
        <f t="shared" si="28"/>
        <v>0</v>
      </c>
      <c r="S202" s="163">
        <v>0</v>
      </c>
      <c r="T202" s="164">
        <f t="shared" si="29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65" t="s">
        <v>185</v>
      </c>
      <c r="AT202" s="165" t="s">
        <v>181</v>
      </c>
      <c r="AU202" s="165" t="s">
        <v>76</v>
      </c>
      <c r="AY202" s="14" t="s">
        <v>179</v>
      </c>
      <c r="BE202" s="166">
        <f t="shared" si="30"/>
        <v>0</v>
      </c>
      <c r="BF202" s="166">
        <f t="shared" si="31"/>
        <v>0</v>
      </c>
      <c r="BG202" s="166">
        <f t="shared" si="32"/>
        <v>0</v>
      </c>
      <c r="BH202" s="166">
        <f t="shared" si="33"/>
        <v>0</v>
      </c>
      <c r="BI202" s="166">
        <f t="shared" si="34"/>
        <v>0</v>
      </c>
      <c r="BJ202" s="14" t="s">
        <v>82</v>
      </c>
      <c r="BK202" s="166">
        <f t="shared" si="35"/>
        <v>0</v>
      </c>
      <c r="BL202" s="14" t="s">
        <v>185</v>
      </c>
      <c r="BM202" s="165" t="s">
        <v>397</v>
      </c>
    </row>
    <row r="203" spans="1:65" s="2" customFormat="1" ht="16.5" customHeight="1">
      <c r="A203" s="29"/>
      <c r="B203" s="152"/>
      <c r="C203" s="153" t="s">
        <v>290</v>
      </c>
      <c r="D203" s="153" t="s">
        <v>181</v>
      </c>
      <c r="E203" s="154" t="s">
        <v>1569</v>
      </c>
      <c r="F203" s="155" t="s">
        <v>1987</v>
      </c>
      <c r="G203" s="156" t="s">
        <v>293</v>
      </c>
      <c r="H203" s="157">
        <v>75</v>
      </c>
      <c r="I203" s="158"/>
      <c r="J203" s="151">
        <v>0</v>
      </c>
      <c r="K203" s="160"/>
      <c r="L203" s="30"/>
      <c r="M203" s="161" t="s">
        <v>1</v>
      </c>
      <c r="N203" s="162" t="s">
        <v>35</v>
      </c>
      <c r="O203" s="58"/>
      <c r="P203" s="163">
        <f t="shared" si="27"/>
        <v>0</v>
      </c>
      <c r="Q203" s="163">
        <v>0</v>
      </c>
      <c r="R203" s="163">
        <f t="shared" si="28"/>
        <v>0</v>
      </c>
      <c r="S203" s="163">
        <v>0</v>
      </c>
      <c r="T203" s="164">
        <f t="shared" si="29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65" t="s">
        <v>185</v>
      </c>
      <c r="AT203" s="165" t="s">
        <v>181</v>
      </c>
      <c r="AU203" s="165" t="s">
        <v>76</v>
      </c>
      <c r="AY203" s="14" t="s">
        <v>179</v>
      </c>
      <c r="BE203" s="166">
        <f t="shared" si="30"/>
        <v>0</v>
      </c>
      <c r="BF203" s="166">
        <f t="shared" si="31"/>
        <v>0</v>
      </c>
      <c r="BG203" s="166">
        <f t="shared" si="32"/>
        <v>0</v>
      </c>
      <c r="BH203" s="166">
        <f t="shared" si="33"/>
        <v>0</v>
      </c>
      <c r="BI203" s="166">
        <f t="shared" si="34"/>
        <v>0</v>
      </c>
      <c r="BJ203" s="14" t="s">
        <v>82</v>
      </c>
      <c r="BK203" s="166">
        <f t="shared" si="35"/>
        <v>0</v>
      </c>
      <c r="BL203" s="14" t="s">
        <v>185</v>
      </c>
      <c r="BM203" s="165" t="s">
        <v>400</v>
      </c>
    </row>
    <row r="204" spans="1:65" s="2" customFormat="1" ht="16.5" customHeight="1">
      <c r="A204" s="29"/>
      <c r="B204" s="152"/>
      <c r="C204" s="153" t="s">
        <v>394</v>
      </c>
      <c r="D204" s="153" t="s">
        <v>181</v>
      </c>
      <c r="E204" s="154" t="s">
        <v>1571</v>
      </c>
      <c r="F204" s="155" t="s">
        <v>1872</v>
      </c>
      <c r="G204" s="156" t="s">
        <v>293</v>
      </c>
      <c r="H204" s="157">
        <v>5</v>
      </c>
      <c r="I204" s="158"/>
      <c r="J204" s="151">
        <v>0</v>
      </c>
      <c r="K204" s="160"/>
      <c r="L204" s="30"/>
      <c r="M204" s="161" t="s">
        <v>1</v>
      </c>
      <c r="N204" s="162" t="s">
        <v>35</v>
      </c>
      <c r="O204" s="58"/>
      <c r="P204" s="163">
        <f t="shared" si="27"/>
        <v>0</v>
      </c>
      <c r="Q204" s="163">
        <v>0</v>
      </c>
      <c r="R204" s="163">
        <f t="shared" si="28"/>
        <v>0</v>
      </c>
      <c r="S204" s="163">
        <v>0</v>
      </c>
      <c r="T204" s="164">
        <f t="shared" si="29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65" t="s">
        <v>185</v>
      </c>
      <c r="AT204" s="165" t="s">
        <v>181</v>
      </c>
      <c r="AU204" s="165" t="s">
        <v>76</v>
      </c>
      <c r="AY204" s="14" t="s">
        <v>179</v>
      </c>
      <c r="BE204" s="166">
        <f t="shared" si="30"/>
        <v>0</v>
      </c>
      <c r="BF204" s="166">
        <f t="shared" si="31"/>
        <v>0</v>
      </c>
      <c r="BG204" s="166">
        <f t="shared" si="32"/>
        <v>0</v>
      </c>
      <c r="BH204" s="166">
        <f t="shared" si="33"/>
        <v>0</v>
      </c>
      <c r="BI204" s="166">
        <f t="shared" si="34"/>
        <v>0</v>
      </c>
      <c r="BJ204" s="14" t="s">
        <v>82</v>
      </c>
      <c r="BK204" s="166">
        <f t="shared" si="35"/>
        <v>0</v>
      </c>
      <c r="BL204" s="14" t="s">
        <v>185</v>
      </c>
      <c r="BM204" s="165" t="s">
        <v>404</v>
      </c>
    </row>
    <row r="205" spans="1:65" s="2" customFormat="1" ht="16.5" customHeight="1">
      <c r="A205" s="29"/>
      <c r="B205" s="152"/>
      <c r="C205" s="153" t="s">
        <v>294</v>
      </c>
      <c r="D205" s="153" t="s">
        <v>181</v>
      </c>
      <c r="E205" s="154" t="s">
        <v>1573</v>
      </c>
      <c r="F205" s="155" t="s">
        <v>1988</v>
      </c>
      <c r="G205" s="156" t="s">
        <v>293</v>
      </c>
      <c r="H205" s="157">
        <v>10</v>
      </c>
      <c r="I205" s="158"/>
      <c r="J205" s="151">
        <v>0</v>
      </c>
      <c r="K205" s="160"/>
      <c r="L205" s="30"/>
      <c r="M205" s="161" t="s">
        <v>1</v>
      </c>
      <c r="N205" s="162" t="s">
        <v>35</v>
      </c>
      <c r="O205" s="58"/>
      <c r="P205" s="163">
        <f t="shared" si="27"/>
        <v>0</v>
      </c>
      <c r="Q205" s="163">
        <v>0</v>
      </c>
      <c r="R205" s="163">
        <f t="shared" si="28"/>
        <v>0</v>
      </c>
      <c r="S205" s="163">
        <v>0</v>
      </c>
      <c r="T205" s="164">
        <f t="shared" si="29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65" t="s">
        <v>185</v>
      </c>
      <c r="AT205" s="165" t="s">
        <v>181</v>
      </c>
      <c r="AU205" s="165" t="s">
        <v>76</v>
      </c>
      <c r="AY205" s="14" t="s">
        <v>179</v>
      </c>
      <c r="BE205" s="166">
        <f t="shared" si="30"/>
        <v>0</v>
      </c>
      <c r="BF205" s="166">
        <f t="shared" si="31"/>
        <v>0</v>
      </c>
      <c r="BG205" s="166">
        <f t="shared" si="32"/>
        <v>0</v>
      </c>
      <c r="BH205" s="166">
        <f t="shared" si="33"/>
        <v>0</v>
      </c>
      <c r="BI205" s="166">
        <f t="shared" si="34"/>
        <v>0</v>
      </c>
      <c r="BJ205" s="14" t="s">
        <v>82</v>
      </c>
      <c r="BK205" s="166">
        <f t="shared" si="35"/>
        <v>0</v>
      </c>
      <c r="BL205" s="14" t="s">
        <v>185</v>
      </c>
      <c r="BM205" s="165" t="s">
        <v>407</v>
      </c>
    </row>
    <row r="206" spans="1:65" s="2" customFormat="1" ht="16.5" customHeight="1">
      <c r="A206" s="29"/>
      <c r="B206" s="152"/>
      <c r="C206" s="153" t="s">
        <v>401</v>
      </c>
      <c r="D206" s="153" t="s">
        <v>181</v>
      </c>
      <c r="E206" s="154" t="s">
        <v>1575</v>
      </c>
      <c r="F206" s="155" t="s">
        <v>1874</v>
      </c>
      <c r="G206" s="156" t="s">
        <v>293</v>
      </c>
      <c r="H206" s="157">
        <v>40</v>
      </c>
      <c r="I206" s="158"/>
      <c r="J206" s="151">
        <v>0</v>
      </c>
      <c r="K206" s="160"/>
      <c r="L206" s="30"/>
      <c r="M206" s="161" t="s">
        <v>1</v>
      </c>
      <c r="N206" s="162" t="s">
        <v>35</v>
      </c>
      <c r="O206" s="58"/>
      <c r="P206" s="163">
        <f t="shared" si="27"/>
        <v>0</v>
      </c>
      <c r="Q206" s="163">
        <v>0</v>
      </c>
      <c r="R206" s="163">
        <f t="shared" si="28"/>
        <v>0</v>
      </c>
      <c r="S206" s="163">
        <v>0</v>
      </c>
      <c r="T206" s="164">
        <f t="shared" si="29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65" t="s">
        <v>185</v>
      </c>
      <c r="AT206" s="165" t="s">
        <v>181</v>
      </c>
      <c r="AU206" s="165" t="s">
        <v>76</v>
      </c>
      <c r="AY206" s="14" t="s">
        <v>179</v>
      </c>
      <c r="BE206" s="166">
        <f t="shared" si="30"/>
        <v>0</v>
      </c>
      <c r="BF206" s="166">
        <f t="shared" si="31"/>
        <v>0</v>
      </c>
      <c r="BG206" s="166">
        <f t="shared" si="32"/>
        <v>0</v>
      </c>
      <c r="BH206" s="166">
        <f t="shared" si="33"/>
        <v>0</v>
      </c>
      <c r="BI206" s="166">
        <f t="shared" si="34"/>
        <v>0</v>
      </c>
      <c r="BJ206" s="14" t="s">
        <v>82</v>
      </c>
      <c r="BK206" s="166">
        <f t="shared" si="35"/>
        <v>0</v>
      </c>
      <c r="BL206" s="14" t="s">
        <v>185</v>
      </c>
      <c r="BM206" s="165" t="s">
        <v>411</v>
      </c>
    </row>
    <row r="207" spans="1:65" s="2" customFormat="1" ht="16.5" customHeight="1">
      <c r="A207" s="29"/>
      <c r="B207" s="152"/>
      <c r="C207" s="153" t="s">
        <v>298</v>
      </c>
      <c r="D207" s="153" t="s">
        <v>181</v>
      </c>
      <c r="E207" s="154" t="s">
        <v>1577</v>
      </c>
      <c r="F207" s="155" t="s">
        <v>1989</v>
      </c>
      <c r="G207" s="156" t="s">
        <v>217</v>
      </c>
      <c r="H207" s="157">
        <v>15</v>
      </c>
      <c r="I207" s="158"/>
      <c r="J207" s="151">
        <v>0</v>
      </c>
      <c r="K207" s="160"/>
      <c r="L207" s="30"/>
      <c r="M207" s="161" t="s">
        <v>1</v>
      </c>
      <c r="N207" s="162" t="s">
        <v>35</v>
      </c>
      <c r="O207" s="58"/>
      <c r="P207" s="163">
        <f t="shared" si="27"/>
        <v>0</v>
      </c>
      <c r="Q207" s="163">
        <v>0</v>
      </c>
      <c r="R207" s="163">
        <f t="shared" si="28"/>
        <v>0</v>
      </c>
      <c r="S207" s="163">
        <v>0</v>
      </c>
      <c r="T207" s="164">
        <f t="shared" si="29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65" t="s">
        <v>185</v>
      </c>
      <c r="AT207" s="165" t="s">
        <v>181</v>
      </c>
      <c r="AU207" s="165" t="s">
        <v>76</v>
      </c>
      <c r="AY207" s="14" t="s">
        <v>179</v>
      </c>
      <c r="BE207" s="166">
        <f t="shared" si="30"/>
        <v>0</v>
      </c>
      <c r="BF207" s="166">
        <f t="shared" si="31"/>
        <v>0</v>
      </c>
      <c r="BG207" s="166">
        <f t="shared" si="32"/>
        <v>0</v>
      </c>
      <c r="BH207" s="166">
        <f t="shared" si="33"/>
        <v>0</v>
      </c>
      <c r="BI207" s="166">
        <f t="shared" si="34"/>
        <v>0</v>
      </c>
      <c r="BJ207" s="14" t="s">
        <v>82</v>
      </c>
      <c r="BK207" s="166">
        <f t="shared" si="35"/>
        <v>0</v>
      </c>
      <c r="BL207" s="14" t="s">
        <v>185</v>
      </c>
      <c r="BM207" s="165" t="s">
        <v>414</v>
      </c>
    </row>
    <row r="208" spans="1:65" s="2" customFormat="1" ht="16.5" customHeight="1">
      <c r="A208" s="29"/>
      <c r="B208" s="152"/>
      <c r="C208" s="153" t="s">
        <v>408</v>
      </c>
      <c r="D208" s="153" t="s">
        <v>181</v>
      </c>
      <c r="E208" s="154" t="s">
        <v>1579</v>
      </c>
      <c r="F208" s="155" t="s">
        <v>1876</v>
      </c>
      <c r="G208" s="156" t="s">
        <v>217</v>
      </c>
      <c r="H208" s="157">
        <v>15</v>
      </c>
      <c r="I208" s="158"/>
      <c r="J208" s="151">
        <v>0</v>
      </c>
      <c r="K208" s="160"/>
      <c r="L208" s="30"/>
      <c r="M208" s="161" t="s">
        <v>1</v>
      </c>
      <c r="N208" s="162" t="s">
        <v>35</v>
      </c>
      <c r="O208" s="58"/>
      <c r="P208" s="163">
        <f t="shared" si="27"/>
        <v>0</v>
      </c>
      <c r="Q208" s="163">
        <v>0</v>
      </c>
      <c r="R208" s="163">
        <f t="shared" si="28"/>
        <v>0</v>
      </c>
      <c r="S208" s="163">
        <v>0</v>
      </c>
      <c r="T208" s="164">
        <f t="shared" si="29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65" t="s">
        <v>185</v>
      </c>
      <c r="AT208" s="165" t="s">
        <v>181</v>
      </c>
      <c r="AU208" s="165" t="s">
        <v>76</v>
      </c>
      <c r="AY208" s="14" t="s">
        <v>179</v>
      </c>
      <c r="BE208" s="166">
        <f t="shared" si="30"/>
        <v>0</v>
      </c>
      <c r="BF208" s="166">
        <f t="shared" si="31"/>
        <v>0</v>
      </c>
      <c r="BG208" s="166">
        <f t="shared" si="32"/>
        <v>0</v>
      </c>
      <c r="BH208" s="166">
        <f t="shared" si="33"/>
        <v>0</v>
      </c>
      <c r="BI208" s="166">
        <f t="shared" si="34"/>
        <v>0</v>
      </c>
      <c r="BJ208" s="14" t="s">
        <v>82</v>
      </c>
      <c r="BK208" s="166">
        <f t="shared" si="35"/>
        <v>0</v>
      </c>
      <c r="BL208" s="14" t="s">
        <v>185</v>
      </c>
      <c r="BM208" s="165" t="s">
        <v>418</v>
      </c>
    </row>
    <row r="209" spans="1:65" s="2" customFormat="1" ht="24.2" customHeight="1">
      <c r="A209" s="29"/>
      <c r="B209" s="152"/>
      <c r="C209" s="153" t="s">
        <v>301</v>
      </c>
      <c r="D209" s="153" t="s">
        <v>181</v>
      </c>
      <c r="E209" s="154" t="s">
        <v>1581</v>
      </c>
      <c r="F209" s="155" t="s">
        <v>1990</v>
      </c>
      <c r="G209" s="156" t="s">
        <v>217</v>
      </c>
      <c r="H209" s="157">
        <v>1</v>
      </c>
      <c r="I209" s="158"/>
      <c r="J209" s="151">
        <v>0</v>
      </c>
      <c r="K209" s="160"/>
      <c r="L209" s="30"/>
      <c r="M209" s="161" t="s">
        <v>1</v>
      </c>
      <c r="N209" s="162" t="s">
        <v>35</v>
      </c>
      <c r="O209" s="58"/>
      <c r="P209" s="163">
        <f t="shared" si="27"/>
        <v>0</v>
      </c>
      <c r="Q209" s="163">
        <v>0</v>
      </c>
      <c r="R209" s="163">
        <f t="shared" si="28"/>
        <v>0</v>
      </c>
      <c r="S209" s="163">
        <v>0</v>
      </c>
      <c r="T209" s="164">
        <f t="shared" si="29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65" t="s">
        <v>185</v>
      </c>
      <c r="AT209" s="165" t="s">
        <v>181</v>
      </c>
      <c r="AU209" s="165" t="s">
        <v>76</v>
      </c>
      <c r="AY209" s="14" t="s">
        <v>179</v>
      </c>
      <c r="BE209" s="166">
        <f t="shared" si="30"/>
        <v>0</v>
      </c>
      <c r="BF209" s="166">
        <f t="shared" si="31"/>
        <v>0</v>
      </c>
      <c r="BG209" s="166">
        <f t="shared" si="32"/>
        <v>0</v>
      </c>
      <c r="BH209" s="166">
        <f t="shared" si="33"/>
        <v>0</v>
      </c>
      <c r="BI209" s="166">
        <f t="shared" si="34"/>
        <v>0</v>
      </c>
      <c r="BJ209" s="14" t="s">
        <v>82</v>
      </c>
      <c r="BK209" s="166">
        <f t="shared" si="35"/>
        <v>0</v>
      </c>
      <c r="BL209" s="14" t="s">
        <v>185</v>
      </c>
      <c r="BM209" s="165" t="s">
        <v>421</v>
      </c>
    </row>
    <row r="210" spans="1:65" s="2" customFormat="1" ht="16.5" customHeight="1">
      <c r="A210" s="29"/>
      <c r="B210" s="152"/>
      <c r="C210" s="153" t="s">
        <v>415</v>
      </c>
      <c r="D210" s="153" t="s">
        <v>181</v>
      </c>
      <c r="E210" s="154" t="s">
        <v>1583</v>
      </c>
      <c r="F210" s="155" t="s">
        <v>1878</v>
      </c>
      <c r="G210" s="156" t="s">
        <v>217</v>
      </c>
      <c r="H210" s="157">
        <v>2</v>
      </c>
      <c r="I210" s="158"/>
      <c r="J210" s="151">
        <v>0</v>
      </c>
      <c r="K210" s="160"/>
      <c r="L210" s="30"/>
      <c r="M210" s="161" t="s">
        <v>1</v>
      </c>
      <c r="N210" s="162" t="s">
        <v>35</v>
      </c>
      <c r="O210" s="58"/>
      <c r="P210" s="163">
        <f t="shared" si="27"/>
        <v>0</v>
      </c>
      <c r="Q210" s="163">
        <v>0</v>
      </c>
      <c r="R210" s="163">
        <f t="shared" si="28"/>
        <v>0</v>
      </c>
      <c r="S210" s="163">
        <v>0</v>
      </c>
      <c r="T210" s="164">
        <f t="shared" si="29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65" t="s">
        <v>185</v>
      </c>
      <c r="AT210" s="165" t="s">
        <v>181</v>
      </c>
      <c r="AU210" s="165" t="s">
        <v>76</v>
      </c>
      <c r="AY210" s="14" t="s">
        <v>179</v>
      </c>
      <c r="BE210" s="166">
        <f t="shared" si="30"/>
        <v>0</v>
      </c>
      <c r="BF210" s="166">
        <f t="shared" si="31"/>
        <v>0</v>
      </c>
      <c r="BG210" s="166">
        <f t="shared" si="32"/>
        <v>0</v>
      </c>
      <c r="BH210" s="166">
        <f t="shared" si="33"/>
        <v>0</v>
      </c>
      <c r="BI210" s="166">
        <f t="shared" si="34"/>
        <v>0</v>
      </c>
      <c r="BJ210" s="14" t="s">
        <v>82</v>
      </c>
      <c r="BK210" s="166">
        <f t="shared" si="35"/>
        <v>0</v>
      </c>
      <c r="BL210" s="14" t="s">
        <v>185</v>
      </c>
      <c r="BM210" s="165" t="s">
        <v>425</v>
      </c>
    </row>
    <row r="211" spans="1:65" s="2" customFormat="1" ht="16.5" customHeight="1">
      <c r="A211" s="29"/>
      <c r="B211" s="152"/>
      <c r="C211" s="153" t="s">
        <v>305</v>
      </c>
      <c r="D211" s="153" t="s">
        <v>181</v>
      </c>
      <c r="E211" s="154" t="s">
        <v>1585</v>
      </c>
      <c r="F211" s="155" t="s">
        <v>1879</v>
      </c>
      <c r="G211" s="156" t="s">
        <v>217</v>
      </c>
      <c r="H211" s="157">
        <v>2</v>
      </c>
      <c r="I211" s="158"/>
      <c r="J211" s="151">
        <v>0</v>
      </c>
      <c r="K211" s="160"/>
      <c r="L211" s="30"/>
      <c r="M211" s="161" t="s">
        <v>1</v>
      </c>
      <c r="N211" s="162" t="s">
        <v>35</v>
      </c>
      <c r="O211" s="58"/>
      <c r="P211" s="163">
        <f t="shared" si="27"/>
        <v>0</v>
      </c>
      <c r="Q211" s="163">
        <v>0</v>
      </c>
      <c r="R211" s="163">
        <f t="shared" si="28"/>
        <v>0</v>
      </c>
      <c r="S211" s="163">
        <v>0</v>
      </c>
      <c r="T211" s="164">
        <f t="shared" si="29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65" t="s">
        <v>185</v>
      </c>
      <c r="AT211" s="165" t="s">
        <v>181</v>
      </c>
      <c r="AU211" s="165" t="s">
        <v>76</v>
      </c>
      <c r="AY211" s="14" t="s">
        <v>179</v>
      </c>
      <c r="BE211" s="166">
        <f t="shared" si="30"/>
        <v>0</v>
      </c>
      <c r="BF211" s="166">
        <f t="shared" si="31"/>
        <v>0</v>
      </c>
      <c r="BG211" s="166">
        <f t="shared" si="32"/>
        <v>0</v>
      </c>
      <c r="BH211" s="166">
        <f t="shared" si="33"/>
        <v>0</v>
      </c>
      <c r="BI211" s="166">
        <f t="shared" si="34"/>
        <v>0</v>
      </c>
      <c r="BJ211" s="14" t="s">
        <v>82</v>
      </c>
      <c r="BK211" s="166">
        <f t="shared" si="35"/>
        <v>0</v>
      </c>
      <c r="BL211" s="14" t="s">
        <v>185</v>
      </c>
      <c r="BM211" s="165" t="s">
        <v>428</v>
      </c>
    </row>
    <row r="212" spans="1:65" s="2" customFormat="1" ht="33" customHeight="1">
      <c r="A212" s="29"/>
      <c r="B212" s="152"/>
      <c r="C212" s="153" t="s">
        <v>422</v>
      </c>
      <c r="D212" s="153" t="s">
        <v>181</v>
      </c>
      <c r="E212" s="154" t="s">
        <v>1587</v>
      </c>
      <c r="F212" s="155" t="s">
        <v>1880</v>
      </c>
      <c r="G212" s="156" t="s">
        <v>217</v>
      </c>
      <c r="H212" s="157">
        <v>1</v>
      </c>
      <c r="I212" s="158"/>
      <c r="J212" s="151">
        <v>0</v>
      </c>
      <c r="K212" s="160"/>
      <c r="L212" s="30"/>
      <c r="M212" s="161" t="s">
        <v>1</v>
      </c>
      <c r="N212" s="162" t="s">
        <v>35</v>
      </c>
      <c r="O212" s="58"/>
      <c r="P212" s="163">
        <f t="shared" si="27"/>
        <v>0</v>
      </c>
      <c r="Q212" s="163">
        <v>0</v>
      </c>
      <c r="R212" s="163">
        <f t="shared" si="28"/>
        <v>0</v>
      </c>
      <c r="S212" s="163">
        <v>0</v>
      </c>
      <c r="T212" s="164">
        <f t="shared" si="29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65" t="s">
        <v>185</v>
      </c>
      <c r="AT212" s="165" t="s">
        <v>181</v>
      </c>
      <c r="AU212" s="165" t="s">
        <v>76</v>
      </c>
      <c r="AY212" s="14" t="s">
        <v>179</v>
      </c>
      <c r="BE212" s="166">
        <f t="shared" si="30"/>
        <v>0</v>
      </c>
      <c r="BF212" s="166">
        <f t="shared" si="31"/>
        <v>0</v>
      </c>
      <c r="BG212" s="166">
        <f t="shared" si="32"/>
        <v>0</v>
      </c>
      <c r="BH212" s="166">
        <f t="shared" si="33"/>
        <v>0</v>
      </c>
      <c r="BI212" s="166">
        <f t="shared" si="34"/>
        <v>0</v>
      </c>
      <c r="BJ212" s="14" t="s">
        <v>82</v>
      </c>
      <c r="BK212" s="166">
        <f t="shared" si="35"/>
        <v>0</v>
      </c>
      <c r="BL212" s="14" t="s">
        <v>185</v>
      </c>
      <c r="BM212" s="165" t="s">
        <v>432</v>
      </c>
    </row>
    <row r="213" spans="1:65" s="2" customFormat="1" ht="24.2" customHeight="1">
      <c r="A213" s="29"/>
      <c r="B213" s="152"/>
      <c r="C213" s="153" t="s">
        <v>308</v>
      </c>
      <c r="D213" s="153" t="s">
        <v>181</v>
      </c>
      <c r="E213" s="154" t="s">
        <v>1589</v>
      </c>
      <c r="F213" s="155" t="s">
        <v>1881</v>
      </c>
      <c r="G213" s="156" t="s">
        <v>217</v>
      </c>
      <c r="H213" s="157">
        <v>1</v>
      </c>
      <c r="I213" s="158"/>
      <c r="J213" s="151">
        <v>0</v>
      </c>
      <c r="K213" s="160"/>
      <c r="L213" s="30"/>
      <c r="M213" s="161" t="s">
        <v>1</v>
      </c>
      <c r="N213" s="162" t="s">
        <v>35</v>
      </c>
      <c r="O213" s="58"/>
      <c r="P213" s="163">
        <f t="shared" si="27"/>
        <v>0</v>
      </c>
      <c r="Q213" s="163">
        <v>0</v>
      </c>
      <c r="R213" s="163">
        <f t="shared" si="28"/>
        <v>0</v>
      </c>
      <c r="S213" s="163">
        <v>0</v>
      </c>
      <c r="T213" s="164">
        <f t="shared" si="29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65" t="s">
        <v>185</v>
      </c>
      <c r="AT213" s="165" t="s">
        <v>181</v>
      </c>
      <c r="AU213" s="165" t="s">
        <v>76</v>
      </c>
      <c r="AY213" s="14" t="s">
        <v>179</v>
      </c>
      <c r="BE213" s="166">
        <f t="shared" si="30"/>
        <v>0</v>
      </c>
      <c r="BF213" s="166">
        <f t="shared" si="31"/>
        <v>0</v>
      </c>
      <c r="BG213" s="166">
        <f t="shared" si="32"/>
        <v>0</v>
      </c>
      <c r="BH213" s="166">
        <f t="shared" si="33"/>
        <v>0</v>
      </c>
      <c r="BI213" s="166">
        <f t="shared" si="34"/>
        <v>0</v>
      </c>
      <c r="BJ213" s="14" t="s">
        <v>82</v>
      </c>
      <c r="BK213" s="166">
        <f t="shared" si="35"/>
        <v>0</v>
      </c>
      <c r="BL213" s="14" t="s">
        <v>185</v>
      </c>
      <c r="BM213" s="165" t="s">
        <v>435</v>
      </c>
    </row>
    <row r="214" spans="1:65" s="2" customFormat="1" ht="16.5" customHeight="1">
      <c r="A214" s="29"/>
      <c r="B214" s="152"/>
      <c r="C214" s="153" t="s">
        <v>429</v>
      </c>
      <c r="D214" s="153" t="s">
        <v>181</v>
      </c>
      <c r="E214" s="154" t="s">
        <v>1591</v>
      </c>
      <c r="F214" s="155" t="s">
        <v>1882</v>
      </c>
      <c r="G214" s="156" t="s">
        <v>217</v>
      </c>
      <c r="H214" s="157">
        <v>1</v>
      </c>
      <c r="I214" s="158"/>
      <c r="J214" s="151">
        <v>0</v>
      </c>
      <c r="K214" s="160"/>
      <c r="L214" s="30"/>
      <c r="M214" s="161" t="s">
        <v>1</v>
      </c>
      <c r="N214" s="162" t="s">
        <v>35</v>
      </c>
      <c r="O214" s="58"/>
      <c r="P214" s="163">
        <f t="shared" si="27"/>
        <v>0</v>
      </c>
      <c r="Q214" s="163">
        <v>0</v>
      </c>
      <c r="R214" s="163">
        <f t="shared" si="28"/>
        <v>0</v>
      </c>
      <c r="S214" s="163">
        <v>0</v>
      </c>
      <c r="T214" s="164">
        <f t="shared" si="29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65" t="s">
        <v>185</v>
      </c>
      <c r="AT214" s="165" t="s">
        <v>181</v>
      </c>
      <c r="AU214" s="165" t="s">
        <v>76</v>
      </c>
      <c r="AY214" s="14" t="s">
        <v>179</v>
      </c>
      <c r="BE214" s="166">
        <f t="shared" si="30"/>
        <v>0</v>
      </c>
      <c r="BF214" s="166">
        <f t="shared" si="31"/>
        <v>0</v>
      </c>
      <c r="BG214" s="166">
        <f t="shared" si="32"/>
        <v>0</v>
      </c>
      <c r="BH214" s="166">
        <f t="shared" si="33"/>
        <v>0</v>
      </c>
      <c r="BI214" s="166">
        <f t="shared" si="34"/>
        <v>0</v>
      </c>
      <c r="BJ214" s="14" t="s">
        <v>82</v>
      </c>
      <c r="BK214" s="166">
        <f t="shared" si="35"/>
        <v>0</v>
      </c>
      <c r="BL214" s="14" t="s">
        <v>185</v>
      </c>
      <c r="BM214" s="165" t="s">
        <v>439</v>
      </c>
    </row>
    <row r="215" spans="1:65" s="2" customFormat="1" ht="16.5" customHeight="1">
      <c r="A215" s="29"/>
      <c r="B215" s="152"/>
      <c r="C215" s="153" t="s">
        <v>312</v>
      </c>
      <c r="D215" s="153" t="s">
        <v>181</v>
      </c>
      <c r="E215" s="154" t="s">
        <v>1593</v>
      </c>
      <c r="F215" s="155" t="s">
        <v>1883</v>
      </c>
      <c r="G215" s="156" t="s">
        <v>217</v>
      </c>
      <c r="H215" s="157">
        <v>1</v>
      </c>
      <c r="I215" s="158"/>
      <c r="J215" s="151">
        <v>0</v>
      </c>
      <c r="K215" s="160"/>
      <c r="L215" s="30"/>
      <c r="M215" s="161" t="s">
        <v>1</v>
      </c>
      <c r="N215" s="162" t="s">
        <v>35</v>
      </c>
      <c r="O215" s="58"/>
      <c r="P215" s="163">
        <f t="shared" si="27"/>
        <v>0</v>
      </c>
      <c r="Q215" s="163">
        <v>0</v>
      </c>
      <c r="R215" s="163">
        <f t="shared" si="28"/>
        <v>0</v>
      </c>
      <c r="S215" s="163">
        <v>0</v>
      </c>
      <c r="T215" s="164">
        <f t="shared" si="29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65" t="s">
        <v>185</v>
      </c>
      <c r="AT215" s="165" t="s">
        <v>181</v>
      </c>
      <c r="AU215" s="165" t="s">
        <v>76</v>
      </c>
      <c r="AY215" s="14" t="s">
        <v>179</v>
      </c>
      <c r="BE215" s="166">
        <f t="shared" si="30"/>
        <v>0</v>
      </c>
      <c r="BF215" s="166">
        <f t="shared" si="31"/>
        <v>0</v>
      </c>
      <c r="BG215" s="166">
        <f t="shared" si="32"/>
        <v>0</v>
      </c>
      <c r="BH215" s="166">
        <f t="shared" si="33"/>
        <v>0</v>
      </c>
      <c r="BI215" s="166">
        <f t="shared" si="34"/>
        <v>0</v>
      </c>
      <c r="BJ215" s="14" t="s">
        <v>82</v>
      </c>
      <c r="BK215" s="166">
        <f t="shared" si="35"/>
        <v>0</v>
      </c>
      <c r="BL215" s="14" t="s">
        <v>185</v>
      </c>
      <c r="BM215" s="165" t="s">
        <v>442</v>
      </c>
    </row>
    <row r="216" spans="1:65" s="2" customFormat="1" ht="16.5" customHeight="1">
      <c r="A216" s="29"/>
      <c r="B216" s="152"/>
      <c r="C216" s="153" t="s">
        <v>436</v>
      </c>
      <c r="D216" s="153" t="s">
        <v>181</v>
      </c>
      <c r="E216" s="154" t="s">
        <v>1595</v>
      </c>
      <c r="F216" s="155" t="s">
        <v>1884</v>
      </c>
      <c r="G216" s="156" t="s">
        <v>574</v>
      </c>
      <c r="H216" s="157">
        <v>2</v>
      </c>
      <c r="I216" s="158"/>
      <c r="J216" s="151">
        <v>0</v>
      </c>
      <c r="K216" s="160"/>
      <c r="L216" s="30"/>
      <c r="M216" s="161" t="s">
        <v>1</v>
      </c>
      <c r="N216" s="162" t="s">
        <v>35</v>
      </c>
      <c r="O216" s="58"/>
      <c r="P216" s="163">
        <f t="shared" si="27"/>
        <v>0</v>
      </c>
      <c r="Q216" s="163">
        <v>0</v>
      </c>
      <c r="R216" s="163">
        <f t="shared" si="28"/>
        <v>0</v>
      </c>
      <c r="S216" s="163">
        <v>0</v>
      </c>
      <c r="T216" s="164">
        <f t="shared" si="29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65" t="s">
        <v>185</v>
      </c>
      <c r="AT216" s="165" t="s">
        <v>181</v>
      </c>
      <c r="AU216" s="165" t="s">
        <v>76</v>
      </c>
      <c r="AY216" s="14" t="s">
        <v>179</v>
      </c>
      <c r="BE216" s="166">
        <f t="shared" si="30"/>
        <v>0</v>
      </c>
      <c r="BF216" s="166">
        <f t="shared" si="31"/>
        <v>0</v>
      </c>
      <c r="BG216" s="166">
        <f t="shared" si="32"/>
        <v>0</v>
      </c>
      <c r="BH216" s="166">
        <f t="shared" si="33"/>
        <v>0</v>
      </c>
      <c r="BI216" s="166">
        <f t="shared" si="34"/>
        <v>0</v>
      </c>
      <c r="BJ216" s="14" t="s">
        <v>82</v>
      </c>
      <c r="BK216" s="166">
        <f t="shared" si="35"/>
        <v>0</v>
      </c>
      <c r="BL216" s="14" t="s">
        <v>185</v>
      </c>
      <c r="BM216" s="165" t="s">
        <v>446</v>
      </c>
    </row>
    <row r="217" spans="1:65" s="2" customFormat="1" ht="16.5" customHeight="1">
      <c r="A217" s="29"/>
      <c r="B217" s="152"/>
      <c r="C217" s="153" t="s">
        <v>315</v>
      </c>
      <c r="D217" s="153" t="s">
        <v>181</v>
      </c>
      <c r="E217" s="154" t="s">
        <v>1597</v>
      </c>
      <c r="F217" s="155" t="s">
        <v>1885</v>
      </c>
      <c r="G217" s="156" t="s">
        <v>574</v>
      </c>
      <c r="H217" s="157">
        <v>1</v>
      </c>
      <c r="I217" s="158"/>
      <c r="J217" s="151">
        <v>0</v>
      </c>
      <c r="K217" s="160"/>
      <c r="L217" s="30"/>
      <c r="M217" s="161" t="s">
        <v>1</v>
      </c>
      <c r="N217" s="162" t="s">
        <v>35</v>
      </c>
      <c r="O217" s="58"/>
      <c r="P217" s="163">
        <f t="shared" si="27"/>
        <v>0</v>
      </c>
      <c r="Q217" s="163">
        <v>0</v>
      </c>
      <c r="R217" s="163">
        <f t="shared" si="28"/>
        <v>0</v>
      </c>
      <c r="S217" s="163">
        <v>0</v>
      </c>
      <c r="T217" s="164">
        <f t="shared" si="29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65" t="s">
        <v>185</v>
      </c>
      <c r="AT217" s="165" t="s">
        <v>181</v>
      </c>
      <c r="AU217" s="165" t="s">
        <v>76</v>
      </c>
      <c r="AY217" s="14" t="s">
        <v>179</v>
      </c>
      <c r="BE217" s="166">
        <f t="shared" si="30"/>
        <v>0</v>
      </c>
      <c r="BF217" s="166">
        <f t="shared" si="31"/>
        <v>0</v>
      </c>
      <c r="BG217" s="166">
        <f t="shared" si="32"/>
        <v>0</v>
      </c>
      <c r="BH217" s="166">
        <f t="shared" si="33"/>
        <v>0</v>
      </c>
      <c r="BI217" s="166">
        <f t="shared" si="34"/>
        <v>0</v>
      </c>
      <c r="BJ217" s="14" t="s">
        <v>82</v>
      </c>
      <c r="BK217" s="166">
        <f t="shared" si="35"/>
        <v>0</v>
      </c>
      <c r="BL217" s="14" t="s">
        <v>185</v>
      </c>
      <c r="BM217" s="165" t="s">
        <v>449</v>
      </c>
    </row>
    <row r="218" spans="1:65" s="2" customFormat="1" ht="16.5" customHeight="1">
      <c r="A218" s="29"/>
      <c r="B218" s="152"/>
      <c r="C218" s="153" t="s">
        <v>443</v>
      </c>
      <c r="D218" s="153" t="s">
        <v>181</v>
      </c>
      <c r="E218" s="154" t="s">
        <v>1599</v>
      </c>
      <c r="F218" s="155" t="s">
        <v>1886</v>
      </c>
      <c r="G218" s="156" t="s">
        <v>574</v>
      </c>
      <c r="H218" s="157">
        <v>0.5</v>
      </c>
      <c r="I218" s="158"/>
      <c r="J218" s="151">
        <v>0</v>
      </c>
      <c r="K218" s="160"/>
      <c r="L218" s="30"/>
      <c r="M218" s="161" t="s">
        <v>1</v>
      </c>
      <c r="N218" s="162" t="s">
        <v>35</v>
      </c>
      <c r="O218" s="58"/>
      <c r="P218" s="163">
        <f t="shared" si="27"/>
        <v>0</v>
      </c>
      <c r="Q218" s="163">
        <v>0</v>
      </c>
      <c r="R218" s="163">
        <f t="shared" si="28"/>
        <v>0</v>
      </c>
      <c r="S218" s="163">
        <v>0</v>
      </c>
      <c r="T218" s="164">
        <f t="shared" si="29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65" t="s">
        <v>185</v>
      </c>
      <c r="AT218" s="165" t="s">
        <v>181</v>
      </c>
      <c r="AU218" s="165" t="s">
        <v>76</v>
      </c>
      <c r="AY218" s="14" t="s">
        <v>179</v>
      </c>
      <c r="BE218" s="166">
        <f t="shared" si="30"/>
        <v>0</v>
      </c>
      <c r="BF218" s="166">
        <f t="shared" si="31"/>
        <v>0</v>
      </c>
      <c r="BG218" s="166">
        <f t="shared" si="32"/>
        <v>0</v>
      </c>
      <c r="BH218" s="166">
        <f t="shared" si="33"/>
        <v>0</v>
      </c>
      <c r="BI218" s="166">
        <f t="shared" si="34"/>
        <v>0</v>
      </c>
      <c r="BJ218" s="14" t="s">
        <v>82</v>
      </c>
      <c r="BK218" s="166">
        <f t="shared" si="35"/>
        <v>0</v>
      </c>
      <c r="BL218" s="14" t="s">
        <v>185</v>
      </c>
      <c r="BM218" s="165" t="s">
        <v>453</v>
      </c>
    </row>
    <row r="219" spans="1:65" s="2" customFormat="1" ht="16.5" customHeight="1">
      <c r="A219" s="29"/>
      <c r="B219" s="152"/>
      <c r="C219" s="153" t="s">
        <v>319</v>
      </c>
      <c r="D219" s="153" t="s">
        <v>181</v>
      </c>
      <c r="E219" s="154" t="s">
        <v>1601</v>
      </c>
      <c r="F219" s="155" t="s">
        <v>1887</v>
      </c>
      <c r="G219" s="156" t="s">
        <v>574</v>
      </c>
      <c r="H219" s="157">
        <v>0.5</v>
      </c>
      <c r="I219" s="158"/>
      <c r="J219" s="151">
        <v>0</v>
      </c>
      <c r="K219" s="160"/>
      <c r="L219" s="30"/>
      <c r="M219" s="161" t="s">
        <v>1</v>
      </c>
      <c r="N219" s="162" t="s">
        <v>35</v>
      </c>
      <c r="O219" s="58"/>
      <c r="P219" s="163">
        <f t="shared" si="27"/>
        <v>0</v>
      </c>
      <c r="Q219" s="163">
        <v>0</v>
      </c>
      <c r="R219" s="163">
        <f t="shared" si="28"/>
        <v>0</v>
      </c>
      <c r="S219" s="163">
        <v>0</v>
      </c>
      <c r="T219" s="164">
        <f t="shared" si="29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65" t="s">
        <v>185</v>
      </c>
      <c r="AT219" s="165" t="s">
        <v>181</v>
      </c>
      <c r="AU219" s="165" t="s">
        <v>76</v>
      </c>
      <c r="AY219" s="14" t="s">
        <v>179</v>
      </c>
      <c r="BE219" s="166">
        <f t="shared" si="30"/>
        <v>0</v>
      </c>
      <c r="BF219" s="166">
        <f t="shared" si="31"/>
        <v>0</v>
      </c>
      <c r="BG219" s="166">
        <f t="shared" si="32"/>
        <v>0</v>
      </c>
      <c r="BH219" s="166">
        <f t="shared" si="33"/>
        <v>0</v>
      </c>
      <c r="BI219" s="166">
        <f t="shared" si="34"/>
        <v>0</v>
      </c>
      <c r="BJ219" s="14" t="s">
        <v>82</v>
      </c>
      <c r="BK219" s="166">
        <f t="shared" si="35"/>
        <v>0</v>
      </c>
      <c r="BL219" s="14" t="s">
        <v>185</v>
      </c>
      <c r="BM219" s="165" t="s">
        <v>456</v>
      </c>
    </row>
    <row r="220" spans="1:65" s="2" customFormat="1" ht="16.5" customHeight="1">
      <c r="A220" s="29"/>
      <c r="B220" s="152"/>
      <c r="C220" s="153" t="s">
        <v>450</v>
      </c>
      <c r="D220" s="153" t="s">
        <v>181</v>
      </c>
      <c r="E220" s="154" t="s">
        <v>1603</v>
      </c>
      <c r="F220" s="155" t="s">
        <v>1888</v>
      </c>
      <c r="G220" s="156" t="s">
        <v>1625</v>
      </c>
      <c r="H220" s="157">
        <v>0.5</v>
      </c>
      <c r="I220" s="158"/>
      <c r="J220" s="151">
        <v>0</v>
      </c>
      <c r="K220" s="160"/>
      <c r="L220" s="30"/>
      <c r="M220" s="161" t="s">
        <v>1</v>
      </c>
      <c r="N220" s="162" t="s">
        <v>35</v>
      </c>
      <c r="O220" s="58"/>
      <c r="P220" s="163">
        <f t="shared" si="27"/>
        <v>0</v>
      </c>
      <c r="Q220" s="163">
        <v>0</v>
      </c>
      <c r="R220" s="163">
        <f t="shared" si="28"/>
        <v>0</v>
      </c>
      <c r="S220" s="163">
        <v>0</v>
      </c>
      <c r="T220" s="164">
        <f t="shared" si="29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65" t="s">
        <v>185</v>
      </c>
      <c r="AT220" s="165" t="s">
        <v>181</v>
      </c>
      <c r="AU220" s="165" t="s">
        <v>76</v>
      </c>
      <c r="AY220" s="14" t="s">
        <v>179</v>
      </c>
      <c r="BE220" s="166">
        <f t="shared" si="30"/>
        <v>0</v>
      </c>
      <c r="BF220" s="166">
        <f t="shared" si="31"/>
        <v>0</v>
      </c>
      <c r="BG220" s="166">
        <f t="shared" si="32"/>
        <v>0</v>
      </c>
      <c r="BH220" s="166">
        <f t="shared" si="33"/>
        <v>0</v>
      </c>
      <c r="BI220" s="166">
        <f t="shared" si="34"/>
        <v>0</v>
      </c>
      <c r="BJ220" s="14" t="s">
        <v>82</v>
      </c>
      <c r="BK220" s="166">
        <f t="shared" si="35"/>
        <v>0</v>
      </c>
      <c r="BL220" s="14" t="s">
        <v>185</v>
      </c>
      <c r="BM220" s="165" t="s">
        <v>460</v>
      </c>
    </row>
    <row r="221" spans="1:65" s="2" customFormat="1" ht="16.5" customHeight="1">
      <c r="A221" s="29"/>
      <c r="B221" s="152"/>
      <c r="C221" s="153" t="s">
        <v>322</v>
      </c>
      <c r="D221" s="153" t="s">
        <v>181</v>
      </c>
      <c r="E221" s="154" t="s">
        <v>1605</v>
      </c>
      <c r="F221" s="155" t="s">
        <v>1889</v>
      </c>
      <c r="G221" s="156" t="s">
        <v>293</v>
      </c>
      <c r="H221" s="157">
        <v>1</v>
      </c>
      <c r="I221" s="158"/>
      <c r="J221" s="151">
        <v>0</v>
      </c>
      <c r="K221" s="160"/>
      <c r="L221" s="30"/>
      <c r="M221" s="161" t="s">
        <v>1</v>
      </c>
      <c r="N221" s="162" t="s">
        <v>35</v>
      </c>
      <c r="O221" s="58"/>
      <c r="P221" s="163">
        <f t="shared" si="27"/>
        <v>0</v>
      </c>
      <c r="Q221" s="163">
        <v>0</v>
      </c>
      <c r="R221" s="163">
        <f t="shared" si="28"/>
        <v>0</v>
      </c>
      <c r="S221" s="163">
        <v>0</v>
      </c>
      <c r="T221" s="164">
        <f t="shared" si="29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65" t="s">
        <v>185</v>
      </c>
      <c r="AT221" s="165" t="s">
        <v>181</v>
      </c>
      <c r="AU221" s="165" t="s">
        <v>76</v>
      </c>
      <c r="AY221" s="14" t="s">
        <v>179</v>
      </c>
      <c r="BE221" s="166">
        <f t="shared" si="30"/>
        <v>0</v>
      </c>
      <c r="BF221" s="166">
        <f t="shared" si="31"/>
        <v>0</v>
      </c>
      <c r="BG221" s="166">
        <f t="shared" si="32"/>
        <v>0</v>
      </c>
      <c r="BH221" s="166">
        <f t="shared" si="33"/>
        <v>0</v>
      </c>
      <c r="BI221" s="166">
        <f t="shared" si="34"/>
        <v>0</v>
      </c>
      <c r="BJ221" s="14" t="s">
        <v>82</v>
      </c>
      <c r="BK221" s="166">
        <f t="shared" si="35"/>
        <v>0</v>
      </c>
      <c r="BL221" s="14" t="s">
        <v>185</v>
      </c>
      <c r="BM221" s="165" t="s">
        <v>463</v>
      </c>
    </row>
    <row r="222" spans="1:65" s="12" customFormat="1" ht="22.9" customHeight="1">
      <c r="B222" s="139"/>
      <c r="D222" s="140" t="s">
        <v>68</v>
      </c>
      <c r="E222" s="150" t="s">
        <v>1432</v>
      </c>
      <c r="F222" s="150" t="s">
        <v>1661</v>
      </c>
      <c r="I222" s="142"/>
      <c r="J222" s="151">
        <v>0</v>
      </c>
      <c r="L222" s="139"/>
      <c r="M222" s="144"/>
      <c r="N222" s="145"/>
      <c r="O222" s="145"/>
      <c r="P222" s="146">
        <f>SUM(P223:P229)</f>
        <v>0</v>
      </c>
      <c r="Q222" s="145"/>
      <c r="R222" s="146">
        <f>SUM(R223:R229)</f>
        <v>0</v>
      </c>
      <c r="S222" s="145"/>
      <c r="T222" s="147">
        <f>SUM(T223:T229)</f>
        <v>0</v>
      </c>
      <c r="AR222" s="140" t="s">
        <v>76</v>
      </c>
      <c r="AT222" s="148" t="s">
        <v>68</v>
      </c>
      <c r="AU222" s="148" t="s">
        <v>76</v>
      </c>
      <c r="AY222" s="140" t="s">
        <v>179</v>
      </c>
      <c r="BK222" s="149">
        <f>SUM(BK223:BK229)</f>
        <v>0</v>
      </c>
    </row>
    <row r="223" spans="1:65" s="2" customFormat="1" ht="16.5" customHeight="1">
      <c r="A223" s="29"/>
      <c r="B223" s="152"/>
      <c r="C223" s="153" t="s">
        <v>457</v>
      </c>
      <c r="D223" s="153" t="s">
        <v>181</v>
      </c>
      <c r="E223" s="154" t="s">
        <v>1991</v>
      </c>
      <c r="F223" s="155" t="s">
        <v>1891</v>
      </c>
      <c r="G223" s="156" t="s">
        <v>217</v>
      </c>
      <c r="H223" s="157">
        <v>1</v>
      </c>
      <c r="I223" s="158"/>
      <c r="J223" s="151">
        <v>0</v>
      </c>
      <c r="K223" s="160"/>
      <c r="L223" s="30"/>
      <c r="M223" s="161" t="s">
        <v>1</v>
      </c>
      <c r="N223" s="162" t="s">
        <v>35</v>
      </c>
      <c r="O223" s="58"/>
      <c r="P223" s="163">
        <f t="shared" ref="P223:P229" si="36">O223*H223</f>
        <v>0</v>
      </c>
      <c r="Q223" s="163">
        <v>0</v>
      </c>
      <c r="R223" s="163">
        <f t="shared" ref="R223:R229" si="37">Q223*H223</f>
        <v>0</v>
      </c>
      <c r="S223" s="163">
        <v>0</v>
      </c>
      <c r="T223" s="164">
        <f t="shared" ref="T223:T229" si="38">S223*H223</f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65" t="s">
        <v>185</v>
      </c>
      <c r="AT223" s="165" t="s">
        <v>181</v>
      </c>
      <c r="AU223" s="165" t="s">
        <v>82</v>
      </c>
      <c r="AY223" s="14" t="s">
        <v>179</v>
      </c>
      <c r="BE223" s="166">
        <f t="shared" ref="BE223:BE229" si="39">IF(N223="základná",J223,0)</f>
        <v>0</v>
      </c>
      <c r="BF223" s="166">
        <f t="shared" ref="BF223:BF229" si="40">IF(N223="znížená",J223,0)</f>
        <v>0</v>
      </c>
      <c r="BG223" s="166">
        <f t="shared" ref="BG223:BG229" si="41">IF(N223="zákl. prenesená",J223,0)</f>
        <v>0</v>
      </c>
      <c r="BH223" s="166">
        <f t="shared" ref="BH223:BH229" si="42">IF(N223="zníž. prenesená",J223,0)</f>
        <v>0</v>
      </c>
      <c r="BI223" s="166">
        <f t="shared" ref="BI223:BI229" si="43">IF(N223="nulová",J223,0)</f>
        <v>0</v>
      </c>
      <c r="BJ223" s="14" t="s">
        <v>82</v>
      </c>
      <c r="BK223" s="166">
        <f t="shared" ref="BK223:BK229" si="44">ROUND(I223*H223,2)</f>
        <v>0</v>
      </c>
      <c r="BL223" s="14" t="s">
        <v>185</v>
      </c>
      <c r="BM223" s="165" t="s">
        <v>467</v>
      </c>
    </row>
    <row r="224" spans="1:65" s="2" customFormat="1" ht="16.5" customHeight="1">
      <c r="A224" s="29"/>
      <c r="B224" s="152"/>
      <c r="C224" s="153" t="s">
        <v>326</v>
      </c>
      <c r="D224" s="153" t="s">
        <v>181</v>
      </c>
      <c r="E224" s="154" t="s">
        <v>1992</v>
      </c>
      <c r="F224" s="155" t="s">
        <v>1893</v>
      </c>
      <c r="G224" s="156" t="s">
        <v>217</v>
      </c>
      <c r="H224" s="157">
        <v>1</v>
      </c>
      <c r="I224" s="158"/>
      <c r="J224" s="151">
        <v>0</v>
      </c>
      <c r="K224" s="160"/>
      <c r="L224" s="30"/>
      <c r="M224" s="161" t="s">
        <v>1</v>
      </c>
      <c r="N224" s="162" t="s">
        <v>35</v>
      </c>
      <c r="O224" s="58"/>
      <c r="P224" s="163">
        <f t="shared" si="36"/>
        <v>0</v>
      </c>
      <c r="Q224" s="163">
        <v>0</v>
      </c>
      <c r="R224" s="163">
        <f t="shared" si="37"/>
        <v>0</v>
      </c>
      <c r="S224" s="163">
        <v>0</v>
      </c>
      <c r="T224" s="164">
        <f t="shared" si="38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65" t="s">
        <v>185</v>
      </c>
      <c r="AT224" s="165" t="s">
        <v>181</v>
      </c>
      <c r="AU224" s="165" t="s">
        <v>82</v>
      </c>
      <c r="AY224" s="14" t="s">
        <v>179</v>
      </c>
      <c r="BE224" s="166">
        <f t="shared" si="39"/>
        <v>0</v>
      </c>
      <c r="BF224" s="166">
        <f t="shared" si="40"/>
        <v>0</v>
      </c>
      <c r="BG224" s="166">
        <f t="shared" si="41"/>
        <v>0</v>
      </c>
      <c r="BH224" s="166">
        <f t="shared" si="42"/>
        <v>0</v>
      </c>
      <c r="BI224" s="166">
        <f t="shared" si="43"/>
        <v>0</v>
      </c>
      <c r="BJ224" s="14" t="s">
        <v>82</v>
      </c>
      <c r="BK224" s="166">
        <f t="shared" si="44"/>
        <v>0</v>
      </c>
      <c r="BL224" s="14" t="s">
        <v>185</v>
      </c>
      <c r="BM224" s="165" t="s">
        <v>470</v>
      </c>
    </row>
    <row r="225" spans="1:65" s="2" customFormat="1" ht="16.5" customHeight="1">
      <c r="A225" s="29"/>
      <c r="B225" s="152"/>
      <c r="C225" s="153" t="s">
        <v>464</v>
      </c>
      <c r="D225" s="153" t="s">
        <v>181</v>
      </c>
      <c r="E225" s="154" t="s">
        <v>1993</v>
      </c>
      <c r="F225" s="155" t="s">
        <v>1895</v>
      </c>
      <c r="G225" s="156" t="s">
        <v>217</v>
      </c>
      <c r="H225" s="157">
        <v>2</v>
      </c>
      <c r="I225" s="158"/>
      <c r="J225" s="151">
        <v>0</v>
      </c>
      <c r="K225" s="160"/>
      <c r="L225" s="30"/>
      <c r="M225" s="161" t="s">
        <v>1</v>
      </c>
      <c r="N225" s="162" t="s">
        <v>35</v>
      </c>
      <c r="O225" s="58"/>
      <c r="P225" s="163">
        <f t="shared" si="36"/>
        <v>0</v>
      </c>
      <c r="Q225" s="163">
        <v>0</v>
      </c>
      <c r="R225" s="163">
        <f t="shared" si="37"/>
        <v>0</v>
      </c>
      <c r="S225" s="163">
        <v>0</v>
      </c>
      <c r="T225" s="164">
        <f t="shared" si="38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65" t="s">
        <v>185</v>
      </c>
      <c r="AT225" s="165" t="s">
        <v>181</v>
      </c>
      <c r="AU225" s="165" t="s">
        <v>82</v>
      </c>
      <c r="AY225" s="14" t="s">
        <v>179</v>
      </c>
      <c r="BE225" s="166">
        <f t="shared" si="39"/>
        <v>0</v>
      </c>
      <c r="BF225" s="166">
        <f t="shared" si="40"/>
        <v>0</v>
      </c>
      <c r="BG225" s="166">
        <f t="shared" si="41"/>
        <v>0</v>
      </c>
      <c r="BH225" s="166">
        <f t="shared" si="42"/>
        <v>0</v>
      </c>
      <c r="BI225" s="166">
        <f t="shared" si="43"/>
        <v>0</v>
      </c>
      <c r="BJ225" s="14" t="s">
        <v>82</v>
      </c>
      <c r="BK225" s="166">
        <f t="shared" si="44"/>
        <v>0</v>
      </c>
      <c r="BL225" s="14" t="s">
        <v>185</v>
      </c>
      <c r="BM225" s="165" t="s">
        <v>474</v>
      </c>
    </row>
    <row r="226" spans="1:65" s="2" customFormat="1" ht="16.5" customHeight="1">
      <c r="A226" s="29"/>
      <c r="B226" s="152"/>
      <c r="C226" s="153" t="s">
        <v>329</v>
      </c>
      <c r="D226" s="153" t="s">
        <v>181</v>
      </c>
      <c r="E226" s="154" t="s">
        <v>1994</v>
      </c>
      <c r="F226" s="155" t="s">
        <v>1897</v>
      </c>
      <c r="G226" s="156" t="s">
        <v>217</v>
      </c>
      <c r="H226" s="157">
        <v>1</v>
      </c>
      <c r="I226" s="158"/>
      <c r="J226" s="151">
        <v>0</v>
      </c>
      <c r="K226" s="160"/>
      <c r="L226" s="30"/>
      <c r="M226" s="161" t="s">
        <v>1</v>
      </c>
      <c r="N226" s="162" t="s">
        <v>35</v>
      </c>
      <c r="O226" s="58"/>
      <c r="P226" s="163">
        <f t="shared" si="36"/>
        <v>0</v>
      </c>
      <c r="Q226" s="163">
        <v>0</v>
      </c>
      <c r="R226" s="163">
        <f t="shared" si="37"/>
        <v>0</v>
      </c>
      <c r="S226" s="163">
        <v>0</v>
      </c>
      <c r="T226" s="164">
        <f t="shared" si="38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65" t="s">
        <v>185</v>
      </c>
      <c r="AT226" s="165" t="s">
        <v>181</v>
      </c>
      <c r="AU226" s="165" t="s">
        <v>82</v>
      </c>
      <c r="AY226" s="14" t="s">
        <v>179</v>
      </c>
      <c r="BE226" s="166">
        <f t="shared" si="39"/>
        <v>0</v>
      </c>
      <c r="BF226" s="166">
        <f t="shared" si="40"/>
        <v>0</v>
      </c>
      <c r="BG226" s="166">
        <f t="shared" si="41"/>
        <v>0</v>
      </c>
      <c r="BH226" s="166">
        <f t="shared" si="42"/>
        <v>0</v>
      </c>
      <c r="BI226" s="166">
        <f t="shared" si="43"/>
        <v>0</v>
      </c>
      <c r="BJ226" s="14" t="s">
        <v>82</v>
      </c>
      <c r="BK226" s="166">
        <f t="shared" si="44"/>
        <v>0</v>
      </c>
      <c r="BL226" s="14" t="s">
        <v>185</v>
      </c>
      <c r="BM226" s="165" t="s">
        <v>478</v>
      </c>
    </row>
    <row r="227" spans="1:65" s="2" customFormat="1" ht="16.5" customHeight="1">
      <c r="A227" s="29"/>
      <c r="B227" s="152"/>
      <c r="C227" s="153" t="s">
        <v>471</v>
      </c>
      <c r="D227" s="153" t="s">
        <v>181</v>
      </c>
      <c r="E227" s="154" t="s">
        <v>1995</v>
      </c>
      <c r="F227" s="155" t="s">
        <v>1899</v>
      </c>
      <c r="G227" s="156" t="s">
        <v>217</v>
      </c>
      <c r="H227" s="157">
        <v>1</v>
      </c>
      <c r="I227" s="158"/>
      <c r="J227" s="151">
        <v>0</v>
      </c>
      <c r="K227" s="160"/>
      <c r="L227" s="30"/>
      <c r="M227" s="161" t="s">
        <v>1</v>
      </c>
      <c r="N227" s="162" t="s">
        <v>35</v>
      </c>
      <c r="O227" s="58"/>
      <c r="P227" s="163">
        <f t="shared" si="36"/>
        <v>0</v>
      </c>
      <c r="Q227" s="163">
        <v>0</v>
      </c>
      <c r="R227" s="163">
        <f t="shared" si="37"/>
        <v>0</v>
      </c>
      <c r="S227" s="163">
        <v>0</v>
      </c>
      <c r="T227" s="164">
        <f t="shared" si="38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65" t="s">
        <v>185</v>
      </c>
      <c r="AT227" s="165" t="s">
        <v>181</v>
      </c>
      <c r="AU227" s="165" t="s">
        <v>82</v>
      </c>
      <c r="AY227" s="14" t="s">
        <v>179</v>
      </c>
      <c r="BE227" s="166">
        <f t="shared" si="39"/>
        <v>0</v>
      </c>
      <c r="BF227" s="166">
        <f t="shared" si="40"/>
        <v>0</v>
      </c>
      <c r="BG227" s="166">
        <f t="shared" si="41"/>
        <v>0</v>
      </c>
      <c r="BH227" s="166">
        <f t="shared" si="42"/>
        <v>0</v>
      </c>
      <c r="BI227" s="166">
        <f t="shared" si="43"/>
        <v>0</v>
      </c>
      <c r="BJ227" s="14" t="s">
        <v>82</v>
      </c>
      <c r="BK227" s="166">
        <f t="shared" si="44"/>
        <v>0</v>
      </c>
      <c r="BL227" s="14" t="s">
        <v>185</v>
      </c>
      <c r="BM227" s="165" t="s">
        <v>482</v>
      </c>
    </row>
    <row r="228" spans="1:65" s="2" customFormat="1" ht="16.5" customHeight="1">
      <c r="A228" s="29"/>
      <c r="B228" s="152"/>
      <c r="C228" s="153" t="s">
        <v>333</v>
      </c>
      <c r="D228" s="153" t="s">
        <v>181</v>
      </c>
      <c r="E228" s="154" t="s">
        <v>1996</v>
      </c>
      <c r="F228" s="155" t="s">
        <v>1901</v>
      </c>
      <c r="G228" s="156" t="s">
        <v>217</v>
      </c>
      <c r="H228" s="157">
        <v>1</v>
      </c>
      <c r="I228" s="158"/>
      <c r="J228" s="151">
        <v>0</v>
      </c>
      <c r="K228" s="160"/>
      <c r="L228" s="30"/>
      <c r="M228" s="161" t="s">
        <v>1</v>
      </c>
      <c r="N228" s="162" t="s">
        <v>35</v>
      </c>
      <c r="O228" s="58"/>
      <c r="P228" s="163">
        <f t="shared" si="36"/>
        <v>0</v>
      </c>
      <c r="Q228" s="163">
        <v>0</v>
      </c>
      <c r="R228" s="163">
        <f t="shared" si="37"/>
        <v>0</v>
      </c>
      <c r="S228" s="163">
        <v>0</v>
      </c>
      <c r="T228" s="164">
        <f t="shared" si="38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65" t="s">
        <v>185</v>
      </c>
      <c r="AT228" s="165" t="s">
        <v>181</v>
      </c>
      <c r="AU228" s="165" t="s">
        <v>82</v>
      </c>
      <c r="AY228" s="14" t="s">
        <v>179</v>
      </c>
      <c r="BE228" s="166">
        <f t="shared" si="39"/>
        <v>0</v>
      </c>
      <c r="BF228" s="166">
        <f t="shared" si="40"/>
        <v>0</v>
      </c>
      <c r="BG228" s="166">
        <f t="shared" si="41"/>
        <v>0</v>
      </c>
      <c r="BH228" s="166">
        <f t="shared" si="42"/>
        <v>0</v>
      </c>
      <c r="BI228" s="166">
        <f t="shared" si="43"/>
        <v>0</v>
      </c>
      <c r="BJ228" s="14" t="s">
        <v>82</v>
      </c>
      <c r="BK228" s="166">
        <f t="shared" si="44"/>
        <v>0</v>
      </c>
      <c r="BL228" s="14" t="s">
        <v>185</v>
      </c>
      <c r="BM228" s="165" t="s">
        <v>485</v>
      </c>
    </row>
    <row r="229" spans="1:65" s="2" customFormat="1" ht="21.75" customHeight="1">
      <c r="A229" s="29"/>
      <c r="B229" s="152"/>
      <c r="C229" s="153" t="s">
        <v>479</v>
      </c>
      <c r="D229" s="153" t="s">
        <v>181</v>
      </c>
      <c r="E229" s="154" t="s">
        <v>1997</v>
      </c>
      <c r="F229" s="155" t="s">
        <v>1903</v>
      </c>
      <c r="G229" s="156" t="s">
        <v>217</v>
      </c>
      <c r="H229" s="157">
        <v>1</v>
      </c>
      <c r="I229" s="158"/>
      <c r="J229" s="151">
        <v>0</v>
      </c>
      <c r="K229" s="160"/>
      <c r="L229" s="30"/>
      <c r="M229" s="161" t="s">
        <v>1</v>
      </c>
      <c r="N229" s="162" t="s">
        <v>35</v>
      </c>
      <c r="O229" s="58"/>
      <c r="P229" s="163">
        <f t="shared" si="36"/>
        <v>0</v>
      </c>
      <c r="Q229" s="163">
        <v>0</v>
      </c>
      <c r="R229" s="163">
        <f t="shared" si="37"/>
        <v>0</v>
      </c>
      <c r="S229" s="163">
        <v>0</v>
      </c>
      <c r="T229" s="164">
        <f t="shared" si="38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65" t="s">
        <v>185</v>
      </c>
      <c r="AT229" s="165" t="s">
        <v>181</v>
      </c>
      <c r="AU229" s="165" t="s">
        <v>82</v>
      </c>
      <c r="AY229" s="14" t="s">
        <v>179</v>
      </c>
      <c r="BE229" s="166">
        <f t="shared" si="39"/>
        <v>0</v>
      </c>
      <c r="BF229" s="166">
        <f t="shared" si="40"/>
        <v>0</v>
      </c>
      <c r="BG229" s="166">
        <f t="shared" si="41"/>
        <v>0</v>
      </c>
      <c r="BH229" s="166">
        <f t="shared" si="42"/>
        <v>0</v>
      </c>
      <c r="BI229" s="166">
        <f t="shared" si="43"/>
        <v>0</v>
      </c>
      <c r="BJ229" s="14" t="s">
        <v>82</v>
      </c>
      <c r="BK229" s="166">
        <f t="shared" si="44"/>
        <v>0</v>
      </c>
      <c r="BL229" s="14" t="s">
        <v>185</v>
      </c>
      <c r="BM229" s="165" t="s">
        <v>489</v>
      </c>
    </row>
    <row r="230" spans="1:65" s="12" customFormat="1" ht="22.9" customHeight="1">
      <c r="B230" s="139"/>
      <c r="D230" s="140" t="s">
        <v>68</v>
      </c>
      <c r="E230" s="150" t="s">
        <v>1465</v>
      </c>
      <c r="F230" s="150" t="s">
        <v>1904</v>
      </c>
      <c r="I230" s="142"/>
      <c r="J230" s="151">
        <v>0</v>
      </c>
      <c r="L230" s="139"/>
      <c r="M230" s="144"/>
      <c r="N230" s="145"/>
      <c r="O230" s="145"/>
      <c r="P230" s="146">
        <f>SUM(P231:P232)</f>
        <v>0</v>
      </c>
      <c r="Q230" s="145"/>
      <c r="R230" s="146">
        <f>SUM(R231:R232)</f>
        <v>0</v>
      </c>
      <c r="S230" s="145"/>
      <c r="T230" s="147">
        <f>SUM(T231:T232)</f>
        <v>0</v>
      </c>
      <c r="AR230" s="140" t="s">
        <v>76</v>
      </c>
      <c r="AT230" s="148" t="s">
        <v>68</v>
      </c>
      <c r="AU230" s="148" t="s">
        <v>76</v>
      </c>
      <c r="AY230" s="140" t="s">
        <v>179</v>
      </c>
      <c r="BK230" s="149">
        <f>SUM(BK231:BK232)</f>
        <v>0</v>
      </c>
    </row>
    <row r="231" spans="1:65" s="2" customFormat="1" ht="16.5" customHeight="1">
      <c r="A231" s="29"/>
      <c r="B231" s="152"/>
      <c r="C231" s="153" t="s">
        <v>336</v>
      </c>
      <c r="D231" s="153" t="s">
        <v>181</v>
      </c>
      <c r="E231" s="154" t="s">
        <v>1998</v>
      </c>
      <c r="F231" s="155" t="s">
        <v>1906</v>
      </c>
      <c r="G231" s="156" t="s">
        <v>217</v>
      </c>
      <c r="H231" s="157">
        <v>1</v>
      </c>
      <c r="I231" s="158"/>
      <c r="J231" s="151">
        <v>0</v>
      </c>
      <c r="K231" s="160"/>
      <c r="L231" s="30"/>
      <c r="M231" s="161" t="s">
        <v>1</v>
      </c>
      <c r="N231" s="162" t="s">
        <v>35</v>
      </c>
      <c r="O231" s="58"/>
      <c r="P231" s="163">
        <f>O231*H231</f>
        <v>0</v>
      </c>
      <c r="Q231" s="163">
        <v>0</v>
      </c>
      <c r="R231" s="163">
        <f>Q231*H231</f>
        <v>0</v>
      </c>
      <c r="S231" s="163">
        <v>0</v>
      </c>
      <c r="T231" s="164">
        <f>S231*H231</f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65" t="s">
        <v>185</v>
      </c>
      <c r="AT231" s="165" t="s">
        <v>181</v>
      </c>
      <c r="AU231" s="165" t="s">
        <v>82</v>
      </c>
      <c r="AY231" s="14" t="s">
        <v>179</v>
      </c>
      <c r="BE231" s="166">
        <f>IF(N231="základná",J231,0)</f>
        <v>0</v>
      </c>
      <c r="BF231" s="166">
        <f>IF(N231="znížená",J231,0)</f>
        <v>0</v>
      </c>
      <c r="BG231" s="166">
        <f>IF(N231="zákl. prenesená",J231,0)</f>
        <v>0</v>
      </c>
      <c r="BH231" s="166">
        <f>IF(N231="zníž. prenesená",J231,0)</f>
        <v>0</v>
      </c>
      <c r="BI231" s="166">
        <f>IF(N231="nulová",J231,0)</f>
        <v>0</v>
      </c>
      <c r="BJ231" s="14" t="s">
        <v>82</v>
      </c>
      <c r="BK231" s="166">
        <f>ROUND(I231*H231,2)</f>
        <v>0</v>
      </c>
      <c r="BL231" s="14" t="s">
        <v>185</v>
      </c>
      <c r="BM231" s="165" t="s">
        <v>492</v>
      </c>
    </row>
    <row r="232" spans="1:65" s="2" customFormat="1" ht="16.5" customHeight="1">
      <c r="A232" s="29"/>
      <c r="B232" s="152"/>
      <c r="C232" s="153" t="s">
        <v>486</v>
      </c>
      <c r="D232" s="153" t="s">
        <v>181</v>
      </c>
      <c r="E232" s="154" t="s">
        <v>1999</v>
      </c>
      <c r="F232" s="155" t="s">
        <v>1908</v>
      </c>
      <c r="G232" s="156" t="s">
        <v>217</v>
      </c>
      <c r="H232" s="157">
        <v>2</v>
      </c>
      <c r="I232" s="158"/>
      <c r="J232" s="151">
        <v>0</v>
      </c>
      <c r="K232" s="160"/>
      <c r="L232" s="30"/>
      <c r="M232" s="161" t="s">
        <v>1</v>
      </c>
      <c r="N232" s="162" t="s">
        <v>35</v>
      </c>
      <c r="O232" s="58"/>
      <c r="P232" s="163">
        <f>O232*H232</f>
        <v>0</v>
      </c>
      <c r="Q232" s="163">
        <v>0</v>
      </c>
      <c r="R232" s="163">
        <f>Q232*H232</f>
        <v>0</v>
      </c>
      <c r="S232" s="163">
        <v>0</v>
      </c>
      <c r="T232" s="164">
        <f>S232*H232</f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65" t="s">
        <v>185</v>
      </c>
      <c r="AT232" s="165" t="s">
        <v>181</v>
      </c>
      <c r="AU232" s="165" t="s">
        <v>82</v>
      </c>
      <c r="AY232" s="14" t="s">
        <v>179</v>
      </c>
      <c r="BE232" s="166">
        <f>IF(N232="základná",J232,0)</f>
        <v>0</v>
      </c>
      <c r="BF232" s="166">
        <f>IF(N232="znížená",J232,0)</f>
        <v>0</v>
      </c>
      <c r="BG232" s="166">
        <f>IF(N232="zákl. prenesená",J232,0)</f>
        <v>0</v>
      </c>
      <c r="BH232" s="166">
        <f>IF(N232="zníž. prenesená",J232,0)</f>
        <v>0</v>
      </c>
      <c r="BI232" s="166">
        <f>IF(N232="nulová",J232,0)</f>
        <v>0</v>
      </c>
      <c r="BJ232" s="14" t="s">
        <v>82</v>
      </c>
      <c r="BK232" s="166">
        <f>ROUND(I232*H232,2)</f>
        <v>0</v>
      </c>
      <c r="BL232" s="14" t="s">
        <v>185</v>
      </c>
      <c r="BM232" s="165" t="s">
        <v>496</v>
      </c>
    </row>
    <row r="233" spans="1:65" s="12" customFormat="1" ht="22.9" customHeight="1">
      <c r="B233" s="139"/>
      <c r="D233" s="140" t="s">
        <v>68</v>
      </c>
      <c r="E233" s="150" t="s">
        <v>1467</v>
      </c>
      <c r="F233" s="150" t="s">
        <v>1909</v>
      </c>
      <c r="I233" s="142"/>
      <c r="J233" s="151">
        <v>0</v>
      </c>
      <c r="L233" s="139"/>
      <c r="M233" s="144"/>
      <c r="N233" s="145"/>
      <c r="O233" s="145"/>
      <c r="P233" s="146">
        <f>SUM(P234:P242)</f>
        <v>0</v>
      </c>
      <c r="Q233" s="145"/>
      <c r="R233" s="146">
        <f>SUM(R234:R242)</f>
        <v>0</v>
      </c>
      <c r="S233" s="145"/>
      <c r="T233" s="147">
        <f>SUM(T234:T242)</f>
        <v>0</v>
      </c>
      <c r="AR233" s="140" t="s">
        <v>76</v>
      </c>
      <c r="AT233" s="148" t="s">
        <v>68</v>
      </c>
      <c r="AU233" s="148" t="s">
        <v>76</v>
      </c>
      <c r="AY233" s="140" t="s">
        <v>179</v>
      </c>
      <c r="BK233" s="149">
        <f>SUM(BK234:BK242)</f>
        <v>0</v>
      </c>
    </row>
    <row r="234" spans="1:65" s="2" customFormat="1" ht="24.2" customHeight="1">
      <c r="A234" s="29"/>
      <c r="B234" s="152"/>
      <c r="C234" s="153" t="s">
        <v>340</v>
      </c>
      <c r="D234" s="153" t="s">
        <v>181</v>
      </c>
      <c r="E234" s="154" t="s">
        <v>2000</v>
      </c>
      <c r="F234" s="339" t="s">
        <v>3420</v>
      </c>
      <c r="G234" s="156" t="s">
        <v>217</v>
      </c>
      <c r="H234" s="157">
        <v>3</v>
      </c>
      <c r="I234" s="158"/>
      <c r="J234" s="151">
        <v>0</v>
      </c>
      <c r="K234" s="160"/>
      <c r="L234" s="30"/>
      <c r="M234" s="161" t="s">
        <v>1</v>
      </c>
      <c r="N234" s="162" t="s">
        <v>35</v>
      </c>
      <c r="O234" s="58"/>
      <c r="P234" s="163">
        <f t="shared" ref="P234:P242" si="45">O234*H234</f>
        <v>0</v>
      </c>
      <c r="Q234" s="163">
        <v>0</v>
      </c>
      <c r="R234" s="163">
        <f t="shared" ref="R234:R242" si="46">Q234*H234</f>
        <v>0</v>
      </c>
      <c r="S234" s="163">
        <v>0</v>
      </c>
      <c r="T234" s="164">
        <f t="shared" ref="T234:T242" si="47">S234*H234</f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65" t="s">
        <v>185</v>
      </c>
      <c r="AT234" s="165" t="s">
        <v>181</v>
      </c>
      <c r="AU234" s="165" t="s">
        <v>82</v>
      </c>
      <c r="AY234" s="14" t="s">
        <v>179</v>
      </c>
      <c r="BE234" s="166">
        <f t="shared" ref="BE234:BE242" si="48">IF(N234="základná",J234,0)</f>
        <v>0</v>
      </c>
      <c r="BF234" s="166">
        <f t="shared" ref="BF234:BF242" si="49">IF(N234="znížená",J234,0)</f>
        <v>0</v>
      </c>
      <c r="BG234" s="166">
        <f t="shared" ref="BG234:BG242" si="50">IF(N234="zákl. prenesená",J234,0)</f>
        <v>0</v>
      </c>
      <c r="BH234" s="166">
        <f t="shared" ref="BH234:BH242" si="51">IF(N234="zníž. prenesená",J234,0)</f>
        <v>0</v>
      </c>
      <c r="BI234" s="166">
        <f t="shared" ref="BI234:BI242" si="52">IF(N234="nulová",J234,0)</f>
        <v>0</v>
      </c>
      <c r="BJ234" s="14" t="s">
        <v>82</v>
      </c>
      <c r="BK234" s="166">
        <f t="shared" ref="BK234:BK242" si="53">ROUND(I234*H234,2)</f>
        <v>0</v>
      </c>
      <c r="BL234" s="14" t="s">
        <v>185</v>
      </c>
      <c r="BM234" s="165" t="s">
        <v>499</v>
      </c>
    </row>
    <row r="235" spans="1:65" s="2" customFormat="1" ht="24.2" customHeight="1">
      <c r="A235" s="29"/>
      <c r="B235" s="152"/>
      <c r="C235" s="153" t="s">
        <v>493</v>
      </c>
      <c r="D235" s="153" t="s">
        <v>181</v>
      </c>
      <c r="E235" s="154" t="s">
        <v>2001</v>
      </c>
      <c r="F235" s="155" t="s">
        <v>1912</v>
      </c>
      <c r="G235" s="156" t="s">
        <v>217</v>
      </c>
      <c r="H235" s="157">
        <v>3</v>
      </c>
      <c r="I235" s="158"/>
      <c r="J235" s="151">
        <v>0</v>
      </c>
      <c r="K235" s="160"/>
      <c r="L235" s="30"/>
      <c r="M235" s="161" t="s">
        <v>1</v>
      </c>
      <c r="N235" s="162" t="s">
        <v>35</v>
      </c>
      <c r="O235" s="58"/>
      <c r="P235" s="163">
        <f t="shared" si="45"/>
        <v>0</v>
      </c>
      <c r="Q235" s="163">
        <v>0</v>
      </c>
      <c r="R235" s="163">
        <f t="shared" si="46"/>
        <v>0</v>
      </c>
      <c r="S235" s="163">
        <v>0</v>
      </c>
      <c r="T235" s="164">
        <f t="shared" si="47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65" t="s">
        <v>185</v>
      </c>
      <c r="AT235" s="165" t="s">
        <v>181</v>
      </c>
      <c r="AU235" s="165" t="s">
        <v>82</v>
      </c>
      <c r="AY235" s="14" t="s">
        <v>179</v>
      </c>
      <c r="BE235" s="166">
        <f t="shared" si="48"/>
        <v>0</v>
      </c>
      <c r="BF235" s="166">
        <f t="shared" si="49"/>
        <v>0</v>
      </c>
      <c r="BG235" s="166">
        <f t="shared" si="50"/>
        <v>0</v>
      </c>
      <c r="BH235" s="166">
        <f t="shared" si="51"/>
        <v>0</v>
      </c>
      <c r="BI235" s="166">
        <f t="shared" si="52"/>
        <v>0</v>
      </c>
      <c r="BJ235" s="14" t="s">
        <v>82</v>
      </c>
      <c r="BK235" s="166">
        <f t="shared" si="53"/>
        <v>0</v>
      </c>
      <c r="BL235" s="14" t="s">
        <v>185</v>
      </c>
      <c r="BM235" s="165" t="s">
        <v>503</v>
      </c>
    </row>
    <row r="236" spans="1:65" s="2" customFormat="1" ht="52.5" customHeight="1">
      <c r="A236" s="29"/>
      <c r="B236" s="152"/>
      <c r="C236" s="153" t="s">
        <v>343</v>
      </c>
      <c r="D236" s="153" t="s">
        <v>181</v>
      </c>
      <c r="E236" s="154" t="s">
        <v>2002</v>
      </c>
      <c r="F236" s="339" t="s">
        <v>3421</v>
      </c>
      <c r="G236" s="156" t="s">
        <v>217</v>
      </c>
      <c r="H236" s="157">
        <v>1</v>
      </c>
      <c r="I236" s="158"/>
      <c r="J236" s="151">
        <v>0</v>
      </c>
      <c r="K236" s="160"/>
      <c r="L236" s="30"/>
      <c r="M236" s="161" t="s">
        <v>1</v>
      </c>
      <c r="N236" s="162" t="s">
        <v>35</v>
      </c>
      <c r="O236" s="58"/>
      <c r="P236" s="163">
        <f t="shared" si="45"/>
        <v>0</v>
      </c>
      <c r="Q236" s="163">
        <v>0</v>
      </c>
      <c r="R236" s="163">
        <f t="shared" si="46"/>
        <v>0</v>
      </c>
      <c r="S236" s="163">
        <v>0</v>
      </c>
      <c r="T236" s="164">
        <f t="shared" si="47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65" t="s">
        <v>185</v>
      </c>
      <c r="AT236" s="165" t="s">
        <v>181</v>
      </c>
      <c r="AU236" s="165" t="s">
        <v>82</v>
      </c>
      <c r="AY236" s="14" t="s">
        <v>179</v>
      </c>
      <c r="BE236" s="166">
        <f t="shared" si="48"/>
        <v>0</v>
      </c>
      <c r="BF236" s="166">
        <f t="shared" si="49"/>
        <v>0</v>
      </c>
      <c r="BG236" s="166">
        <f t="shared" si="50"/>
        <v>0</v>
      </c>
      <c r="BH236" s="166">
        <f t="shared" si="51"/>
        <v>0</v>
      </c>
      <c r="BI236" s="166">
        <f t="shared" si="52"/>
        <v>0</v>
      </c>
      <c r="BJ236" s="14" t="s">
        <v>82</v>
      </c>
      <c r="BK236" s="166">
        <f t="shared" si="53"/>
        <v>0</v>
      </c>
      <c r="BL236" s="14" t="s">
        <v>185</v>
      </c>
      <c r="BM236" s="165" t="s">
        <v>506</v>
      </c>
    </row>
    <row r="237" spans="1:65" s="2" customFormat="1" ht="16.5" customHeight="1">
      <c r="A237" s="29"/>
      <c r="B237" s="152"/>
      <c r="C237" s="153" t="s">
        <v>500</v>
      </c>
      <c r="D237" s="153" t="s">
        <v>181</v>
      </c>
      <c r="E237" s="154" t="s">
        <v>2003</v>
      </c>
      <c r="F237" s="155" t="s">
        <v>1915</v>
      </c>
      <c r="G237" s="156" t="s">
        <v>217</v>
      </c>
      <c r="H237" s="157">
        <v>1</v>
      </c>
      <c r="I237" s="158"/>
      <c r="J237" s="151">
        <v>0</v>
      </c>
      <c r="K237" s="160"/>
      <c r="L237" s="30"/>
      <c r="M237" s="161" t="s">
        <v>1</v>
      </c>
      <c r="N237" s="162" t="s">
        <v>35</v>
      </c>
      <c r="O237" s="58"/>
      <c r="P237" s="163">
        <f t="shared" si="45"/>
        <v>0</v>
      </c>
      <c r="Q237" s="163">
        <v>0</v>
      </c>
      <c r="R237" s="163">
        <f t="shared" si="46"/>
        <v>0</v>
      </c>
      <c r="S237" s="163">
        <v>0</v>
      </c>
      <c r="T237" s="164">
        <f t="shared" si="47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65" t="s">
        <v>185</v>
      </c>
      <c r="AT237" s="165" t="s">
        <v>181</v>
      </c>
      <c r="AU237" s="165" t="s">
        <v>82</v>
      </c>
      <c r="AY237" s="14" t="s">
        <v>179</v>
      </c>
      <c r="BE237" s="166">
        <f t="shared" si="48"/>
        <v>0</v>
      </c>
      <c r="BF237" s="166">
        <f t="shared" si="49"/>
        <v>0</v>
      </c>
      <c r="BG237" s="166">
        <f t="shared" si="50"/>
        <v>0</v>
      </c>
      <c r="BH237" s="166">
        <f t="shared" si="51"/>
        <v>0</v>
      </c>
      <c r="BI237" s="166">
        <f t="shared" si="52"/>
        <v>0</v>
      </c>
      <c r="BJ237" s="14" t="s">
        <v>82</v>
      </c>
      <c r="BK237" s="166">
        <f t="shared" si="53"/>
        <v>0</v>
      </c>
      <c r="BL237" s="14" t="s">
        <v>185</v>
      </c>
      <c r="BM237" s="165" t="s">
        <v>510</v>
      </c>
    </row>
    <row r="238" spans="1:65" s="2" customFormat="1" ht="16.5" customHeight="1">
      <c r="A238" s="29"/>
      <c r="B238" s="152"/>
      <c r="C238" s="153" t="s">
        <v>354</v>
      </c>
      <c r="D238" s="153" t="s">
        <v>181</v>
      </c>
      <c r="E238" s="154" t="s">
        <v>2004</v>
      </c>
      <c r="F238" s="155" t="s">
        <v>1745</v>
      </c>
      <c r="G238" s="156" t="s">
        <v>585</v>
      </c>
      <c r="H238" s="178"/>
      <c r="I238" s="158"/>
      <c r="J238" s="151">
        <v>0</v>
      </c>
      <c r="K238" s="160"/>
      <c r="L238" s="30"/>
      <c r="M238" s="161" t="s">
        <v>1</v>
      </c>
      <c r="N238" s="162" t="s">
        <v>35</v>
      </c>
      <c r="O238" s="58"/>
      <c r="P238" s="163">
        <f t="shared" si="45"/>
        <v>0</v>
      </c>
      <c r="Q238" s="163">
        <v>0</v>
      </c>
      <c r="R238" s="163">
        <f t="shared" si="46"/>
        <v>0</v>
      </c>
      <c r="S238" s="163">
        <v>0</v>
      </c>
      <c r="T238" s="164">
        <f t="shared" si="47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65" t="s">
        <v>185</v>
      </c>
      <c r="AT238" s="165" t="s">
        <v>181</v>
      </c>
      <c r="AU238" s="165" t="s">
        <v>82</v>
      </c>
      <c r="AY238" s="14" t="s">
        <v>179</v>
      </c>
      <c r="BE238" s="166">
        <f t="shared" si="48"/>
        <v>0</v>
      </c>
      <c r="BF238" s="166">
        <f t="shared" si="49"/>
        <v>0</v>
      </c>
      <c r="BG238" s="166">
        <f t="shared" si="50"/>
        <v>0</v>
      </c>
      <c r="BH238" s="166">
        <f t="shared" si="51"/>
        <v>0</v>
      </c>
      <c r="BI238" s="166">
        <f t="shared" si="52"/>
        <v>0</v>
      </c>
      <c r="BJ238" s="14" t="s">
        <v>82</v>
      </c>
      <c r="BK238" s="166">
        <f t="shared" si="53"/>
        <v>0</v>
      </c>
      <c r="BL238" s="14" t="s">
        <v>185</v>
      </c>
      <c r="BM238" s="165" t="s">
        <v>517</v>
      </c>
    </row>
    <row r="239" spans="1:65" s="2" customFormat="1" ht="16.5" customHeight="1">
      <c r="A239" s="29"/>
      <c r="B239" s="152"/>
      <c r="C239" s="153" t="s">
        <v>507</v>
      </c>
      <c r="D239" s="153" t="s">
        <v>181</v>
      </c>
      <c r="E239" s="154" t="s">
        <v>2005</v>
      </c>
      <c r="F239" s="155" t="s">
        <v>1770</v>
      </c>
      <c r="G239" s="156" t="s">
        <v>1771</v>
      </c>
      <c r="H239" s="157">
        <v>1</v>
      </c>
      <c r="I239" s="158"/>
      <c r="J239" s="151">
        <v>0</v>
      </c>
      <c r="K239" s="160"/>
      <c r="L239" s="30"/>
      <c r="M239" s="161" t="s">
        <v>1</v>
      </c>
      <c r="N239" s="162" t="s">
        <v>35</v>
      </c>
      <c r="O239" s="58"/>
      <c r="P239" s="163">
        <f t="shared" si="45"/>
        <v>0</v>
      </c>
      <c r="Q239" s="163">
        <v>0</v>
      </c>
      <c r="R239" s="163">
        <f t="shared" si="46"/>
        <v>0</v>
      </c>
      <c r="S239" s="163">
        <v>0</v>
      </c>
      <c r="T239" s="164">
        <f t="shared" si="47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65" t="s">
        <v>185</v>
      </c>
      <c r="AT239" s="165" t="s">
        <v>181</v>
      </c>
      <c r="AU239" s="165" t="s">
        <v>82</v>
      </c>
      <c r="AY239" s="14" t="s">
        <v>179</v>
      </c>
      <c r="BE239" s="166">
        <f t="shared" si="48"/>
        <v>0</v>
      </c>
      <c r="BF239" s="166">
        <f t="shared" si="49"/>
        <v>0</v>
      </c>
      <c r="BG239" s="166">
        <f t="shared" si="50"/>
        <v>0</v>
      </c>
      <c r="BH239" s="166">
        <f t="shared" si="51"/>
        <v>0</v>
      </c>
      <c r="BI239" s="166">
        <f t="shared" si="52"/>
        <v>0</v>
      </c>
      <c r="BJ239" s="14" t="s">
        <v>82</v>
      </c>
      <c r="BK239" s="166">
        <f t="shared" si="53"/>
        <v>0</v>
      </c>
      <c r="BL239" s="14" t="s">
        <v>185</v>
      </c>
      <c r="BM239" s="165" t="s">
        <v>520</v>
      </c>
    </row>
    <row r="240" spans="1:65" s="2" customFormat="1" ht="16.5" customHeight="1">
      <c r="A240" s="29"/>
      <c r="B240" s="152"/>
      <c r="C240" s="153" t="s">
        <v>357</v>
      </c>
      <c r="D240" s="153" t="s">
        <v>181</v>
      </c>
      <c r="E240" s="154" t="s">
        <v>2006</v>
      </c>
      <c r="F240" s="155" t="s">
        <v>1774</v>
      </c>
      <c r="G240" s="156" t="s">
        <v>1771</v>
      </c>
      <c r="H240" s="157">
        <v>1</v>
      </c>
      <c r="I240" s="158"/>
      <c r="J240" s="151">
        <v>0</v>
      </c>
      <c r="K240" s="160"/>
      <c r="L240" s="30"/>
      <c r="M240" s="161" t="s">
        <v>1</v>
      </c>
      <c r="N240" s="162" t="s">
        <v>35</v>
      </c>
      <c r="O240" s="58"/>
      <c r="P240" s="163">
        <f t="shared" si="45"/>
        <v>0</v>
      </c>
      <c r="Q240" s="163">
        <v>0</v>
      </c>
      <c r="R240" s="163">
        <f t="shared" si="46"/>
        <v>0</v>
      </c>
      <c r="S240" s="163">
        <v>0</v>
      </c>
      <c r="T240" s="164">
        <f t="shared" si="47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65" t="s">
        <v>185</v>
      </c>
      <c r="AT240" s="165" t="s">
        <v>181</v>
      </c>
      <c r="AU240" s="165" t="s">
        <v>82</v>
      </c>
      <c r="AY240" s="14" t="s">
        <v>179</v>
      </c>
      <c r="BE240" s="166">
        <f t="shared" si="48"/>
        <v>0</v>
      </c>
      <c r="BF240" s="166">
        <f t="shared" si="49"/>
        <v>0</v>
      </c>
      <c r="BG240" s="166">
        <f t="shared" si="50"/>
        <v>0</v>
      </c>
      <c r="BH240" s="166">
        <f t="shared" si="51"/>
        <v>0</v>
      </c>
      <c r="BI240" s="166">
        <f t="shared" si="52"/>
        <v>0</v>
      </c>
      <c r="BJ240" s="14" t="s">
        <v>82</v>
      </c>
      <c r="BK240" s="166">
        <f t="shared" si="53"/>
        <v>0</v>
      </c>
      <c r="BL240" s="14" t="s">
        <v>185</v>
      </c>
      <c r="BM240" s="165" t="s">
        <v>524</v>
      </c>
    </row>
    <row r="241" spans="1:65" s="2" customFormat="1" ht="16.5" customHeight="1">
      <c r="A241" s="29"/>
      <c r="B241" s="152"/>
      <c r="C241" s="153" t="s">
        <v>514</v>
      </c>
      <c r="D241" s="153" t="s">
        <v>181</v>
      </c>
      <c r="E241" s="154" t="s">
        <v>2007</v>
      </c>
      <c r="F241" s="155" t="s">
        <v>1777</v>
      </c>
      <c r="G241" s="156" t="s">
        <v>1771</v>
      </c>
      <c r="H241" s="157">
        <v>1</v>
      </c>
      <c r="I241" s="158"/>
      <c r="J241" s="151">
        <v>0</v>
      </c>
      <c r="K241" s="160"/>
      <c r="L241" s="30"/>
      <c r="M241" s="161" t="s">
        <v>1</v>
      </c>
      <c r="N241" s="162" t="s">
        <v>35</v>
      </c>
      <c r="O241" s="58"/>
      <c r="P241" s="163">
        <f t="shared" si="45"/>
        <v>0</v>
      </c>
      <c r="Q241" s="163">
        <v>0</v>
      </c>
      <c r="R241" s="163">
        <f t="shared" si="46"/>
        <v>0</v>
      </c>
      <c r="S241" s="163">
        <v>0</v>
      </c>
      <c r="T241" s="164">
        <f t="shared" si="47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65" t="s">
        <v>185</v>
      </c>
      <c r="AT241" s="165" t="s">
        <v>181</v>
      </c>
      <c r="AU241" s="165" t="s">
        <v>82</v>
      </c>
      <c r="AY241" s="14" t="s">
        <v>179</v>
      </c>
      <c r="BE241" s="166">
        <f t="shared" si="48"/>
        <v>0</v>
      </c>
      <c r="BF241" s="166">
        <f t="shared" si="49"/>
        <v>0</v>
      </c>
      <c r="BG241" s="166">
        <f t="shared" si="50"/>
        <v>0</v>
      </c>
      <c r="BH241" s="166">
        <f t="shared" si="51"/>
        <v>0</v>
      </c>
      <c r="BI241" s="166">
        <f t="shared" si="52"/>
        <v>0</v>
      </c>
      <c r="BJ241" s="14" t="s">
        <v>82</v>
      </c>
      <c r="BK241" s="166">
        <f t="shared" si="53"/>
        <v>0</v>
      </c>
      <c r="BL241" s="14" t="s">
        <v>185</v>
      </c>
      <c r="BM241" s="165" t="s">
        <v>527</v>
      </c>
    </row>
    <row r="242" spans="1:65" s="2" customFormat="1" ht="16.5" customHeight="1">
      <c r="A242" s="29"/>
      <c r="B242" s="152"/>
      <c r="C242" s="153" t="s">
        <v>361</v>
      </c>
      <c r="D242" s="153" t="s">
        <v>181</v>
      </c>
      <c r="E242" s="154" t="s">
        <v>2008</v>
      </c>
      <c r="F242" s="155" t="s">
        <v>1780</v>
      </c>
      <c r="G242" s="156" t="s">
        <v>1771</v>
      </c>
      <c r="H242" s="157">
        <v>1</v>
      </c>
      <c r="I242" s="158"/>
      <c r="J242" s="151">
        <v>0</v>
      </c>
      <c r="K242" s="160"/>
      <c r="L242" s="30"/>
      <c r="M242" s="179" t="s">
        <v>1</v>
      </c>
      <c r="N242" s="180" t="s">
        <v>35</v>
      </c>
      <c r="O242" s="181"/>
      <c r="P242" s="182">
        <f t="shared" si="45"/>
        <v>0</v>
      </c>
      <c r="Q242" s="182">
        <v>0</v>
      </c>
      <c r="R242" s="182">
        <f t="shared" si="46"/>
        <v>0</v>
      </c>
      <c r="S242" s="182">
        <v>0</v>
      </c>
      <c r="T242" s="183">
        <f t="shared" si="47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65" t="s">
        <v>185</v>
      </c>
      <c r="AT242" s="165" t="s">
        <v>181</v>
      </c>
      <c r="AU242" s="165" t="s">
        <v>82</v>
      </c>
      <c r="AY242" s="14" t="s">
        <v>179</v>
      </c>
      <c r="BE242" s="166">
        <f t="shared" si="48"/>
        <v>0</v>
      </c>
      <c r="BF242" s="166">
        <f t="shared" si="49"/>
        <v>0</v>
      </c>
      <c r="BG242" s="166">
        <f t="shared" si="50"/>
        <v>0</v>
      </c>
      <c r="BH242" s="166">
        <f t="shared" si="51"/>
        <v>0</v>
      </c>
      <c r="BI242" s="166">
        <f t="shared" si="52"/>
        <v>0</v>
      </c>
      <c r="BJ242" s="14" t="s">
        <v>82</v>
      </c>
      <c r="BK242" s="166">
        <f t="shared" si="53"/>
        <v>0</v>
      </c>
      <c r="BL242" s="14" t="s">
        <v>185</v>
      </c>
      <c r="BM242" s="165" t="s">
        <v>531</v>
      </c>
    </row>
    <row r="243" spans="1:65" s="2" customFormat="1" ht="6.95" customHeight="1">
      <c r="A243" s="29"/>
      <c r="B243" s="47"/>
      <c r="C243" s="48"/>
      <c r="D243" s="48"/>
      <c r="E243" s="48"/>
      <c r="F243" s="48"/>
      <c r="G243" s="48"/>
      <c r="H243" s="48"/>
      <c r="I243" s="48"/>
      <c r="J243" s="48"/>
      <c r="K243" s="48"/>
      <c r="L243" s="30"/>
      <c r="M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</row>
  </sheetData>
  <autoFilter ref="C133:K242"/>
  <mergeCells count="12">
    <mergeCell ref="E126:H126"/>
    <mergeCell ref="L2:V2"/>
    <mergeCell ref="E85:H85"/>
    <mergeCell ref="E87:H87"/>
    <mergeCell ref="E89:H89"/>
    <mergeCell ref="E122:H122"/>
    <mergeCell ref="E124:H12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BM234"/>
  <sheetViews>
    <sheetView showGridLines="0" workbookViewId="0">
      <selection activeCell="L43" sqref="L43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0" t="s">
        <v>5</v>
      </c>
      <c r="M2" s="351"/>
      <c r="N2" s="351"/>
      <c r="O2" s="351"/>
      <c r="P2" s="351"/>
      <c r="Q2" s="351"/>
      <c r="R2" s="351"/>
      <c r="S2" s="351"/>
      <c r="T2" s="351"/>
      <c r="U2" s="351"/>
      <c r="V2" s="351"/>
      <c r="AT2" s="14" t="s">
        <v>101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5" customHeight="1">
      <c r="B4" s="17"/>
      <c r="D4" s="18" t="s">
        <v>129</v>
      </c>
      <c r="L4" s="17"/>
      <c r="M4" s="98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387" t="str">
        <f>'Rekapitulácia stavby'!K6</f>
        <v>Topoľčianky, Centrálny logistický sklad - rekonštrukcia tepelného hospodárstva</v>
      </c>
      <c r="F7" s="388"/>
      <c r="G7" s="388"/>
      <c r="H7" s="388"/>
      <c r="L7" s="17"/>
    </row>
    <row r="8" spans="1:46" s="1" customFormat="1" ht="12" customHeight="1">
      <c r="B8" s="17"/>
      <c r="D8" s="24" t="s">
        <v>130</v>
      </c>
      <c r="L8" s="17"/>
    </row>
    <row r="9" spans="1:46" s="2" customFormat="1" ht="16.5" customHeight="1">
      <c r="A9" s="29"/>
      <c r="B9" s="30"/>
      <c r="C9" s="29"/>
      <c r="D9" s="29"/>
      <c r="E9" s="387" t="s">
        <v>131</v>
      </c>
      <c r="F9" s="386"/>
      <c r="G9" s="386"/>
      <c r="H9" s="386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>
      <c r="A10" s="29"/>
      <c r="B10" s="30"/>
      <c r="C10" s="29"/>
      <c r="D10" s="24" t="s">
        <v>132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>
      <c r="A11" s="29"/>
      <c r="B11" s="30"/>
      <c r="C11" s="29"/>
      <c r="D11" s="29"/>
      <c r="E11" s="382" t="s">
        <v>2009</v>
      </c>
      <c r="F11" s="386"/>
      <c r="G11" s="386"/>
      <c r="H11" s="386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>
      <c r="A13" s="29"/>
      <c r="B13" s="30"/>
      <c r="C13" s="29"/>
      <c r="D13" s="24" t="s">
        <v>15</v>
      </c>
      <c r="E13" s="29"/>
      <c r="F13" s="22" t="s">
        <v>1</v>
      </c>
      <c r="G13" s="29"/>
      <c r="H13" s="29"/>
      <c r="I13" s="24" t="s">
        <v>16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17</v>
      </c>
      <c r="E14" s="29"/>
      <c r="F14" s="22" t="s">
        <v>18</v>
      </c>
      <c r="G14" s="29"/>
      <c r="H14" s="29"/>
      <c r="I14" s="24" t="s">
        <v>19</v>
      </c>
      <c r="J14" s="55">
        <f>'Rekapitulácia stavby'!AN8</f>
        <v>45945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>
      <c r="A16" s="29"/>
      <c r="B16" s="30"/>
      <c r="C16" s="29"/>
      <c r="D16" s="24" t="s">
        <v>20</v>
      </c>
      <c r="E16" s="29"/>
      <c r="F16" s="29"/>
      <c r="G16" s="29"/>
      <c r="H16" s="29"/>
      <c r="I16" s="24" t="s">
        <v>21</v>
      </c>
      <c r="J16" s="22" t="str">
        <f>IF('Rekapitulácia stavby'!AN10="","",'Rekapitulácia stavby'!AN10)</f>
        <v/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>
      <c r="A17" s="29"/>
      <c r="B17" s="30"/>
      <c r="C17" s="29"/>
      <c r="D17" s="29"/>
      <c r="E17" s="22" t="str">
        <f>IF('Rekapitulácia stavby'!E11="","",'Rekapitulácia stavby'!E11)</f>
        <v xml:space="preserve"> </v>
      </c>
      <c r="F17" s="29"/>
      <c r="G17" s="29"/>
      <c r="H17" s="29"/>
      <c r="I17" s="24" t="s">
        <v>22</v>
      </c>
      <c r="J17" s="22" t="str">
        <f>IF('Rekapitulácia stavby'!AN11="","",'Rekapitulácia stavby'!AN11)</f>
        <v/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customHeight="1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>
      <c r="A19" s="29"/>
      <c r="B19" s="30"/>
      <c r="C19" s="29"/>
      <c r="D19" s="24" t="s">
        <v>23</v>
      </c>
      <c r="E19" s="29"/>
      <c r="F19" s="29"/>
      <c r="G19" s="29"/>
      <c r="H19" s="29"/>
      <c r="I19" s="24" t="s">
        <v>21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>
      <c r="A20" s="29"/>
      <c r="B20" s="30"/>
      <c r="C20" s="29"/>
      <c r="D20" s="29"/>
      <c r="E20" s="389" t="str">
        <f>'Rekapitulácia stavby'!E14</f>
        <v>Vyplň údaj</v>
      </c>
      <c r="F20" s="390"/>
      <c r="G20" s="390"/>
      <c r="H20" s="390"/>
      <c r="I20" s="24" t="s">
        <v>22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customHeight="1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>
      <c r="A22" s="29"/>
      <c r="B22" s="30"/>
      <c r="C22" s="29"/>
      <c r="D22" s="24" t="s">
        <v>25</v>
      </c>
      <c r="E22" s="29"/>
      <c r="F22" s="29"/>
      <c r="G22" s="29"/>
      <c r="H22" s="29"/>
      <c r="I22" s="24" t="s">
        <v>21</v>
      </c>
      <c r="J22" s="22" t="str">
        <f>IF('Rekapitulácia stavby'!AN16="","",'Rekapitulácia stavby'!AN16)</f>
        <v/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>
      <c r="A23" s="29"/>
      <c r="B23" s="30"/>
      <c r="C23" s="29"/>
      <c r="D23" s="29"/>
      <c r="E23" s="22" t="str">
        <f>IF('Rekapitulácia stavby'!E17="","",'Rekapitulácia stavby'!E17)</f>
        <v xml:space="preserve"> </v>
      </c>
      <c r="F23" s="29"/>
      <c r="G23" s="29"/>
      <c r="H23" s="29"/>
      <c r="I23" s="24" t="s">
        <v>22</v>
      </c>
      <c r="J23" s="22" t="str">
        <f>IF('Rekapitulácia stavby'!AN17="","",'Rekapitulácia stavby'!AN17)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customHeight="1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>
      <c r="A25" s="29"/>
      <c r="B25" s="30"/>
      <c r="C25" s="29"/>
      <c r="D25" s="24" t="s">
        <v>26</v>
      </c>
      <c r="E25" s="29"/>
      <c r="F25" s="29"/>
      <c r="G25" s="29"/>
      <c r="H25" s="29"/>
      <c r="I25" s="24" t="s">
        <v>21</v>
      </c>
      <c r="J25" s="22" t="str">
        <f>IF('Rekapitulácia stavby'!AN19="","",'Rekapitulácia stavby'!AN19)</f>
        <v/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24" t="s">
        <v>22</v>
      </c>
      <c r="J26" s="22" t="str">
        <f>IF('Rekapitulácia stavby'!AN20="","",'Rekapitulácia stavby'!AN20)</f>
        <v/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>
      <c r="A28" s="29"/>
      <c r="B28" s="30"/>
      <c r="C28" s="29"/>
      <c r="D28" s="24" t="s">
        <v>28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>
      <c r="A29" s="99"/>
      <c r="B29" s="100"/>
      <c r="C29" s="99"/>
      <c r="D29" s="99"/>
      <c r="E29" s="378" t="s">
        <v>1</v>
      </c>
      <c r="F29" s="378"/>
      <c r="G29" s="378"/>
      <c r="H29" s="378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102" t="s">
        <v>29</v>
      </c>
      <c r="E32" s="29"/>
      <c r="F32" s="29"/>
      <c r="G32" s="29"/>
      <c r="H32" s="29"/>
      <c r="I32" s="29"/>
      <c r="J32" s="71"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31</v>
      </c>
      <c r="G34" s="29"/>
      <c r="H34" s="29"/>
      <c r="I34" s="33" t="s">
        <v>30</v>
      </c>
      <c r="J34" s="33" t="s">
        <v>32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3" t="s">
        <v>33</v>
      </c>
      <c r="E35" s="35" t="s">
        <v>34</v>
      </c>
      <c r="F35" s="104">
        <f>ROUND((SUM(BE133:BE233)),  2)</f>
        <v>0</v>
      </c>
      <c r="G35" s="105"/>
      <c r="H35" s="105"/>
      <c r="I35" s="106">
        <v>0.23</v>
      </c>
      <c r="J35" s="104">
        <f>ROUND(((SUM(BE133:BE233))*I35),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35</v>
      </c>
      <c r="F36" s="104">
        <f>ROUND((SUM(BF133:BF233)),  2)</f>
        <v>0</v>
      </c>
      <c r="G36" s="105"/>
      <c r="H36" s="105"/>
      <c r="I36" s="106">
        <v>0.23</v>
      </c>
      <c r="J36" s="104">
        <f>ROUND(((SUM(BF133:BF233))*I36),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36</v>
      </c>
      <c r="F37" s="107">
        <f>ROUND((SUM(BG133:BG233)),  2)</f>
        <v>0</v>
      </c>
      <c r="G37" s="29"/>
      <c r="H37" s="29"/>
      <c r="I37" s="108">
        <v>0.23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37</v>
      </c>
      <c r="F38" s="107">
        <f>ROUND((SUM(BH133:BH233)),  2)</f>
        <v>0</v>
      </c>
      <c r="G38" s="29"/>
      <c r="H38" s="29"/>
      <c r="I38" s="108">
        <v>0.23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38</v>
      </c>
      <c r="F39" s="104">
        <f>ROUND((SUM(BI133:BI233)), 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9"/>
      <c r="D41" s="110" t="s">
        <v>39</v>
      </c>
      <c r="E41" s="60"/>
      <c r="F41" s="60"/>
      <c r="G41" s="111" t="s">
        <v>40</v>
      </c>
      <c r="H41" s="112" t="s">
        <v>41</v>
      </c>
      <c r="I41" s="60"/>
      <c r="J41" s="113"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42</v>
      </c>
      <c r="E50" s="44"/>
      <c r="F50" s="44"/>
      <c r="G50" s="43" t="s">
        <v>43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44</v>
      </c>
      <c r="E61" s="32"/>
      <c r="F61" s="115" t="s">
        <v>45</v>
      </c>
      <c r="G61" s="45" t="s">
        <v>44</v>
      </c>
      <c r="H61" s="32"/>
      <c r="I61" s="32"/>
      <c r="J61" s="116" t="s">
        <v>45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46</v>
      </c>
      <c r="E65" s="46"/>
      <c r="F65" s="46"/>
      <c r="G65" s="43" t="s">
        <v>47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44</v>
      </c>
      <c r="E76" s="32"/>
      <c r="F76" s="115" t="s">
        <v>45</v>
      </c>
      <c r="G76" s="45" t="s">
        <v>44</v>
      </c>
      <c r="H76" s="32"/>
      <c r="I76" s="32"/>
      <c r="J76" s="116" t="s">
        <v>45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hidden="1" customHeight="1">
      <c r="A82" s="29"/>
      <c r="B82" s="30"/>
      <c r="C82" s="18" t="s">
        <v>134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hidden="1" customHeight="1">
      <c r="A85" s="29"/>
      <c r="B85" s="30"/>
      <c r="C85" s="29"/>
      <c r="D85" s="29"/>
      <c r="E85" s="387" t="str">
        <f>E7</f>
        <v>Topoľčianky, Centrálny logistický sklad - rekonštrukcia tepelného hospodárstva</v>
      </c>
      <c r="F85" s="388"/>
      <c r="G85" s="388"/>
      <c r="H85" s="388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hidden="1" customHeight="1">
      <c r="B86" s="17"/>
      <c r="C86" s="24" t="s">
        <v>130</v>
      </c>
      <c r="L86" s="17"/>
    </row>
    <row r="87" spans="1:31" s="2" customFormat="1" ht="16.5" hidden="1" customHeight="1">
      <c r="A87" s="29"/>
      <c r="B87" s="30"/>
      <c r="C87" s="29"/>
      <c r="D87" s="29"/>
      <c r="E87" s="387" t="s">
        <v>131</v>
      </c>
      <c r="F87" s="386"/>
      <c r="G87" s="386"/>
      <c r="H87" s="386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hidden="1" customHeight="1">
      <c r="A88" s="29"/>
      <c r="B88" s="30"/>
      <c r="C88" s="24" t="s">
        <v>132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hidden="1" customHeight="1">
      <c r="A89" s="29"/>
      <c r="B89" s="30"/>
      <c r="C89" s="29"/>
      <c r="D89" s="29"/>
      <c r="E89" s="382" t="str">
        <f>E11</f>
        <v>E1.6-2B - ELI + MaR - DT02B</v>
      </c>
      <c r="F89" s="386"/>
      <c r="G89" s="386"/>
      <c r="H89" s="386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hidden="1" customHeight="1">
      <c r="A91" s="29"/>
      <c r="B91" s="30"/>
      <c r="C91" s="24" t="s">
        <v>17</v>
      </c>
      <c r="D91" s="29"/>
      <c r="E91" s="29"/>
      <c r="F91" s="22" t="str">
        <f>F14</f>
        <v xml:space="preserve"> </v>
      </c>
      <c r="G91" s="29"/>
      <c r="H91" s="29"/>
      <c r="I91" s="24" t="s">
        <v>19</v>
      </c>
      <c r="J91" s="55">
        <f>IF(J14="","",J14)</f>
        <v>45945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hidden="1" customHeight="1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hidden="1" customHeight="1">
      <c r="A93" s="29"/>
      <c r="B93" s="30"/>
      <c r="C93" s="24" t="s">
        <v>20</v>
      </c>
      <c r="D93" s="29"/>
      <c r="E93" s="29"/>
      <c r="F93" s="22" t="str">
        <f>E17</f>
        <v xml:space="preserve"> </v>
      </c>
      <c r="G93" s="29"/>
      <c r="H93" s="29"/>
      <c r="I93" s="24" t="s">
        <v>25</v>
      </c>
      <c r="J93" s="27" t="str">
        <f>E23</f>
        <v xml:space="preserve">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hidden="1" customHeight="1">
      <c r="A94" s="29"/>
      <c r="B94" s="30"/>
      <c r="C94" s="24" t="s">
        <v>23</v>
      </c>
      <c r="D94" s="29"/>
      <c r="E94" s="29"/>
      <c r="F94" s="22" t="str">
        <f>IF(E20="","",E20)</f>
        <v>Vyplň údaj</v>
      </c>
      <c r="G94" s="29"/>
      <c r="H94" s="29"/>
      <c r="I94" s="24" t="s">
        <v>26</v>
      </c>
      <c r="J94" s="27" t="str">
        <f>E26</f>
        <v xml:space="preserve">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hidden="1" customHeight="1">
      <c r="A96" s="29"/>
      <c r="B96" s="30"/>
      <c r="C96" s="117" t="s">
        <v>135</v>
      </c>
      <c r="D96" s="109"/>
      <c r="E96" s="109"/>
      <c r="F96" s="109"/>
      <c r="G96" s="109"/>
      <c r="H96" s="109"/>
      <c r="I96" s="109"/>
      <c r="J96" s="118" t="s">
        <v>136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hidden="1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hidden="1" customHeight="1">
      <c r="A98" s="29"/>
      <c r="B98" s="30"/>
      <c r="C98" s="119" t="s">
        <v>137</v>
      </c>
      <c r="D98" s="29"/>
      <c r="E98" s="29"/>
      <c r="F98" s="29"/>
      <c r="G98" s="29"/>
      <c r="H98" s="29"/>
      <c r="I98" s="29"/>
      <c r="J98" s="71">
        <f>J133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138</v>
      </c>
    </row>
    <row r="99" spans="1:47" s="9" customFormat="1" ht="24.95" hidden="1" customHeight="1">
      <c r="B99" s="120"/>
      <c r="D99" s="121" t="s">
        <v>2010</v>
      </c>
      <c r="E99" s="122"/>
      <c r="F99" s="122"/>
      <c r="G99" s="122"/>
      <c r="H99" s="122"/>
      <c r="I99" s="122"/>
      <c r="J99" s="123">
        <f>J134</f>
        <v>0</v>
      </c>
      <c r="L99" s="120"/>
    </row>
    <row r="100" spans="1:47" s="10" customFormat="1" ht="19.899999999999999" hidden="1" customHeight="1">
      <c r="B100" s="124"/>
      <c r="D100" s="125" t="s">
        <v>2011</v>
      </c>
      <c r="E100" s="126"/>
      <c r="F100" s="126"/>
      <c r="G100" s="126"/>
      <c r="H100" s="126"/>
      <c r="I100" s="126"/>
      <c r="J100" s="127">
        <f>J135</f>
        <v>0</v>
      </c>
      <c r="L100" s="124"/>
    </row>
    <row r="101" spans="1:47" s="10" customFormat="1" ht="19.899999999999999" hidden="1" customHeight="1">
      <c r="B101" s="124"/>
      <c r="D101" s="125" t="s">
        <v>2012</v>
      </c>
      <c r="E101" s="126"/>
      <c r="F101" s="126"/>
      <c r="G101" s="126"/>
      <c r="H101" s="126"/>
      <c r="I101" s="126"/>
      <c r="J101" s="127">
        <f>J146</f>
        <v>0</v>
      </c>
      <c r="L101" s="124"/>
    </row>
    <row r="102" spans="1:47" s="10" customFormat="1" ht="19.899999999999999" hidden="1" customHeight="1">
      <c r="B102" s="124"/>
      <c r="D102" s="125" t="s">
        <v>2013</v>
      </c>
      <c r="E102" s="126"/>
      <c r="F102" s="126"/>
      <c r="G102" s="126"/>
      <c r="H102" s="126"/>
      <c r="I102" s="126"/>
      <c r="J102" s="127">
        <f>J147</f>
        <v>0</v>
      </c>
      <c r="L102" s="124"/>
    </row>
    <row r="103" spans="1:47" s="10" customFormat="1" ht="19.899999999999999" hidden="1" customHeight="1">
      <c r="B103" s="124"/>
      <c r="D103" s="125" t="s">
        <v>2014</v>
      </c>
      <c r="E103" s="126"/>
      <c r="F103" s="126"/>
      <c r="G103" s="126"/>
      <c r="H103" s="126"/>
      <c r="I103" s="126"/>
      <c r="J103" s="127">
        <f>J149</f>
        <v>0</v>
      </c>
      <c r="L103" s="124"/>
    </row>
    <row r="104" spans="1:47" s="9" customFormat="1" ht="24.95" hidden="1" customHeight="1">
      <c r="B104" s="120"/>
      <c r="D104" s="121" t="s">
        <v>1928</v>
      </c>
      <c r="E104" s="122"/>
      <c r="F104" s="122"/>
      <c r="G104" s="122"/>
      <c r="H104" s="122"/>
      <c r="I104" s="122"/>
      <c r="J104" s="123">
        <f>J155</f>
        <v>0</v>
      </c>
      <c r="L104" s="120"/>
    </row>
    <row r="105" spans="1:47" s="9" customFormat="1" ht="24.95" hidden="1" customHeight="1">
      <c r="B105" s="120"/>
      <c r="D105" s="121" t="s">
        <v>2015</v>
      </c>
      <c r="E105" s="122"/>
      <c r="F105" s="122"/>
      <c r="G105" s="122"/>
      <c r="H105" s="122"/>
      <c r="I105" s="122"/>
      <c r="J105" s="123">
        <f>J164</f>
        <v>0</v>
      </c>
      <c r="L105" s="120"/>
    </row>
    <row r="106" spans="1:47" s="10" customFormat="1" ht="19.899999999999999" hidden="1" customHeight="1">
      <c r="B106" s="124"/>
      <c r="D106" s="125" t="s">
        <v>2016</v>
      </c>
      <c r="E106" s="126"/>
      <c r="F106" s="126"/>
      <c r="G106" s="126"/>
      <c r="H106" s="126"/>
      <c r="I106" s="126"/>
      <c r="J106" s="127">
        <f>J165</f>
        <v>0</v>
      </c>
      <c r="L106" s="124"/>
    </row>
    <row r="107" spans="1:47" s="10" customFormat="1" ht="19.899999999999999" hidden="1" customHeight="1">
      <c r="B107" s="124"/>
      <c r="D107" s="125" t="s">
        <v>2017</v>
      </c>
      <c r="E107" s="126"/>
      <c r="F107" s="126"/>
      <c r="G107" s="126"/>
      <c r="H107" s="126"/>
      <c r="I107" s="126"/>
      <c r="J107" s="127">
        <f>J167</f>
        <v>0</v>
      </c>
      <c r="L107" s="124"/>
    </row>
    <row r="108" spans="1:47" s="9" customFormat="1" ht="24.95" hidden="1" customHeight="1">
      <c r="B108" s="120"/>
      <c r="D108" s="121" t="s">
        <v>1367</v>
      </c>
      <c r="E108" s="122"/>
      <c r="F108" s="122"/>
      <c r="G108" s="122"/>
      <c r="H108" s="122"/>
      <c r="I108" s="122"/>
      <c r="J108" s="123">
        <f>J169</f>
        <v>0</v>
      </c>
      <c r="L108" s="120"/>
    </row>
    <row r="109" spans="1:47" s="10" customFormat="1" ht="19.899999999999999" hidden="1" customHeight="1">
      <c r="B109" s="124"/>
      <c r="D109" s="125" t="s">
        <v>2018</v>
      </c>
      <c r="E109" s="126"/>
      <c r="F109" s="126"/>
      <c r="G109" s="126"/>
      <c r="H109" s="126"/>
      <c r="I109" s="126"/>
      <c r="J109" s="127">
        <f>J213</f>
        <v>0</v>
      </c>
      <c r="L109" s="124"/>
    </row>
    <row r="110" spans="1:47" s="10" customFormat="1" ht="19.899999999999999" hidden="1" customHeight="1">
      <c r="B110" s="124"/>
      <c r="D110" s="125" t="s">
        <v>2019</v>
      </c>
      <c r="E110" s="126"/>
      <c r="F110" s="126"/>
      <c r="G110" s="126"/>
      <c r="H110" s="126"/>
      <c r="I110" s="126"/>
      <c r="J110" s="127">
        <f>J221</f>
        <v>0</v>
      </c>
      <c r="L110" s="124"/>
    </row>
    <row r="111" spans="1:47" s="10" customFormat="1" ht="19.899999999999999" hidden="1" customHeight="1">
      <c r="B111" s="124"/>
      <c r="D111" s="125" t="s">
        <v>2020</v>
      </c>
      <c r="E111" s="126"/>
      <c r="F111" s="126"/>
      <c r="G111" s="126"/>
      <c r="H111" s="126"/>
      <c r="I111" s="126"/>
      <c r="J111" s="127">
        <f>J224</f>
        <v>0</v>
      </c>
      <c r="L111" s="124"/>
    </row>
    <row r="112" spans="1:47" s="2" customFormat="1" ht="21.75" hidden="1" customHeight="1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31" s="2" customFormat="1" ht="6.95" hidden="1" customHeight="1">
      <c r="A113" s="29"/>
      <c r="B113" s="47"/>
      <c r="C113" s="48"/>
      <c r="D113" s="48"/>
      <c r="E113" s="48"/>
      <c r="F113" s="48"/>
      <c r="G113" s="48"/>
      <c r="H113" s="48"/>
      <c r="I113" s="48"/>
      <c r="J113" s="48"/>
      <c r="K113" s="48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31" hidden="1"/>
    <row r="115" spans="1:31" hidden="1"/>
    <row r="116" spans="1:31" hidden="1"/>
    <row r="117" spans="1:31" s="2" customFormat="1" ht="6.95" customHeight="1">
      <c r="A117" s="29"/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24.95" customHeight="1">
      <c r="A118" s="29"/>
      <c r="B118" s="30"/>
      <c r="C118" s="18" t="s">
        <v>165</v>
      </c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2" customHeight="1">
      <c r="A120" s="29"/>
      <c r="B120" s="30"/>
      <c r="C120" s="24" t="s">
        <v>14</v>
      </c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6.5" customHeight="1">
      <c r="A121" s="29"/>
      <c r="B121" s="30"/>
      <c r="C121" s="29"/>
      <c r="D121" s="29"/>
      <c r="E121" s="387" t="str">
        <f>E7</f>
        <v>Topoľčianky, Centrálny logistický sklad - rekonštrukcia tepelného hospodárstva</v>
      </c>
      <c r="F121" s="388"/>
      <c r="G121" s="388"/>
      <c r="H121" s="388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1" customFormat="1" ht="12" customHeight="1">
      <c r="B122" s="17"/>
      <c r="C122" s="24" t="s">
        <v>130</v>
      </c>
      <c r="L122" s="17"/>
    </row>
    <row r="123" spans="1:31" s="2" customFormat="1" ht="16.5" customHeight="1">
      <c r="A123" s="29"/>
      <c r="B123" s="30"/>
      <c r="C123" s="29"/>
      <c r="D123" s="29"/>
      <c r="E123" s="387" t="s">
        <v>131</v>
      </c>
      <c r="F123" s="386"/>
      <c r="G123" s="386"/>
      <c r="H123" s="386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2" customHeight="1">
      <c r="A124" s="29"/>
      <c r="B124" s="30"/>
      <c r="C124" s="24" t="s">
        <v>132</v>
      </c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6.5" customHeight="1">
      <c r="A125" s="29"/>
      <c r="B125" s="30"/>
      <c r="C125" s="29"/>
      <c r="D125" s="29"/>
      <c r="E125" s="382" t="str">
        <f>E11</f>
        <v>E1.6-2B - ELI + MaR - DT02B</v>
      </c>
      <c r="F125" s="386"/>
      <c r="G125" s="386"/>
      <c r="H125" s="386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6.9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2" customHeight="1">
      <c r="A127" s="29"/>
      <c r="B127" s="30"/>
      <c r="C127" s="24" t="s">
        <v>17</v>
      </c>
      <c r="D127" s="29"/>
      <c r="E127" s="29"/>
      <c r="F127" s="22" t="str">
        <f>F14</f>
        <v xml:space="preserve"> </v>
      </c>
      <c r="G127" s="29"/>
      <c r="H127" s="29"/>
      <c r="I127" s="24" t="s">
        <v>19</v>
      </c>
      <c r="J127" s="55">
        <f>IF(J14="","",J14)</f>
        <v>45945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6.9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5.2" customHeight="1">
      <c r="A129" s="29"/>
      <c r="B129" s="30"/>
      <c r="C129" s="24" t="s">
        <v>20</v>
      </c>
      <c r="D129" s="29"/>
      <c r="E129" s="29"/>
      <c r="F129" s="22" t="str">
        <f>E17</f>
        <v xml:space="preserve"> </v>
      </c>
      <c r="G129" s="29"/>
      <c r="H129" s="29"/>
      <c r="I129" s="24" t="s">
        <v>25</v>
      </c>
      <c r="J129" s="27" t="str">
        <f>E23</f>
        <v xml:space="preserve"> </v>
      </c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5.2" customHeight="1">
      <c r="A130" s="29"/>
      <c r="B130" s="30"/>
      <c r="C130" s="24" t="s">
        <v>23</v>
      </c>
      <c r="D130" s="29"/>
      <c r="E130" s="29"/>
      <c r="F130" s="22" t="str">
        <f>IF(E20="","",E20)</f>
        <v>Vyplň údaj</v>
      </c>
      <c r="G130" s="29"/>
      <c r="H130" s="29"/>
      <c r="I130" s="24" t="s">
        <v>26</v>
      </c>
      <c r="J130" s="27" t="str">
        <f>E26</f>
        <v xml:space="preserve"> </v>
      </c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0.35" customHeight="1">
      <c r="A131" s="29"/>
      <c r="B131" s="30"/>
      <c r="C131" s="29"/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11" customFormat="1" ht="29.25" customHeight="1">
      <c r="A132" s="128"/>
      <c r="B132" s="129"/>
      <c r="C132" s="130" t="s">
        <v>166</v>
      </c>
      <c r="D132" s="131" t="s">
        <v>54</v>
      </c>
      <c r="E132" s="131" t="s">
        <v>50</v>
      </c>
      <c r="F132" s="131" t="s">
        <v>51</v>
      </c>
      <c r="G132" s="131" t="s">
        <v>167</v>
      </c>
      <c r="H132" s="131" t="s">
        <v>168</v>
      </c>
      <c r="I132" s="131" t="s">
        <v>169</v>
      </c>
      <c r="J132" s="132" t="s">
        <v>136</v>
      </c>
      <c r="K132" s="133" t="s">
        <v>170</v>
      </c>
      <c r="L132" s="134"/>
      <c r="M132" s="62" t="s">
        <v>1</v>
      </c>
      <c r="N132" s="63" t="s">
        <v>33</v>
      </c>
      <c r="O132" s="63" t="s">
        <v>171</v>
      </c>
      <c r="P132" s="63" t="s">
        <v>172</v>
      </c>
      <c r="Q132" s="63" t="s">
        <v>173</v>
      </c>
      <c r="R132" s="63" t="s">
        <v>174</v>
      </c>
      <c r="S132" s="63" t="s">
        <v>175</v>
      </c>
      <c r="T132" s="64" t="s">
        <v>176</v>
      </c>
      <c r="U132" s="128"/>
      <c r="V132" s="128"/>
      <c r="W132" s="128"/>
      <c r="X132" s="128"/>
      <c r="Y132" s="128"/>
      <c r="Z132" s="128"/>
      <c r="AA132" s="128"/>
      <c r="AB132" s="128"/>
      <c r="AC132" s="128"/>
      <c r="AD132" s="128"/>
      <c r="AE132" s="128"/>
    </row>
    <row r="133" spans="1:65" s="2" customFormat="1" ht="22.9" customHeight="1">
      <c r="A133" s="29"/>
      <c r="B133" s="30"/>
      <c r="C133" s="69" t="s">
        <v>137</v>
      </c>
      <c r="D133" s="29"/>
      <c r="E133" s="29"/>
      <c r="F133" s="29"/>
      <c r="G133" s="29"/>
      <c r="H133" s="29"/>
      <c r="I133" s="29"/>
      <c r="J133" s="135">
        <v>0</v>
      </c>
      <c r="K133" s="29"/>
      <c r="L133" s="30"/>
      <c r="M133" s="65"/>
      <c r="N133" s="56"/>
      <c r="O133" s="66"/>
      <c r="P133" s="136">
        <f>P134+P155+P164+P169</f>
        <v>0</v>
      </c>
      <c r="Q133" s="66"/>
      <c r="R133" s="136">
        <f>R134+R155+R164+R169</f>
        <v>0</v>
      </c>
      <c r="S133" s="66"/>
      <c r="T133" s="137">
        <f>T134+T155+T164+T169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T133" s="14" t="s">
        <v>68</v>
      </c>
      <c r="AU133" s="14" t="s">
        <v>138</v>
      </c>
      <c r="BK133" s="138">
        <f>BK134+BK155+BK164+BK169</f>
        <v>0</v>
      </c>
    </row>
    <row r="134" spans="1:65" s="12" customFormat="1" ht="25.9" customHeight="1">
      <c r="B134" s="139"/>
      <c r="D134" s="140" t="s">
        <v>68</v>
      </c>
      <c r="E134" s="141" t="s">
        <v>2021</v>
      </c>
      <c r="F134" s="141" t="s">
        <v>2021</v>
      </c>
      <c r="I134" s="142"/>
      <c r="J134" s="143">
        <v>0</v>
      </c>
      <c r="L134" s="139"/>
      <c r="M134" s="144"/>
      <c r="N134" s="145"/>
      <c r="O134" s="145"/>
      <c r="P134" s="146">
        <f>P135+P146+P147+P149</f>
        <v>0</v>
      </c>
      <c r="Q134" s="145"/>
      <c r="R134" s="146">
        <f>R135+R146+R147+R149</f>
        <v>0</v>
      </c>
      <c r="S134" s="145"/>
      <c r="T134" s="147">
        <f>T135+T146+T147+T149</f>
        <v>0</v>
      </c>
      <c r="AR134" s="140" t="s">
        <v>76</v>
      </c>
      <c r="AT134" s="148" t="s">
        <v>68</v>
      </c>
      <c r="AU134" s="148" t="s">
        <v>69</v>
      </c>
      <c r="AY134" s="140" t="s">
        <v>179</v>
      </c>
      <c r="BK134" s="149">
        <f>BK135+BK146+BK147+BK149</f>
        <v>0</v>
      </c>
    </row>
    <row r="135" spans="1:65" s="12" customFormat="1" ht="22.9" customHeight="1">
      <c r="B135" s="139"/>
      <c r="D135" s="140" t="s">
        <v>68</v>
      </c>
      <c r="E135" s="150" t="s">
        <v>1376</v>
      </c>
      <c r="F135" s="150" t="s">
        <v>2022</v>
      </c>
      <c r="I135" s="142"/>
      <c r="J135" s="151">
        <v>0</v>
      </c>
      <c r="L135" s="139"/>
      <c r="M135" s="144"/>
      <c r="N135" s="145"/>
      <c r="O135" s="145"/>
      <c r="P135" s="146">
        <f>SUM(P136:P145)</f>
        <v>0</v>
      </c>
      <c r="Q135" s="145"/>
      <c r="R135" s="146">
        <f>SUM(R136:R145)</f>
        <v>0</v>
      </c>
      <c r="S135" s="145"/>
      <c r="T135" s="147">
        <f>SUM(T136:T145)</f>
        <v>0</v>
      </c>
      <c r="AR135" s="140" t="s">
        <v>76</v>
      </c>
      <c r="AT135" s="148" t="s">
        <v>68</v>
      </c>
      <c r="AU135" s="148" t="s">
        <v>76</v>
      </c>
      <c r="AY135" s="140" t="s">
        <v>179</v>
      </c>
      <c r="BK135" s="149">
        <f>SUM(BK136:BK145)</f>
        <v>0</v>
      </c>
    </row>
    <row r="136" spans="1:65" s="2" customFormat="1" ht="16.5" customHeight="1">
      <c r="A136" s="29"/>
      <c r="B136" s="152"/>
      <c r="C136" s="153" t="s">
        <v>76</v>
      </c>
      <c r="D136" s="153" t="s">
        <v>181</v>
      </c>
      <c r="E136" s="154" t="s">
        <v>2023</v>
      </c>
      <c r="F136" s="155" t="s">
        <v>1799</v>
      </c>
      <c r="G136" s="156" t="s">
        <v>217</v>
      </c>
      <c r="H136" s="157">
        <v>1</v>
      </c>
      <c r="I136" s="158"/>
      <c r="J136" s="151">
        <v>0</v>
      </c>
      <c r="K136" s="160"/>
      <c r="L136" s="30"/>
      <c r="M136" s="161" t="s">
        <v>1</v>
      </c>
      <c r="N136" s="162" t="s">
        <v>35</v>
      </c>
      <c r="O136" s="58"/>
      <c r="P136" s="163">
        <f t="shared" ref="P136:P145" si="0">O136*H136</f>
        <v>0</v>
      </c>
      <c r="Q136" s="163">
        <v>0</v>
      </c>
      <c r="R136" s="163">
        <f t="shared" ref="R136:R145" si="1">Q136*H136</f>
        <v>0</v>
      </c>
      <c r="S136" s="163">
        <v>0</v>
      </c>
      <c r="T136" s="164">
        <f t="shared" ref="T136:T145" si="2"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5" t="s">
        <v>185</v>
      </c>
      <c r="AT136" s="165" t="s">
        <v>181</v>
      </c>
      <c r="AU136" s="165" t="s">
        <v>82</v>
      </c>
      <c r="AY136" s="14" t="s">
        <v>179</v>
      </c>
      <c r="BE136" s="166">
        <f t="shared" ref="BE136:BE145" si="3">IF(N136="základná",J136,0)</f>
        <v>0</v>
      </c>
      <c r="BF136" s="166">
        <f t="shared" ref="BF136:BF145" si="4">IF(N136="znížená",J136,0)</f>
        <v>0</v>
      </c>
      <c r="BG136" s="166">
        <f t="shared" ref="BG136:BG145" si="5">IF(N136="zákl. prenesená",J136,0)</f>
        <v>0</v>
      </c>
      <c r="BH136" s="166">
        <f t="shared" ref="BH136:BH145" si="6">IF(N136="zníž. prenesená",J136,0)</f>
        <v>0</v>
      </c>
      <c r="BI136" s="166">
        <f t="shared" ref="BI136:BI145" si="7">IF(N136="nulová",J136,0)</f>
        <v>0</v>
      </c>
      <c r="BJ136" s="14" t="s">
        <v>82</v>
      </c>
      <c r="BK136" s="166">
        <f t="shared" ref="BK136:BK145" si="8">ROUND(I136*H136,2)</f>
        <v>0</v>
      </c>
      <c r="BL136" s="14" t="s">
        <v>185</v>
      </c>
      <c r="BM136" s="165" t="s">
        <v>82</v>
      </c>
    </row>
    <row r="137" spans="1:65" s="2" customFormat="1" ht="16.5" customHeight="1">
      <c r="A137" s="29"/>
      <c r="B137" s="152"/>
      <c r="C137" s="153" t="s">
        <v>82</v>
      </c>
      <c r="D137" s="153" t="s">
        <v>181</v>
      </c>
      <c r="E137" s="154" t="s">
        <v>2024</v>
      </c>
      <c r="F137" s="155" t="s">
        <v>1801</v>
      </c>
      <c r="G137" s="156" t="s">
        <v>217</v>
      </c>
      <c r="H137" s="157">
        <v>1</v>
      </c>
      <c r="I137" s="158"/>
      <c r="J137" s="151">
        <v>0</v>
      </c>
      <c r="K137" s="160"/>
      <c r="L137" s="30"/>
      <c r="M137" s="161" t="s">
        <v>1</v>
      </c>
      <c r="N137" s="162" t="s">
        <v>35</v>
      </c>
      <c r="O137" s="58"/>
      <c r="P137" s="163">
        <f t="shared" si="0"/>
        <v>0</v>
      </c>
      <c r="Q137" s="163">
        <v>0</v>
      </c>
      <c r="R137" s="163">
        <f t="shared" si="1"/>
        <v>0</v>
      </c>
      <c r="S137" s="163">
        <v>0</v>
      </c>
      <c r="T137" s="164">
        <f t="shared" si="2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185</v>
      </c>
      <c r="AT137" s="165" t="s">
        <v>181</v>
      </c>
      <c r="AU137" s="165" t="s">
        <v>82</v>
      </c>
      <c r="AY137" s="14" t="s">
        <v>179</v>
      </c>
      <c r="BE137" s="166">
        <f t="shared" si="3"/>
        <v>0</v>
      </c>
      <c r="BF137" s="166">
        <f t="shared" si="4"/>
        <v>0</v>
      </c>
      <c r="BG137" s="166">
        <f t="shared" si="5"/>
        <v>0</v>
      </c>
      <c r="BH137" s="166">
        <f t="shared" si="6"/>
        <v>0</v>
      </c>
      <c r="BI137" s="166">
        <f t="shared" si="7"/>
        <v>0</v>
      </c>
      <c r="BJ137" s="14" t="s">
        <v>82</v>
      </c>
      <c r="BK137" s="166">
        <f t="shared" si="8"/>
        <v>0</v>
      </c>
      <c r="BL137" s="14" t="s">
        <v>185</v>
      </c>
      <c r="BM137" s="165" t="s">
        <v>185</v>
      </c>
    </row>
    <row r="138" spans="1:65" s="2" customFormat="1" ht="16.5" customHeight="1">
      <c r="A138" s="29"/>
      <c r="B138" s="152"/>
      <c r="C138" s="153" t="s">
        <v>188</v>
      </c>
      <c r="D138" s="153" t="s">
        <v>181</v>
      </c>
      <c r="E138" s="154" t="s">
        <v>2025</v>
      </c>
      <c r="F138" s="155" t="s">
        <v>1801</v>
      </c>
      <c r="G138" s="156" t="s">
        <v>217</v>
      </c>
      <c r="H138" s="157">
        <v>1</v>
      </c>
      <c r="I138" s="158"/>
      <c r="J138" s="151">
        <v>0</v>
      </c>
      <c r="K138" s="160"/>
      <c r="L138" s="30"/>
      <c r="M138" s="161" t="s">
        <v>1</v>
      </c>
      <c r="N138" s="162" t="s">
        <v>35</v>
      </c>
      <c r="O138" s="58"/>
      <c r="P138" s="163">
        <f t="shared" si="0"/>
        <v>0</v>
      </c>
      <c r="Q138" s="163">
        <v>0</v>
      </c>
      <c r="R138" s="163">
        <f t="shared" si="1"/>
        <v>0</v>
      </c>
      <c r="S138" s="163">
        <v>0</v>
      </c>
      <c r="T138" s="164">
        <f t="shared" si="2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185</v>
      </c>
      <c r="AT138" s="165" t="s">
        <v>181</v>
      </c>
      <c r="AU138" s="165" t="s">
        <v>82</v>
      </c>
      <c r="AY138" s="14" t="s">
        <v>179</v>
      </c>
      <c r="BE138" s="166">
        <f t="shared" si="3"/>
        <v>0</v>
      </c>
      <c r="BF138" s="166">
        <f t="shared" si="4"/>
        <v>0</v>
      </c>
      <c r="BG138" s="166">
        <f t="shared" si="5"/>
        <v>0</v>
      </c>
      <c r="BH138" s="166">
        <f t="shared" si="6"/>
        <v>0</v>
      </c>
      <c r="BI138" s="166">
        <f t="shared" si="7"/>
        <v>0</v>
      </c>
      <c r="BJ138" s="14" t="s">
        <v>82</v>
      </c>
      <c r="BK138" s="166">
        <f t="shared" si="8"/>
        <v>0</v>
      </c>
      <c r="BL138" s="14" t="s">
        <v>185</v>
      </c>
      <c r="BM138" s="165" t="s">
        <v>192</v>
      </c>
    </row>
    <row r="139" spans="1:65" s="2" customFormat="1" ht="16.5" customHeight="1">
      <c r="A139" s="29"/>
      <c r="B139" s="152"/>
      <c r="C139" s="153" t="s">
        <v>185</v>
      </c>
      <c r="D139" s="153" t="s">
        <v>181</v>
      </c>
      <c r="E139" s="154" t="s">
        <v>2026</v>
      </c>
      <c r="F139" s="155" t="s">
        <v>1801</v>
      </c>
      <c r="G139" s="156" t="s">
        <v>217</v>
      </c>
      <c r="H139" s="157">
        <v>1</v>
      </c>
      <c r="I139" s="158"/>
      <c r="J139" s="151">
        <v>0</v>
      </c>
      <c r="K139" s="160"/>
      <c r="L139" s="30"/>
      <c r="M139" s="161" t="s">
        <v>1</v>
      </c>
      <c r="N139" s="162" t="s">
        <v>35</v>
      </c>
      <c r="O139" s="58"/>
      <c r="P139" s="163">
        <f t="shared" si="0"/>
        <v>0</v>
      </c>
      <c r="Q139" s="163">
        <v>0</v>
      </c>
      <c r="R139" s="163">
        <f t="shared" si="1"/>
        <v>0</v>
      </c>
      <c r="S139" s="163">
        <v>0</v>
      </c>
      <c r="T139" s="164">
        <f t="shared" si="2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185</v>
      </c>
      <c r="AT139" s="165" t="s">
        <v>181</v>
      </c>
      <c r="AU139" s="165" t="s">
        <v>82</v>
      </c>
      <c r="AY139" s="14" t="s">
        <v>179</v>
      </c>
      <c r="BE139" s="166">
        <f t="shared" si="3"/>
        <v>0</v>
      </c>
      <c r="BF139" s="166">
        <f t="shared" si="4"/>
        <v>0</v>
      </c>
      <c r="BG139" s="166">
        <f t="shared" si="5"/>
        <v>0</v>
      </c>
      <c r="BH139" s="166">
        <f t="shared" si="6"/>
        <v>0</v>
      </c>
      <c r="BI139" s="166">
        <f t="shared" si="7"/>
        <v>0</v>
      </c>
      <c r="BJ139" s="14" t="s">
        <v>82</v>
      </c>
      <c r="BK139" s="166">
        <f t="shared" si="8"/>
        <v>0</v>
      </c>
      <c r="BL139" s="14" t="s">
        <v>185</v>
      </c>
      <c r="BM139" s="165" t="s">
        <v>197</v>
      </c>
    </row>
    <row r="140" spans="1:65" s="2" customFormat="1" ht="16.5" customHeight="1">
      <c r="A140" s="29"/>
      <c r="B140" s="152"/>
      <c r="C140" s="153" t="s">
        <v>198</v>
      </c>
      <c r="D140" s="153" t="s">
        <v>181</v>
      </c>
      <c r="E140" s="154" t="s">
        <v>2027</v>
      </c>
      <c r="F140" s="155" t="s">
        <v>1801</v>
      </c>
      <c r="G140" s="156" t="s">
        <v>217</v>
      </c>
      <c r="H140" s="157">
        <v>1</v>
      </c>
      <c r="I140" s="158"/>
      <c r="J140" s="151">
        <v>0</v>
      </c>
      <c r="K140" s="160"/>
      <c r="L140" s="30"/>
      <c r="M140" s="161" t="s">
        <v>1</v>
      </c>
      <c r="N140" s="162" t="s">
        <v>35</v>
      </c>
      <c r="O140" s="58"/>
      <c r="P140" s="163">
        <f t="shared" si="0"/>
        <v>0</v>
      </c>
      <c r="Q140" s="163">
        <v>0</v>
      </c>
      <c r="R140" s="163">
        <f t="shared" si="1"/>
        <v>0</v>
      </c>
      <c r="S140" s="163">
        <v>0</v>
      </c>
      <c r="T140" s="164">
        <f t="shared" si="2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185</v>
      </c>
      <c r="AT140" s="165" t="s">
        <v>181</v>
      </c>
      <c r="AU140" s="165" t="s">
        <v>82</v>
      </c>
      <c r="AY140" s="14" t="s">
        <v>179</v>
      </c>
      <c r="BE140" s="166">
        <f t="shared" si="3"/>
        <v>0</v>
      </c>
      <c r="BF140" s="166">
        <f t="shared" si="4"/>
        <v>0</v>
      </c>
      <c r="BG140" s="166">
        <f t="shared" si="5"/>
        <v>0</v>
      </c>
      <c r="BH140" s="166">
        <f t="shared" si="6"/>
        <v>0</v>
      </c>
      <c r="BI140" s="166">
        <f t="shared" si="7"/>
        <v>0</v>
      </c>
      <c r="BJ140" s="14" t="s">
        <v>82</v>
      </c>
      <c r="BK140" s="166">
        <f t="shared" si="8"/>
        <v>0</v>
      </c>
      <c r="BL140" s="14" t="s">
        <v>185</v>
      </c>
      <c r="BM140" s="165" t="s">
        <v>201</v>
      </c>
    </row>
    <row r="141" spans="1:65" s="2" customFormat="1" ht="55.5" customHeight="1">
      <c r="A141" s="29"/>
      <c r="B141" s="152"/>
      <c r="C141" s="153" t="s">
        <v>192</v>
      </c>
      <c r="D141" s="153" t="s">
        <v>181</v>
      </c>
      <c r="E141" s="154" t="s">
        <v>2028</v>
      </c>
      <c r="F141" s="155" t="s">
        <v>2029</v>
      </c>
      <c r="G141" s="156" t="s">
        <v>217</v>
      </c>
      <c r="H141" s="157">
        <v>1</v>
      </c>
      <c r="I141" s="158"/>
      <c r="J141" s="151">
        <v>0</v>
      </c>
      <c r="K141" s="160"/>
      <c r="L141" s="30"/>
      <c r="M141" s="161" t="s">
        <v>1</v>
      </c>
      <c r="N141" s="162" t="s">
        <v>35</v>
      </c>
      <c r="O141" s="58"/>
      <c r="P141" s="163">
        <f t="shared" si="0"/>
        <v>0</v>
      </c>
      <c r="Q141" s="163">
        <v>0</v>
      </c>
      <c r="R141" s="163">
        <f t="shared" si="1"/>
        <v>0</v>
      </c>
      <c r="S141" s="163">
        <v>0</v>
      </c>
      <c r="T141" s="164">
        <f t="shared" si="2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5" t="s">
        <v>185</v>
      </c>
      <c r="AT141" s="165" t="s">
        <v>181</v>
      </c>
      <c r="AU141" s="165" t="s">
        <v>82</v>
      </c>
      <c r="AY141" s="14" t="s">
        <v>179</v>
      </c>
      <c r="BE141" s="166">
        <f t="shared" si="3"/>
        <v>0</v>
      </c>
      <c r="BF141" s="166">
        <f t="shared" si="4"/>
        <v>0</v>
      </c>
      <c r="BG141" s="166">
        <f t="shared" si="5"/>
        <v>0</v>
      </c>
      <c r="BH141" s="166">
        <f t="shared" si="6"/>
        <v>0</v>
      </c>
      <c r="BI141" s="166">
        <f t="shared" si="7"/>
        <v>0</v>
      </c>
      <c r="BJ141" s="14" t="s">
        <v>82</v>
      </c>
      <c r="BK141" s="166">
        <f t="shared" si="8"/>
        <v>0</v>
      </c>
      <c r="BL141" s="14" t="s">
        <v>185</v>
      </c>
      <c r="BM141" s="165" t="s">
        <v>205</v>
      </c>
    </row>
    <row r="142" spans="1:65" s="2" customFormat="1" ht="55.5" customHeight="1">
      <c r="A142" s="29"/>
      <c r="B142" s="152"/>
      <c r="C142" s="153" t="s">
        <v>207</v>
      </c>
      <c r="D142" s="153" t="s">
        <v>181</v>
      </c>
      <c r="E142" s="154" t="s">
        <v>2030</v>
      </c>
      <c r="F142" s="155" t="s">
        <v>2031</v>
      </c>
      <c r="G142" s="156" t="s">
        <v>217</v>
      </c>
      <c r="H142" s="157">
        <v>1</v>
      </c>
      <c r="I142" s="158"/>
      <c r="J142" s="151">
        <v>0</v>
      </c>
      <c r="K142" s="160"/>
      <c r="L142" s="30"/>
      <c r="M142" s="161" t="s">
        <v>1</v>
      </c>
      <c r="N142" s="162" t="s">
        <v>35</v>
      </c>
      <c r="O142" s="58"/>
      <c r="P142" s="163">
        <f t="shared" si="0"/>
        <v>0</v>
      </c>
      <c r="Q142" s="163">
        <v>0</v>
      </c>
      <c r="R142" s="163">
        <f t="shared" si="1"/>
        <v>0</v>
      </c>
      <c r="S142" s="163">
        <v>0</v>
      </c>
      <c r="T142" s="164">
        <f t="shared" si="2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5" t="s">
        <v>185</v>
      </c>
      <c r="AT142" s="165" t="s">
        <v>181</v>
      </c>
      <c r="AU142" s="165" t="s">
        <v>82</v>
      </c>
      <c r="AY142" s="14" t="s">
        <v>179</v>
      </c>
      <c r="BE142" s="166">
        <f t="shared" si="3"/>
        <v>0</v>
      </c>
      <c r="BF142" s="166">
        <f t="shared" si="4"/>
        <v>0</v>
      </c>
      <c r="BG142" s="166">
        <f t="shared" si="5"/>
        <v>0</v>
      </c>
      <c r="BH142" s="166">
        <f t="shared" si="6"/>
        <v>0</v>
      </c>
      <c r="BI142" s="166">
        <f t="shared" si="7"/>
        <v>0</v>
      </c>
      <c r="BJ142" s="14" t="s">
        <v>82</v>
      </c>
      <c r="BK142" s="166">
        <f t="shared" si="8"/>
        <v>0</v>
      </c>
      <c r="BL142" s="14" t="s">
        <v>185</v>
      </c>
      <c r="BM142" s="165" t="s">
        <v>210</v>
      </c>
    </row>
    <row r="143" spans="1:65" s="2" customFormat="1" ht="44.25" customHeight="1">
      <c r="A143" s="29"/>
      <c r="B143" s="152"/>
      <c r="C143" s="153" t="s">
        <v>197</v>
      </c>
      <c r="D143" s="153" t="s">
        <v>181</v>
      </c>
      <c r="E143" s="154" t="s">
        <v>2032</v>
      </c>
      <c r="F143" s="155" t="s">
        <v>2033</v>
      </c>
      <c r="G143" s="156" t="s">
        <v>217</v>
      </c>
      <c r="H143" s="157">
        <v>1</v>
      </c>
      <c r="I143" s="158"/>
      <c r="J143" s="151">
        <v>0</v>
      </c>
      <c r="K143" s="160"/>
      <c r="L143" s="30"/>
      <c r="M143" s="161" t="s">
        <v>1</v>
      </c>
      <c r="N143" s="162" t="s">
        <v>35</v>
      </c>
      <c r="O143" s="58"/>
      <c r="P143" s="163">
        <f t="shared" si="0"/>
        <v>0</v>
      </c>
      <c r="Q143" s="163">
        <v>0</v>
      </c>
      <c r="R143" s="163">
        <f t="shared" si="1"/>
        <v>0</v>
      </c>
      <c r="S143" s="163">
        <v>0</v>
      </c>
      <c r="T143" s="164">
        <f t="shared" si="2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185</v>
      </c>
      <c r="AT143" s="165" t="s">
        <v>181</v>
      </c>
      <c r="AU143" s="165" t="s">
        <v>82</v>
      </c>
      <c r="AY143" s="14" t="s">
        <v>179</v>
      </c>
      <c r="BE143" s="166">
        <f t="shared" si="3"/>
        <v>0</v>
      </c>
      <c r="BF143" s="166">
        <f t="shared" si="4"/>
        <v>0</v>
      </c>
      <c r="BG143" s="166">
        <f t="shared" si="5"/>
        <v>0</v>
      </c>
      <c r="BH143" s="166">
        <f t="shared" si="6"/>
        <v>0</v>
      </c>
      <c r="BI143" s="166">
        <f t="shared" si="7"/>
        <v>0</v>
      </c>
      <c r="BJ143" s="14" t="s">
        <v>82</v>
      </c>
      <c r="BK143" s="166">
        <f t="shared" si="8"/>
        <v>0</v>
      </c>
      <c r="BL143" s="14" t="s">
        <v>185</v>
      </c>
      <c r="BM143" s="165" t="s">
        <v>213</v>
      </c>
    </row>
    <row r="144" spans="1:65" s="2" customFormat="1" ht="55.5" customHeight="1">
      <c r="A144" s="29"/>
      <c r="B144" s="152"/>
      <c r="C144" s="153" t="s">
        <v>214</v>
      </c>
      <c r="D144" s="153" t="s">
        <v>181</v>
      </c>
      <c r="E144" s="154" t="s">
        <v>2034</v>
      </c>
      <c r="F144" s="155" t="s">
        <v>2035</v>
      </c>
      <c r="G144" s="156" t="s">
        <v>217</v>
      </c>
      <c r="H144" s="157">
        <v>1</v>
      </c>
      <c r="I144" s="158"/>
      <c r="J144" s="151">
        <v>0</v>
      </c>
      <c r="K144" s="160"/>
      <c r="L144" s="30"/>
      <c r="M144" s="161" t="s">
        <v>1</v>
      </c>
      <c r="N144" s="162" t="s">
        <v>35</v>
      </c>
      <c r="O144" s="58"/>
      <c r="P144" s="163">
        <f t="shared" si="0"/>
        <v>0</v>
      </c>
      <c r="Q144" s="163">
        <v>0</v>
      </c>
      <c r="R144" s="163">
        <f t="shared" si="1"/>
        <v>0</v>
      </c>
      <c r="S144" s="163">
        <v>0</v>
      </c>
      <c r="T144" s="164">
        <f t="shared" si="2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5" t="s">
        <v>185</v>
      </c>
      <c r="AT144" s="165" t="s">
        <v>181</v>
      </c>
      <c r="AU144" s="165" t="s">
        <v>82</v>
      </c>
      <c r="AY144" s="14" t="s">
        <v>179</v>
      </c>
      <c r="BE144" s="166">
        <f t="shared" si="3"/>
        <v>0</v>
      </c>
      <c r="BF144" s="166">
        <f t="shared" si="4"/>
        <v>0</v>
      </c>
      <c r="BG144" s="166">
        <f t="shared" si="5"/>
        <v>0</v>
      </c>
      <c r="BH144" s="166">
        <f t="shared" si="6"/>
        <v>0</v>
      </c>
      <c r="BI144" s="166">
        <f t="shared" si="7"/>
        <v>0</v>
      </c>
      <c r="BJ144" s="14" t="s">
        <v>82</v>
      </c>
      <c r="BK144" s="166">
        <f t="shared" si="8"/>
        <v>0</v>
      </c>
      <c r="BL144" s="14" t="s">
        <v>185</v>
      </c>
      <c r="BM144" s="165" t="s">
        <v>218</v>
      </c>
    </row>
    <row r="145" spans="1:65" s="2" customFormat="1" ht="21.75" customHeight="1">
      <c r="A145" s="29"/>
      <c r="B145" s="152"/>
      <c r="C145" s="153" t="s">
        <v>201</v>
      </c>
      <c r="D145" s="153" t="s">
        <v>181</v>
      </c>
      <c r="E145" s="154" t="s">
        <v>2036</v>
      </c>
      <c r="F145" s="155" t="s">
        <v>1388</v>
      </c>
      <c r="G145" s="156" t="s">
        <v>217</v>
      </c>
      <c r="H145" s="157">
        <v>1</v>
      </c>
      <c r="I145" s="158"/>
      <c r="J145" s="151">
        <v>0</v>
      </c>
      <c r="K145" s="160"/>
      <c r="L145" s="30"/>
      <c r="M145" s="161" t="s">
        <v>1</v>
      </c>
      <c r="N145" s="162" t="s">
        <v>35</v>
      </c>
      <c r="O145" s="58"/>
      <c r="P145" s="163">
        <f t="shared" si="0"/>
        <v>0</v>
      </c>
      <c r="Q145" s="163">
        <v>0</v>
      </c>
      <c r="R145" s="163">
        <f t="shared" si="1"/>
        <v>0</v>
      </c>
      <c r="S145" s="163">
        <v>0</v>
      </c>
      <c r="T145" s="164">
        <f t="shared" si="2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5" t="s">
        <v>185</v>
      </c>
      <c r="AT145" s="165" t="s">
        <v>181</v>
      </c>
      <c r="AU145" s="165" t="s">
        <v>82</v>
      </c>
      <c r="AY145" s="14" t="s">
        <v>179</v>
      </c>
      <c r="BE145" s="166">
        <f t="shared" si="3"/>
        <v>0</v>
      </c>
      <c r="BF145" s="166">
        <f t="shared" si="4"/>
        <v>0</v>
      </c>
      <c r="BG145" s="166">
        <f t="shared" si="5"/>
        <v>0</v>
      </c>
      <c r="BH145" s="166">
        <f t="shared" si="6"/>
        <v>0</v>
      </c>
      <c r="BI145" s="166">
        <f t="shared" si="7"/>
        <v>0</v>
      </c>
      <c r="BJ145" s="14" t="s">
        <v>82</v>
      </c>
      <c r="BK145" s="166">
        <f t="shared" si="8"/>
        <v>0</v>
      </c>
      <c r="BL145" s="14" t="s">
        <v>185</v>
      </c>
      <c r="BM145" s="165" t="s">
        <v>221</v>
      </c>
    </row>
    <row r="146" spans="1:65" s="12" customFormat="1" ht="22.9" customHeight="1">
      <c r="B146" s="139"/>
      <c r="D146" s="140" t="s">
        <v>68</v>
      </c>
      <c r="E146" s="150" t="s">
        <v>1389</v>
      </c>
      <c r="F146" s="150" t="s">
        <v>2037</v>
      </c>
      <c r="I146" s="142"/>
      <c r="J146" s="151">
        <v>0</v>
      </c>
      <c r="L146" s="139"/>
      <c r="M146" s="144"/>
      <c r="N146" s="145"/>
      <c r="O146" s="145"/>
      <c r="P146" s="146">
        <v>0</v>
      </c>
      <c r="Q146" s="145"/>
      <c r="R146" s="146">
        <v>0</v>
      </c>
      <c r="S146" s="145"/>
      <c r="T146" s="147">
        <v>0</v>
      </c>
      <c r="AR146" s="140" t="s">
        <v>76</v>
      </c>
      <c r="AT146" s="148" t="s">
        <v>68</v>
      </c>
      <c r="AU146" s="148" t="s">
        <v>76</v>
      </c>
      <c r="AY146" s="140" t="s">
        <v>179</v>
      </c>
      <c r="BK146" s="149">
        <v>0</v>
      </c>
    </row>
    <row r="147" spans="1:65" s="12" customFormat="1" ht="22.9" customHeight="1">
      <c r="B147" s="139"/>
      <c r="D147" s="140" t="s">
        <v>68</v>
      </c>
      <c r="E147" s="150" t="s">
        <v>1391</v>
      </c>
      <c r="F147" s="150" t="s">
        <v>2038</v>
      </c>
      <c r="I147" s="142"/>
      <c r="J147" s="151">
        <v>0</v>
      </c>
      <c r="L147" s="139"/>
      <c r="M147" s="144"/>
      <c r="N147" s="145"/>
      <c r="O147" s="145"/>
      <c r="P147" s="146">
        <f>P148</f>
        <v>0</v>
      </c>
      <c r="Q147" s="145"/>
      <c r="R147" s="146">
        <f>R148</f>
        <v>0</v>
      </c>
      <c r="S147" s="145"/>
      <c r="T147" s="147">
        <f>T148</f>
        <v>0</v>
      </c>
      <c r="AR147" s="140" t="s">
        <v>76</v>
      </c>
      <c r="AT147" s="148" t="s">
        <v>68</v>
      </c>
      <c r="AU147" s="148" t="s">
        <v>76</v>
      </c>
      <c r="AY147" s="140" t="s">
        <v>179</v>
      </c>
      <c r="BK147" s="149">
        <f>BK148</f>
        <v>0</v>
      </c>
    </row>
    <row r="148" spans="1:65" s="2" customFormat="1" ht="16.5" customHeight="1">
      <c r="A148" s="29"/>
      <c r="B148" s="152"/>
      <c r="C148" s="153" t="s">
        <v>222</v>
      </c>
      <c r="D148" s="153" t="s">
        <v>181</v>
      </c>
      <c r="E148" s="154" t="s">
        <v>2039</v>
      </c>
      <c r="F148" s="155" t="s">
        <v>1815</v>
      </c>
      <c r="G148" s="156" t="s">
        <v>217</v>
      </c>
      <c r="H148" s="157">
        <v>1</v>
      </c>
      <c r="I148" s="158"/>
      <c r="J148" s="151">
        <v>0</v>
      </c>
      <c r="K148" s="160"/>
      <c r="L148" s="30"/>
      <c r="M148" s="161" t="s">
        <v>1</v>
      </c>
      <c r="N148" s="162" t="s">
        <v>35</v>
      </c>
      <c r="O148" s="58"/>
      <c r="P148" s="163">
        <f>O148*H148</f>
        <v>0</v>
      </c>
      <c r="Q148" s="163">
        <v>0</v>
      </c>
      <c r="R148" s="163">
        <f>Q148*H148</f>
        <v>0</v>
      </c>
      <c r="S148" s="163">
        <v>0</v>
      </c>
      <c r="T148" s="164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5" t="s">
        <v>185</v>
      </c>
      <c r="AT148" s="165" t="s">
        <v>181</v>
      </c>
      <c r="AU148" s="165" t="s">
        <v>82</v>
      </c>
      <c r="AY148" s="14" t="s">
        <v>179</v>
      </c>
      <c r="BE148" s="166">
        <f>IF(N148="základná",J148,0)</f>
        <v>0</v>
      </c>
      <c r="BF148" s="166">
        <f>IF(N148="znížená",J148,0)</f>
        <v>0</v>
      </c>
      <c r="BG148" s="166">
        <f>IF(N148="zákl. prenesená",J148,0)</f>
        <v>0</v>
      </c>
      <c r="BH148" s="166">
        <f>IF(N148="zníž. prenesená",J148,0)</f>
        <v>0</v>
      </c>
      <c r="BI148" s="166">
        <f>IF(N148="nulová",J148,0)</f>
        <v>0</v>
      </c>
      <c r="BJ148" s="14" t="s">
        <v>82</v>
      </c>
      <c r="BK148" s="166">
        <f>ROUND(I148*H148,2)</f>
        <v>0</v>
      </c>
      <c r="BL148" s="14" t="s">
        <v>185</v>
      </c>
      <c r="BM148" s="165" t="s">
        <v>225</v>
      </c>
    </row>
    <row r="149" spans="1:65" s="12" customFormat="1" ht="22.9" customHeight="1">
      <c r="B149" s="139"/>
      <c r="D149" s="140" t="s">
        <v>68</v>
      </c>
      <c r="E149" s="150" t="s">
        <v>1395</v>
      </c>
      <c r="F149" s="150" t="s">
        <v>2040</v>
      </c>
      <c r="I149" s="142"/>
      <c r="J149" s="151">
        <v>0</v>
      </c>
      <c r="L149" s="139"/>
      <c r="M149" s="144"/>
      <c r="N149" s="145"/>
      <c r="O149" s="145"/>
      <c r="P149" s="146">
        <f>SUM(P150:P154)</f>
        <v>0</v>
      </c>
      <c r="Q149" s="145"/>
      <c r="R149" s="146">
        <f>SUM(R150:R154)</f>
        <v>0</v>
      </c>
      <c r="S149" s="145"/>
      <c r="T149" s="147">
        <f>SUM(T150:T154)</f>
        <v>0</v>
      </c>
      <c r="AR149" s="140" t="s">
        <v>76</v>
      </c>
      <c r="AT149" s="148" t="s">
        <v>68</v>
      </c>
      <c r="AU149" s="148" t="s">
        <v>76</v>
      </c>
      <c r="AY149" s="140" t="s">
        <v>179</v>
      </c>
      <c r="BK149" s="149">
        <f>SUM(BK150:BK154)</f>
        <v>0</v>
      </c>
    </row>
    <row r="150" spans="1:65" s="2" customFormat="1" ht="21.75" customHeight="1">
      <c r="A150" s="29"/>
      <c r="B150" s="152"/>
      <c r="C150" s="153" t="s">
        <v>205</v>
      </c>
      <c r="D150" s="153" t="s">
        <v>181</v>
      </c>
      <c r="E150" s="154" t="s">
        <v>2041</v>
      </c>
      <c r="F150" s="155" t="s">
        <v>1818</v>
      </c>
      <c r="G150" s="156" t="s">
        <v>217</v>
      </c>
      <c r="H150" s="157">
        <v>1</v>
      </c>
      <c r="I150" s="158"/>
      <c r="J150" s="151">
        <v>0</v>
      </c>
      <c r="K150" s="160"/>
      <c r="L150" s="30"/>
      <c r="M150" s="161" t="s">
        <v>1</v>
      </c>
      <c r="N150" s="162" t="s">
        <v>35</v>
      </c>
      <c r="O150" s="58"/>
      <c r="P150" s="163">
        <f>O150*H150</f>
        <v>0</v>
      </c>
      <c r="Q150" s="163">
        <v>0</v>
      </c>
      <c r="R150" s="163">
        <f>Q150*H150</f>
        <v>0</v>
      </c>
      <c r="S150" s="163">
        <v>0</v>
      </c>
      <c r="T150" s="164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5" t="s">
        <v>185</v>
      </c>
      <c r="AT150" s="165" t="s">
        <v>181</v>
      </c>
      <c r="AU150" s="165" t="s">
        <v>82</v>
      </c>
      <c r="AY150" s="14" t="s">
        <v>179</v>
      </c>
      <c r="BE150" s="166">
        <f>IF(N150="základná",J150,0)</f>
        <v>0</v>
      </c>
      <c r="BF150" s="166">
        <f>IF(N150="znížená",J150,0)</f>
        <v>0</v>
      </c>
      <c r="BG150" s="166">
        <f>IF(N150="zákl. prenesená",J150,0)</f>
        <v>0</v>
      </c>
      <c r="BH150" s="166">
        <f>IF(N150="zníž. prenesená",J150,0)</f>
        <v>0</v>
      </c>
      <c r="BI150" s="166">
        <f>IF(N150="nulová",J150,0)</f>
        <v>0</v>
      </c>
      <c r="BJ150" s="14" t="s">
        <v>82</v>
      </c>
      <c r="BK150" s="166">
        <f>ROUND(I150*H150,2)</f>
        <v>0</v>
      </c>
      <c r="BL150" s="14" t="s">
        <v>185</v>
      </c>
      <c r="BM150" s="165" t="s">
        <v>228</v>
      </c>
    </row>
    <row r="151" spans="1:65" s="2" customFormat="1" ht="24.2" customHeight="1">
      <c r="A151" s="29"/>
      <c r="B151" s="152"/>
      <c r="C151" s="153" t="s">
        <v>229</v>
      </c>
      <c r="D151" s="153" t="s">
        <v>181</v>
      </c>
      <c r="E151" s="154" t="s">
        <v>2042</v>
      </c>
      <c r="F151" s="155" t="s">
        <v>1820</v>
      </c>
      <c r="G151" s="156" t="s">
        <v>217</v>
      </c>
      <c r="H151" s="157">
        <v>1</v>
      </c>
      <c r="I151" s="158"/>
      <c r="J151" s="151">
        <v>0</v>
      </c>
      <c r="K151" s="160"/>
      <c r="L151" s="30"/>
      <c r="M151" s="161" t="s">
        <v>1</v>
      </c>
      <c r="N151" s="162" t="s">
        <v>35</v>
      </c>
      <c r="O151" s="58"/>
      <c r="P151" s="163">
        <f>O151*H151</f>
        <v>0</v>
      </c>
      <c r="Q151" s="163">
        <v>0</v>
      </c>
      <c r="R151" s="163">
        <f>Q151*H151</f>
        <v>0</v>
      </c>
      <c r="S151" s="163">
        <v>0</v>
      </c>
      <c r="T151" s="164">
        <f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5" t="s">
        <v>185</v>
      </c>
      <c r="AT151" s="165" t="s">
        <v>181</v>
      </c>
      <c r="AU151" s="165" t="s">
        <v>82</v>
      </c>
      <c r="AY151" s="14" t="s">
        <v>179</v>
      </c>
      <c r="BE151" s="166">
        <f>IF(N151="základná",J151,0)</f>
        <v>0</v>
      </c>
      <c r="BF151" s="166">
        <f>IF(N151="znížená",J151,0)</f>
        <v>0</v>
      </c>
      <c r="BG151" s="166">
        <f>IF(N151="zákl. prenesená",J151,0)</f>
        <v>0</v>
      </c>
      <c r="BH151" s="166">
        <f>IF(N151="zníž. prenesená",J151,0)</f>
        <v>0</v>
      </c>
      <c r="BI151" s="166">
        <f>IF(N151="nulová",J151,0)</f>
        <v>0</v>
      </c>
      <c r="BJ151" s="14" t="s">
        <v>82</v>
      </c>
      <c r="BK151" s="166">
        <f>ROUND(I151*H151,2)</f>
        <v>0</v>
      </c>
      <c r="BL151" s="14" t="s">
        <v>185</v>
      </c>
      <c r="BM151" s="165" t="s">
        <v>232</v>
      </c>
    </row>
    <row r="152" spans="1:65" s="2" customFormat="1" ht="44.25" customHeight="1">
      <c r="A152" s="29"/>
      <c r="B152" s="152"/>
      <c r="C152" s="153" t="s">
        <v>210</v>
      </c>
      <c r="D152" s="153" t="s">
        <v>181</v>
      </c>
      <c r="E152" s="154" t="s">
        <v>2043</v>
      </c>
      <c r="F152" s="155" t="s">
        <v>1822</v>
      </c>
      <c r="G152" s="156" t="s">
        <v>217</v>
      </c>
      <c r="H152" s="157">
        <v>1</v>
      </c>
      <c r="I152" s="158"/>
      <c r="J152" s="151">
        <v>0</v>
      </c>
      <c r="K152" s="160"/>
      <c r="L152" s="30"/>
      <c r="M152" s="161" t="s">
        <v>1</v>
      </c>
      <c r="N152" s="162" t="s">
        <v>35</v>
      </c>
      <c r="O152" s="58"/>
      <c r="P152" s="163">
        <f>O152*H152</f>
        <v>0</v>
      </c>
      <c r="Q152" s="163">
        <v>0</v>
      </c>
      <c r="R152" s="163">
        <f>Q152*H152</f>
        <v>0</v>
      </c>
      <c r="S152" s="163">
        <v>0</v>
      </c>
      <c r="T152" s="164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5" t="s">
        <v>185</v>
      </c>
      <c r="AT152" s="165" t="s">
        <v>181</v>
      </c>
      <c r="AU152" s="165" t="s">
        <v>82</v>
      </c>
      <c r="AY152" s="14" t="s">
        <v>179</v>
      </c>
      <c r="BE152" s="166">
        <f>IF(N152="základná",J152,0)</f>
        <v>0</v>
      </c>
      <c r="BF152" s="166">
        <f>IF(N152="znížená",J152,0)</f>
        <v>0</v>
      </c>
      <c r="BG152" s="166">
        <f>IF(N152="zákl. prenesená",J152,0)</f>
        <v>0</v>
      </c>
      <c r="BH152" s="166">
        <f>IF(N152="zníž. prenesená",J152,0)</f>
        <v>0</v>
      </c>
      <c r="BI152" s="166">
        <f>IF(N152="nulová",J152,0)</f>
        <v>0</v>
      </c>
      <c r="BJ152" s="14" t="s">
        <v>82</v>
      </c>
      <c r="BK152" s="166">
        <f>ROUND(I152*H152,2)</f>
        <v>0</v>
      </c>
      <c r="BL152" s="14" t="s">
        <v>185</v>
      </c>
      <c r="BM152" s="165" t="s">
        <v>235</v>
      </c>
    </row>
    <row r="153" spans="1:65" s="2" customFormat="1" ht="16.5" customHeight="1">
      <c r="A153" s="29"/>
      <c r="B153" s="152"/>
      <c r="C153" s="153" t="s">
        <v>236</v>
      </c>
      <c r="D153" s="153" t="s">
        <v>181</v>
      </c>
      <c r="E153" s="154" t="s">
        <v>2044</v>
      </c>
      <c r="F153" s="155" t="s">
        <v>1452</v>
      </c>
      <c r="G153" s="156" t="s">
        <v>217</v>
      </c>
      <c r="H153" s="157">
        <v>1</v>
      </c>
      <c r="I153" s="158"/>
      <c r="J153" s="151">
        <v>0</v>
      </c>
      <c r="K153" s="160"/>
      <c r="L153" s="30"/>
      <c r="M153" s="161" t="s">
        <v>1</v>
      </c>
      <c r="N153" s="162" t="s">
        <v>35</v>
      </c>
      <c r="O153" s="58"/>
      <c r="P153" s="163">
        <f>O153*H153</f>
        <v>0</v>
      </c>
      <c r="Q153" s="163">
        <v>0</v>
      </c>
      <c r="R153" s="163">
        <f>Q153*H153</f>
        <v>0</v>
      </c>
      <c r="S153" s="163">
        <v>0</v>
      </c>
      <c r="T153" s="164">
        <f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5" t="s">
        <v>185</v>
      </c>
      <c r="AT153" s="165" t="s">
        <v>181</v>
      </c>
      <c r="AU153" s="165" t="s">
        <v>82</v>
      </c>
      <c r="AY153" s="14" t="s">
        <v>179</v>
      </c>
      <c r="BE153" s="166">
        <f>IF(N153="základná",J153,0)</f>
        <v>0</v>
      </c>
      <c r="BF153" s="166">
        <f>IF(N153="znížená",J153,0)</f>
        <v>0</v>
      </c>
      <c r="BG153" s="166">
        <f>IF(N153="zákl. prenesená",J153,0)</f>
        <v>0</v>
      </c>
      <c r="BH153" s="166">
        <f>IF(N153="zníž. prenesená",J153,0)</f>
        <v>0</v>
      </c>
      <c r="BI153" s="166">
        <f>IF(N153="nulová",J153,0)</f>
        <v>0</v>
      </c>
      <c r="BJ153" s="14" t="s">
        <v>82</v>
      </c>
      <c r="BK153" s="166">
        <f>ROUND(I153*H153,2)</f>
        <v>0</v>
      </c>
      <c r="BL153" s="14" t="s">
        <v>185</v>
      </c>
      <c r="BM153" s="165" t="s">
        <v>239</v>
      </c>
    </row>
    <row r="154" spans="1:65" s="2" customFormat="1" ht="16.5" customHeight="1">
      <c r="A154" s="29"/>
      <c r="B154" s="152"/>
      <c r="C154" s="153" t="s">
        <v>213</v>
      </c>
      <c r="D154" s="153" t="s">
        <v>181</v>
      </c>
      <c r="E154" s="154" t="s">
        <v>2045</v>
      </c>
      <c r="F154" s="155" t="s">
        <v>1825</v>
      </c>
      <c r="G154" s="156" t="s">
        <v>217</v>
      </c>
      <c r="H154" s="157">
        <v>1</v>
      </c>
      <c r="I154" s="158"/>
      <c r="J154" s="151">
        <v>0</v>
      </c>
      <c r="K154" s="160"/>
      <c r="L154" s="30"/>
      <c r="M154" s="161" t="s">
        <v>1</v>
      </c>
      <c r="N154" s="162" t="s">
        <v>35</v>
      </c>
      <c r="O154" s="58"/>
      <c r="P154" s="163">
        <f>O154*H154</f>
        <v>0</v>
      </c>
      <c r="Q154" s="163">
        <v>0</v>
      </c>
      <c r="R154" s="163">
        <f>Q154*H154</f>
        <v>0</v>
      </c>
      <c r="S154" s="163">
        <v>0</v>
      </c>
      <c r="T154" s="164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5" t="s">
        <v>185</v>
      </c>
      <c r="AT154" s="165" t="s">
        <v>181</v>
      </c>
      <c r="AU154" s="165" t="s">
        <v>82</v>
      </c>
      <c r="AY154" s="14" t="s">
        <v>179</v>
      </c>
      <c r="BE154" s="166">
        <f>IF(N154="základná",J154,0)</f>
        <v>0</v>
      </c>
      <c r="BF154" s="166">
        <f>IF(N154="znížená",J154,0)</f>
        <v>0</v>
      </c>
      <c r="BG154" s="166">
        <f>IF(N154="zákl. prenesená",J154,0)</f>
        <v>0</v>
      </c>
      <c r="BH154" s="166">
        <f>IF(N154="zníž. prenesená",J154,0)</f>
        <v>0</v>
      </c>
      <c r="BI154" s="166">
        <f>IF(N154="nulová",J154,0)</f>
        <v>0</v>
      </c>
      <c r="BJ154" s="14" t="s">
        <v>82</v>
      </c>
      <c r="BK154" s="166">
        <f>ROUND(I154*H154,2)</f>
        <v>0</v>
      </c>
      <c r="BL154" s="14" t="s">
        <v>185</v>
      </c>
      <c r="BM154" s="165" t="s">
        <v>242</v>
      </c>
    </row>
    <row r="155" spans="1:65" s="12" customFormat="1" ht="25.9" customHeight="1">
      <c r="B155" s="139"/>
      <c r="D155" s="140" t="s">
        <v>68</v>
      </c>
      <c r="E155" s="141" t="s">
        <v>1964</v>
      </c>
      <c r="F155" s="141" t="s">
        <v>1964</v>
      </c>
      <c r="I155" s="142"/>
      <c r="J155" s="151">
        <v>0</v>
      </c>
      <c r="L155" s="139"/>
      <c r="M155" s="144"/>
      <c r="N155" s="145"/>
      <c r="O155" s="145"/>
      <c r="P155" s="146">
        <f>SUM(P156:P163)</f>
        <v>0</v>
      </c>
      <c r="Q155" s="145"/>
      <c r="R155" s="146">
        <f>SUM(R156:R163)</f>
        <v>0</v>
      </c>
      <c r="S155" s="145"/>
      <c r="T155" s="147">
        <f>SUM(T156:T163)</f>
        <v>0</v>
      </c>
      <c r="AR155" s="140" t="s">
        <v>76</v>
      </c>
      <c r="AT155" s="148" t="s">
        <v>68</v>
      </c>
      <c r="AU155" s="148" t="s">
        <v>69</v>
      </c>
      <c r="AY155" s="140" t="s">
        <v>179</v>
      </c>
      <c r="BK155" s="149">
        <f>SUM(BK156:BK163)</f>
        <v>0</v>
      </c>
    </row>
    <row r="156" spans="1:65" s="2" customFormat="1" ht="63.75" customHeight="1">
      <c r="A156" s="29"/>
      <c r="B156" s="152"/>
      <c r="C156" s="153" t="s">
        <v>243</v>
      </c>
      <c r="D156" s="153" t="s">
        <v>181</v>
      </c>
      <c r="E156" s="154" t="s">
        <v>2046</v>
      </c>
      <c r="F156" s="339" t="s">
        <v>3419</v>
      </c>
      <c r="G156" s="156" t="s">
        <v>217</v>
      </c>
      <c r="H156" s="157">
        <v>1</v>
      </c>
      <c r="I156" s="158"/>
      <c r="J156" s="151">
        <v>0</v>
      </c>
      <c r="K156" s="160"/>
      <c r="L156" s="30"/>
      <c r="M156" s="161" t="s">
        <v>1</v>
      </c>
      <c r="N156" s="162" t="s">
        <v>35</v>
      </c>
      <c r="O156" s="58"/>
      <c r="P156" s="163">
        <f t="shared" ref="P156:P163" si="9">O156*H156</f>
        <v>0</v>
      </c>
      <c r="Q156" s="163">
        <v>0</v>
      </c>
      <c r="R156" s="163">
        <f t="shared" ref="R156:R163" si="10">Q156*H156</f>
        <v>0</v>
      </c>
      <c r="S156" s="163">
        <v>0</v>
      </c>
      <c r="T156" s="164">
        <f t="shared" ref="T156:T163" si="11"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5" t="s">
        <v>185</v>
      </c>
      <c r="AT156" s="165" t="s">
        <v>181</v>
      </c>
      <c r="AU156" s="165" t="s">
        <v>76</v>
      </c>
      <c r="AY156" s="14" t="s">
        <v>179</v>
      </c>
      <c r="BE156" s="166">
        <f t="shared" ref="BE156:BE163" si="12">IF(N156="základná",J156,0)</f>
        <v>0</v>
      </c>
      <c r="BF156" s="166">
        <f t="shared" ref="BF156:BF163" si="13">IF(N156="znížená",J156,0)</f>
        <v>0</v>
      </c>
      <c r="BG156" s="166">
        <f t="shared" ref="BG156:BG163" si="14">IF(N156="zákl. prenesená",J156,0)</f>
        <v>0</v>
      </c>
      <c r="BH156" s="166">
        <f t="shared" ref="BH156:BH163" si="15">IF(N156="zníž. prenesená",J156,0)</f>
        <v>0</v>
      </c>
      <c r="BI156" s="166">
        <f t="shared" ref="BI156:BI163" si="16">IF(N156="nulová",J156,0)</f>
        <v>0</v>
      </c>
      <c r="BJ156" s="14" t="s">
        <v>82</v>
      </c>
      <c r="BK156" s="166">
        <f t="shared" ref="BK156:BK163" si="17">ROUND(I156*H156,2)</f>
        <v>0</v>
      </c>
      <c r="BL156" s="14" t="s">
        <v>185</v>
      </c>
      <c r="BM156" s="165" t="s">
        <v>246</v>
      </c>
    </row>
    <row r="157" spans="1:65" s="2" customFormat="1" ht="21.75" customHeight="1">
      <c r="A157" s="29"/>
      <c r="B157" s="152"/>
      <c r="C157" s="153" t="s">
        <v>218</v>
      </c>
      <c r="D157" s="153" t="s">
        <v>181</v>
      </c>
      <c r="E157" s="154" t="s">
        <v>2047</v>
      </c>
      <c r="F157" s="155" t="s">
        <v>1829</v>
      </c>
      <c r="G157" s="156" t="s">
        <v>217</v>
      </c>
      <c r="H157" s="157">
        <v>1</v>
      </c>
      <c r="I157" s="158"/>
      <c r="J157" s="151">
        <v>0</v>
      </c>
      <c r="K157" s="160"/>
      <c r="L157" s="30"/>
      <c r="M157" s="161" t="s">
        <v>1</v>
      </c>
      <c r="N157" s="162" t="s">
        <v>35</v>
      </c>
      <c r="O157" s="58"/>
      <c r="P157" s="163">
        <f t="shared" si="9"/>
        <v>0</v>
      </c>
      <c r="Q157" s="163">
        <v>0</v>
      </c>
      <c r="R157" s="163">
        <f t="shared" si="10"/>
        <v>0</v>
      </c>
      <c r="S157" s="163">
        <v>0</v>
      </c>
      <c r="T157" s="164">
        <f t="shared" si="11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5" t="s">
        <v>185</v>
      </c>
      <c r="AT157" s="165" t="s">
        <v>181</v>
      </c>
      <c r="AU157" s="165" t="s">
        <v>76</v>
      </c>
      <c r="AY157" s="14" t="s">
        <v>179</v>
      </c>
      <c r="BE157" s="166">
        <f t="shared" si="12"/>
        <v>0</v>
      </c>
      <c r="BF157" s="166">
        <f t="shared" si="13"/>
        <v>0</v>
      </c>
      <c r="BG157" s="166">
        <f t="shared" si="14"/>
        <v>0</v>
      </c>
      <c r="BH157" s="166">
        <f t="shared" si="15"/>
        <v>0</v>
      </c>
      <c r="BI157" s="166">
        <f t="shared" si="16"/>
        <v>0</v>
      </c>
      <c r="BJ157" s="14" t="s">
        <v>82</v>
      </c>
      <c r="BK157" s="166">
        <f t="shared" si="17"/>
        <v>0</v>
      </c>
      <c r="BL157" s="14" t="s">
        <v>185</v>
      </c>
      <c r="BM157" s="165" t="s">
        <v>250</v>
      </c>
    </row>
    <row r="158" spans="1:65" s="2" customFormat="1" ht="21.75" customHeight="1">
      <c r="A158" s="29"/>
      <c r="B158" s="152"/>
      <c r="C158" s="153" t="s">
        <v>251</v>
      </c>
      <c r="D158" s="153" t="s">
        <v>181</v>
      </c>
      <c r="E158" s="154" t="s">
        <v>2048</v>
      </c>
      <c r="F158" s="155" t="s">
        <v>1831</v>
      </c>
      <c r="G158" s="156" t="s">
        <v>217</v>
      </c>
      <c r="H158" s="157">
        <v>1</v>
      </c>
      <c r="I158" s="158"/>
      <c r="J158" s="151">
        <v>0</v>
      </c>
      <c r="K158" s="160"/>
      <c r="L158" s="30"/>
      <c r="M158" s="161" t="s">
        <v>1</v>
      </c>
      <c r="N158" s="162" t="s">
        <v>35</v>
      </c>
      <c r="O158" s="58"/>
      <c r="P158" s="163">
        <f t="shared" si="9"/>
        <v>0</v>
      </c>
      <c r="Q158" s="163">
        <v>0</v>
      </c>
      <c r="R158" s="163">
        <f t="shared" si="10"/>
        <v>0</v>
      </c>
      <c r="S158" s="163">
        <v>0</v>
      </c>
      <c r="T158" s="164">
        <f t="shared" si="11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5" t="s">
        <v>185</v>
      </c>
      <c r="AT158" s="165" t="s">
        <v>181</v>
      </c>
      <c r="AU158" s="165" t="s">
        <v>76</v>
      </c>
      <c r="AY158" s="14" t="s">
        <v>179</v>
      </c>
      <c r="BE158" s="166">
        <f t="shared" si="12"/>
        <v>0</v>
      </c>
      <c r="BF158" s="166">
        <f t="shared" si="13"/>
        <v>0</v>
      </c>
      <c r="BG158" s="166">
        <f t="shared" si="14"/>
        <v>0</v>
      </c>
      <c r="BH158" s="166">
        <f t="shared" si="15"/>
        <v>0</v>
      </c>
      <c r="BI158" s="166">
        <f t="shared" si="16"/>
        <v>0</v>
      </c>
      <c r="BJ158" s="14" t="s">
        <v>82</v>
      </c>
      <c r="BK158" s="166">
        <f t="shared" si="17"/>
        <v>0</v>
      </c>
      <c r="BL158" s="14" t="s">
        <v>185</v>
      </c>
      <c r="BM158" s="165" t="s">
        <v>254</v>
      </c>
    </row>
    <row r="159" spans="1:65" s="2" customFormat="1" ht="16.5" customHeight="1">
      <c r="A159" s="29"/>
      <c r="B159" s="152"/>
      <c r="C159" s="153" t="s">
        <v>221</v>
      </c>
      <c r="D159" s="153" t="s">
        <v>181</v>
      </c>
      <c r="E159" s="154" t="s">
        <v>2049</v>
      </c>
      <c r="F159" s="155" t="s">
        <v>1833</v>
      </c>
      <c r="G159" s="156" t="s">
        <v>217</v>
      </c>
      <c r="H159" s="157">
        <v>1</v>
      </c>
      <c r="I159" s="158"/>
      <c r="J159" s="151">
        <v>0</v>
      </c>
      <c r="K159" s="160"/>
      <c r="L159" s="30"/>
      <c r="M159" s="161" t="s">
        <v>1</v>
      </c>
      <c r="N159" s="162" t="s">
        <v>35</v>
      </c>
      <c r="O159" s="58"/>
      <c r="P159" s="163">
        <f t="shared" si="9"/>
        <v>0</v>
      </c>
      <c r="Q159" s="163">
        <v>0</v>
      </c>
      <c r="R159" s="163">
        <f t="shared" si="10"/>
        <v>0</v>
      </c>
      <c r="S159" s="163">
        <v>0</v>
      </c>
      <c r="T159" s="164">
        <f t="shared" si="11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5" t="s">
        <v>185</v>
      </c>
      <c r="AT159" s="165" t="s">
        <v>181</v>
      </c>
      <c r="AU159" s="165" t="s">
        <v>76</v>
      </c>
      <c r="AY159" s="14" t="s">
        <v>179</v>
      </c>
      <c r="BE159" s="166">
        <f t="shared" si="12"/>
        <v>0</v>
      </c>
      <c r="BF159" s="166">
        <f t="shared" si="13"/>
        <v>0</v>
      </c>
      <c r="BG159" s="166">
        <f t="shared" si="14"/>
        <v>0</v>
      </c>
      <c r="BH159" s="166">
        <f t="shared" si="15"/>
        <v>0</v>
      </c>
      <c r="BI159" s="166">
        <f t="shared" si="16"/>
        <v>0</v>
      </c>
      <c r="BJ159" s="14" t="s">
        <v>82</v>
      </c>
      <c r="BK159" s="166">
        <f t="shared" si="17"/>
        <v>0</v>
      </c>
      <c r="BL159" s="14" t="s">
        <v>185</v>
      </c>
      <c r="BM159" s="165" t="s">
        <v>257</v>
      </c>
    </row>
    <row r="160" spans="1:65" s="2" customFormat="1" ht="21.75" customHeight="1">
      <c r="A160" s="29"/>
      <c r="B160" s="152"/>
      <c r="C160" s="153" t="s">
        <v>258</v>
      </c>
      <c r="D160" s="153" t="s">
        <v>181</v>
      </c>
      <c r="E160" s="154" t="s">
        <v>2050</v>
      </c>
      <c r="F160" s="155" t="s">
        <v>1835</v>
      </c>
      <c r="G160" s="156" t="s">
        <v>217</v>
      </c>
      <c r="H160" s="157">
        <v>1</v>
      </c>
      <c r="I160" s="158"/>
      <c r="J160" s="151">
        <v>0</v>
      </c>
      <c r="K160" s="160"/>
      <c r="L160" s="30"/>
      <c r="M160" s="161" t="s">
        <v>1</v>
      </c>
      <c r="N160" s="162" t="s">
        <v>35</v>
      </c>
      <c r="O160" s="58"/>
      <c r="P160" s="163">
        <f t="shared" si="9"/>
        <v>0</v>
      </c>
      <c r="Q160" s="163">
        <v>0</v>
      </c>
      <c r="R160" s="163">
        <f t="shared" si="10"/>
        <v>0</v>
      </c>
      <c r="S160" s="163">
        <v>0</v>
      </c>
      <c r="T160" s="164">
        <f t="shared" si="11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5" t="s">
        <v>185</v>
      </c>
      <c r="AT160" s="165" t="s">
        <v>181</v>
      </c>
      <c r="AU160" s="165" t="s">
        <v>76</v>
      </c>
      <c r="AY160" s="14" t="s">
        <v>179</v>
      </c>
      <c r="BE160" s="166">
        <f t="shared" si="12"/>
        <v>0</v>
      </c>
      <c r="BF160" s="166">
        <f t="shared" si="13"/>
        <v>0</v>
      </c>
      <c r="BG160" s="166">
        <f t="shared" si="14"/>
        <v>0</v>
      </c>
      <c r="BH160" s="166">
        <f t="shared" si="15"/>
        <v>0</v>
      </c>
      <c r="BI160" s="166">
        <f t="shared" si="16"/>
        <v>0</v>
      </c>
      <c r="BJ160" s="14" t="s">
        <v>82</v>
      </c>
      <c r="BK160" s="166">
        <f t="shared" si="17"/>
        <v>0</v>
      </c>
      <c r="BL160" s="14" t="s">
        <v>185</v>
      </c>
      <c r="BM160" s="165" t="s">
        <v>261</v>
      </c>
    </row>
    <row r="161" spans="1:65" s="2" customFormat="1" ht="16.5" customHeight="1">
      <c r="A161" s="29"/>
      <c r="B161" s="152"/>
      <c r="C161" s="153" t="s">
        <v>225</v>
      </c>
      <c r="D161" s="153" t="s">
        <v>181</v>
      </c>
      <c r="E161" s="154" t="s">
        <v>2051</v>
      </c>
      <c r="F161" s="155" t="s">
        <v>1971</v>
      </c>
      <c r="G161" s="156" t="s">
        <v>217</v>
      </c>
      <c r="H161" s="157">
        <v>1</v>
      </c>
      <c r="I161" s="158"/>
      <c r="J161" s="151">
        <v>0</v>
      </c>
      <c r="K161" s="160"/>
      <c r="L161" s="30"/>
      <c r="M161" s="161" t="s">
        <v>1</v>
      </c>
      <c r="N161" s="162" t="s">
        <v>35</v>
      </c>
      <c r="O161" s="58"/>
      <c r="P161" s="163">
        <f t="shared" si="9"/>
        <v>0</v>
      </c>
      <c r="Q161" s="163">
        <v>0</v>
      </c>
      <c r="R161" s="163">
        <f t="shared" si="10"/>
        <v>0</v>
      </c>
      <c r="S161" s="163">
        <v>0</v>
      </c>
      <c r="T161" s="164">
        <f t="shared" si="11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5" t="s">
        <v>185</v>
      </c>
      <c r="AT161" s="165" t="s">
        <v>181</v>
      </c>
      <c r="AU161" s="165" t="s">
        <v>76</v>
      </c>
      <c r="AY161" s="14" t="s">
        <v>179</v>
      </c>
      <c r="BE161" s="166">
        <f t="shared" si="12"/>
        <v>0</v>
      </c>
      <c r="BF161" s="166">
        <f t="shared" si="13"/>
        <v>0</v>
      </c>
      <c r="BG161" s="166">
        <f t="shared" si="14"/>
        <v>0</v>
      </c>
      <c r="BH161" s="166">
        <f t="shared" si="15"/>
        <v>0</v>
      </c>
      <c r="BI161" s="166">
        <f t="shared" si="16"/>
        <v>0</v>
      </c>
      <c r="BJ161" s="14" t="s">
        <v>82</v>
      </c>
      <c r="BK161" s="166">
        <f t="shared" si="17"/>
        <v>0</v>
      </c>
      <c r="BL161" s="14" t="s">
        <v>185</v>
      </c>
      <c r="BM161" s="165" t="s">
        <v>265</v>
      </c>
    </row>
    <row r="162" spans="1:65" s="2" customFormat="1" ht="16.5" customHeight="1">
      <c r="A162" s="29"/>
      <c r="B162" s="152"/>
      <c r="C162" s="153" t="s">
        <v>7</v>
      </c>
      <c r="D162" s="153" t="s">
        <v>181</v>
      </c>
      <c r="E162" s="154" t="s">
        <v>2052</v>
      </c>
      <c r="F162" s="155" t="s">
        <v>1839</v>
      </c>
      <c r="G162" s="156" t="s">
        <v>217</v>
      </c>
      <c r="H162" s="157">
        <v>1</v>
      </c>
      <c r="I162" s="158"/>
      <c r="J162" s="151">
        <v>0</v>
      </c>
      <c r="K162" s="160"/>
      <c r="L162" s="30"/>
      <c r="M162" s="161" t="s">
        <v>1</v>
      </c>
      <c r="N162" s="162" t="s">
        <v>35</v>
      </c>
      <c r="O162" s="58"/>
      <c r="P162" s="163">
        <f t="shared" si="9"/>
        <v>0</v>
      </c>
      <c r="Q162" s="163">
        <v>0</v>
      </c>
      <c r="R162" s="163">
        <f t="shared" si="10"/>
        <v>0</v>
      </c>
      <c r="S162" s="163">
        <v>0</v>
      </c>
      <c r="T162" s="164">
        <f t="shared" si="11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5" t="s">
        <v>185</v>
      </c>
      <c r="AT162" s="165" t="s">
        <v>181</v>
      </c>
      <c r="AU162" s="165" t="s">
        <v>76</v>
      </c>
      <c r="AY162" s="14" t="s">
        <v>179</v>
      </c>
      <c r="BE162" s="166">
        <f t="shared" si="12"/>
        <v>0</v>
      </c>
      <c r="BF162" s="166">
        <f t="shared" si="13"/>
        <v>0</v>
      </c>
      <c r="BG162" s="166">
        <f t="shared" si="14"/>
        <v>0</v>
      </c>
      <c r="BH162" s="166">
        <f t="shared" si="15"/>
        <v>0</v>
      </c>
      <c r="BI162" s="166">
        <f t="shared" si="16"/>
        <v>0</v>
      </c>
      <c r="BJ162" s="14" t="s">
        <v>82</v>
      </c>
      <c r="BK162" s="166">
        <f t="shared" si="17"/>
        <v>0</v>
      </c>
      <c r="BL162" s="14" t="s">
        <v>185</v>
      </c>
      <c r="BM162" s="165" t="s">
        <v>268</v>
      </c>
    </row>
    <row r="163" spans="1:65" s="2" customFormat="1" ht="24.2" customHeight="1">
      <c r="A163" s="29"/>
      <c r="B163" s="152"/>
      <c r="C163" s="153" t="s">
        <v>228</v>
      </c>
      <c r="D163" s="153" t="s">
        <v>181</v>
      </c>
      <c r="E163" s="154" t="s">
        <v>2053</v>
      </c>
      <c r="F163" s="155" t="s">
        <v>1841</v>
      </c>
      <c r="G163" s="156" t="s">
        <v>217</v>
      </c>
      <c r="H163" s="157">
        <v>4</v>
      </c>
      <c r="I163" s="158"/>
      <c r="J163" s="151">
        <v>0</v>
      </c>
      <c r="K163" s="160"/>
      <c r="L163" s="30"/>
      <c r="M163" s="161" t="s">
        <v>1</v>
      </c>
      <c r="N163" s="162" t="s">
        <v>35</v>
      </c>
      <c r="O163" s="58"/>
      <c r="P163" s="163">
        <f t="shared" si="9"/>
        <v>0</v>
      </c>
      <c r="Q163" s="163">
        <v>0</v>
      </c>
      <c r="R163" s="163">
        <f t="shared" si="10"/>
        <v>0</v>
      </c>
      <c r="S163" s="163">
        <v>0</v>
      </c>
      <c r="T163" s="164">
        <f t="shared" si="11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5" t="s">
        <v>185</v>
      </c>
      <c r="AT163" s="165" t="s">
        <v>181</v>
      </c>
      <c r="AU163" s="165" t="s">
        <v>76</v>
      </c>
      <c r="AY163" s="14" t="s">
        <v>179</v>
      </c>
      <c r="BE163" s="166">
        <f t="shared" si="12"/>
        <v>0</v>
      </c>
      <c r="BF163" s="166">
        <f t="shared" si="13"/>
        <v>0</v>
      </c>
      <c r="BG163" s="166">
        <f t="shared" si="14"/>
        <v>0</v>
      </c>
      <c r="BH163" s="166">
        <f t="shared" si="15"/>
        <v>0</v>
      </c>
      <c r="BI163" s="166">
        <f t="shared" si="16"/>
        <v>0</v>
      </c>
      <c r="BJ163" s="14" t="s">
        <v>82</v>
      </c>
      <c r="BK163" s="166">
        <f t="shared" si="17"/>
        <v>0</v>
      </c>
      <c r="BL163" s="14" t="s">
        <v>185</v>
      </c>
      <c r="BM163" s="165" t="s">
        <v>271</v>
      </c>
    </row>
    <row r="164" spans="1:65" s="12" customFormat="1" ht="25.9" customHeight="1">
      <c r="B164" s="139"/>
      <c r="D164" s="140" t="s">
        <v>68</v>
      </c>
      <c r="E164" s="141" t="s">
        <v>2054</v>
      </c>
      <c r="F164" s="141" t="s">
        <v>2054</v>
      </c>
      <c r="I164" s="142"/>
      <c r="J164" s="151">
        <v>0</v>
      </c>
      <c r="L164" s="139"/>
      <c r="M164" s="144"/>
      <c r="N164" s="145"/>
      <c r="O164" s="145"/>
      <c r="P164" s="146">
        <f>P165+P167</f>
        <v>0</v>
      </c>
      <c r="Q164" s="145"/>
      <c r="R164" s="146">
        <f>R165+R167</f>
        <v>0</v>
      </c>
      <c r="S164" s="145"/>
      <c r="T164" s="147">
        <f>T165+T167</f>
        <v>0</v>
      </c>
      <c r="AR164" s="140" t="s">
        <v>76</v>
      </c>
      <c r="AT164" s="148" t="s">
        <v>68</v>
      </c>
      <c r="AU164" s="148" t="s">
        <v>69</v>
      </c>
      <c r="AY164" s="140" t="s">
        <v>179</v>
      </c>
      <c r="BK164" s="149">
        <f>BK165+BK167</f>
        <v>0</v>
      </c>
    </row>
    <row r="165" spans="1:65" s="12" customFormat="1" ht="22.9" customHeight="1">
      <c r="B165" s="139"/>
      <c r="D165" s="140" t="s">
        <v>68</v>
      </c>
      <c r="E165" s="150" t="s">
        <v>1405</v>
      </c>
      <c r="F165" s="150" t="s">
        <v>2055</v>
      </c>
      <c r="I165" s="142"/>
      <c r="J165" s="151">
        <v>0</v>
      </c>
      <c r="L165" s="139"/>
      <c r="M165" s="144"/>
      <c r="N165" s="145"/>
      <c r="O165" s="145"/>
      <c r="P165" s="146">
        <f>P166</f>
        <v>0</v>
      </c>
      <c r="Q165" s="145"/>
      <c r="R165" s="146">
        <f>R166</f>
        <v>0</v>
      </c>
      <c r="S165" s="145"/>
      <c r="T165" s="147">
        <f>T166</f>
        <v>0</v>
      </c>
      <c r="AR165" s="140" t="s">
        <v>76</v>
      </c>
      <c r="AT165" s="148" t="s">
        <v>68</v>
      </c>
      <c r="AU165" s="148" t="s">
        <v>76</v>
      </c>
      <c r="AY165" s="140" t="s">
        <v>179</v>
      </c>
      <c r="BK165" s="149">
        <f>BK166</f>
        <v>0</v>
      </c>
    </row>
    <row r="166" spans="1:65" s="2" customFormat="1" ht="49.15" customHeight="1">
      <c r="A166" s="29"/>
      <c r="B166" s="152"/>
      <c r="C166" s="153" t="s">
        <v>272</v>
      </c>
      <c r="D166" s="153" t="s">
        <v>181</v>
      </c>
      <c r="E166" s="154" t="s">
        <v>2056</v>
      </c>
      <c r="F166" s="155" t="s">
        <v>2057</v>
      </c>
      <c r="G166" s="156" t="s">
        <v>217</v>
      </c>
      <c r="H166" s="157">
        <v>1</v>
      </c>
      <c r="I166" s="158"/>
      <c r="J166" s="151">
        <v>0</v>
      </c>
      <c r="K166" s="160"/>
      <c r="L166" s="30"/>
      <c r="M166" s="161" t="s">
        <v>1</v>
      </c>
      <c r="N166" s="162" t="s">
        <v>35</v>
      </c>
      <c r="O166" s="58"/>
      <c r="P166" s="163">
        <f>O166*H166</f>
        <v>0</v>
      </c>
      <c r="Q166" s="163">
        <v>0</v>
      </c>
      <c r="R166" s="163">
        <f>Q166*H166</f>
        <v>0</v>
      </c>
      <c r="S166" s="163">
        <v>0</v>
      </c>
      <c r="T166" s="164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5" t="s">
        <v>185</v>
      </c>
      <c r="AT166" s="165" t="s">
        <v>181</v>
      </c>
      <c r="AU166" s="165" t="s">
        <v>82</v>
      </c>
      <c r="AY166" s="14" t="s">
        <v>179</v>
      </c>
      <c r="BE166" s="166">
        <f>IF(N166="základná",J166,0)</f>
        <v>0</v>
      </c>
      <c r="BF166" s="166">
        <f>IF(N166="znížená",J166,0)</f>
        <v>0</v>
      </c>
      <c r="BG166" s="166">
        <f>IF(N166="zákl. prenesená",J166,0)</f>
        <v>0</v>
      </c>
      <c r="BH166" s="166">
        <f>IF(N166="zníž. prenesená",J166,0)</f>
        <v>0</v>
      </c>
      <c r="BI166" s="166">
        <f>IF(N166="nulová",J166,0)</f>
        <v>0</v>
      </c>
      <c r="BJ166" s="14" t="s">
        <v>82</v>
      </c>
      <c r="BK166" s="166">
        <f>ROUND(I166*H166,2)</f>
        <v>0</v>
      </c>
      <c r="BL166" s="14" t="s">
        <v>185</v>
      </c>
      <c r="BM166" s="165" t="s">
        <v>275</v>
      </c>
    </row>
    <row r="167" spans="1:65" s="12" customFormat="1" ht="22.9" customHeight="1">
      <c r="B167" s="139"/>
      <c r="D167" s="140" t="s">
        <v>68</v>
      </c>
      <c r="E167" s="150" t="s">
        <v>2058</v>
      </c>
      <c r="F167" s="150" t="s">
        <v>1846</v>
      </c>
      <c r="I167" s="142"/>
      <c r="J167" s="151">
        <v>0</v>
      </c>
      <c r="L167" s="139"/>
      <c r="M167" s="144"/>
      <c r="N167" s="145"/>
      <c r="O167" s="145"/>
      <c r="P167" s="146">
        <f>P168</f>
        <v>0</v>
      </c>
      <c r="Q167" s="145"/>
      <c r="R167" s="146">
        <f>R168</f>
        <v>0</v>
      </c>
      <c r="S167" s="145"/>
      <c r="T167" s="147">
        <f>T168</f>
        <v>0</v>
      </c>
      <c r="AR167" s="140" t="s">
        <v>76</v>
      </c>
      <c r="AT167" s="148" t="s">
        <v>68</v>
      </c>
      <c r="AU167" s="148" t="s">
        <v>76</v>
      </c>
      <c r="AY167" s="140" t="s">
        <v>179</v>
      </c>
      <c r="BK167" s="149">
        <f>BK168</f>
        <v>0</v>
      </c>
    </row>
    <row r="168" spans="1:65" s="2" customFormat="1" ht="16.5" customHeight="1">
      <c r="A168" s="29"/>
      <c r="B168" s="152"/>
      <c r="C168" s="153" t="s">
        <v>232</v>
      </c>
      <c r="D168" s="153" t="s">
        <v>181</v>
      </c>
      <c r="E168" s="154" t="s">
        <v>2059</v>
      </c>
      <c r="F168" s="155" t="s">
        <v>2060</v>
      </c>
      <c r="G168" s="156" t="s">
        <v>217</v>
      </c>
      <c r="H168" s="157">
        <v>1</v>
      </c>
      <c r="I168" s="158"/>
      <c r="J168" s="151">
        <v>0</v>
      </c>
      <c r="K168" s="160"/>
      <c r="L168" s="30"/>
      <c r="M168" s="161" t="s">
        <v>1</v>
      </c>
      <c r="N168" s="162" t="s">
        <v>35</v>
      </c>
      <c r="O168" s="58"/>
      <c r="P168" s="163">
        <f>O168*H168</f>
        <v>0</v>
      </c>
      <c r="Q168" s="163">
        <v>0</v>
      </c>
      <c r="R168" s="163">
        <f>Q168*H168</f>
        <v>0</v>
      </c>
      <c r="S168" s="163">
        <v>0</v>
      </c>
      <c r="T168" s="164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5" t="s">
        <v>185</v>
      </c>
      <c r="AT168" s="165" t="s">
        <v>181</v>
      </c>
      <c r="AU168" s="165" t="s">
        <v>82</v>
      </c>
      <c r="AY168" s="14" t="s">
        <v>179</v>
      </c>
      <c r="BE168" s="166">
        <f>IF(N168="základná",J168,0)</f>
        <v>0</v>
      </c>
      <c r="BF168" s="166">
        <f>IF(N168="znížená",J168,0)</f>
        <v>0</v>
      </c>
      <c r="BG168" s="166">
        <f>IF(N168="zákl. prenesená",J168,0)</f>
        <v>0</v>
      </c>
      <c r="BH168" s="166">
        <f>IF(N168="zníž. prenesená",J168,0)</f>
        <v>0</v>
      </c>
      <c r="BI168" s="166">
        <f>IF(N168="nulová",J168,0)</f>
        <v>0</v>
      </c>
      <c r="BJ168" s="14" t="s">
        <v>82</v>
      </c>
      <c r="BK168" s="166">
        <f>ROUND(I168*H168,2)</f>
        <v>0</v>
      </c>
      <c r="BL168" s="14" t="s">
        <v>185</v>
      </c>
      <c r="BM168" s="165" t="s">
        <v>279</v>
      </c>
    </row>
    <row r="169" spans="1:65" s="12" customFormat="1" ht="25.9" customHeight="1">
      <c r="B169" s="139"/>
      <c r="D169" s="140" t="s">
        <v>68</v>
      </c>
      <c r="E169" s="141" t="s">
        <v>1512</v>
      </c>
      <c r="F169" s="141" t="s">
        <v>1512</v>
      </c>
      <c r="I169" s="142"/>
      <c r="J169" s="151">
        <v>0</v>
      </c>
      <c r="L169" s="139"/>
      <c r="M169" s="144"/>
      <c r="N169" s="145"/>
      <c r="O169" s="145"/>
      <c r="P169" s="146">
        <f>P170+SUM(P171:P213)+P221+P224</f>
        <v>0</v>
      </c>
      <c r="Q169" s="145"/>
      <c r="R169" s="146">
        <f>R170+SUM(R171:R213)+R221+R224</f>
        <v>0</v>
      </c>
      <c r="S169" s="145"/>
      <c r="T169" s="147">
        <f>T170+SUM(T171:T213)+T221+T224</f>
        <v>0</v>
      </c>
      <c r="AR169" s="140" t="s">
        <v>76</v>
      </c>
      <c r="AT169" s="148" t="s">
        <v>68</v>
      </c>
      <c r="AU169" s="148" t="s">
        <v>69</v>
      </c>
      <c r="AY169" s="140" t="s">
        <v>179</v>
      </c>
      <c r="BK169" s="149">
        <f>BK170+SUM(BK171:BK213)+BK221+BK224</f>
        <v>0</v>
      </c>
    </row>
    <row r="170" spans="1:65" s="2" customFormat="1" ht="16.5" customHeight="1">
      <c r="A170" s="29"/>
      <c r="B170" s="152"/>
      <c r="C170" s="153" t="s">
        <v>280</v>
      </c>
      <c r="D170" s="153" t="s">
        <v>181</v>
      </c>
      <c r="E170" s="154" t="s">
        <v>1513</v>
      </c>
      <c r="F170" s="155" t="s">
        <v>1849</v>
      </c>
      <c r="G170" s="156" t="s">
        <v>293</v>
      </c>
      <c r="H170" s="157">
        <v>100</v>
      </c>
      <c r="I170" s="158"/>
      <c r="J170" s="151">
        <v>0</v>
      </c>
      <c r="K170" s="160"/>
      <c r="L170" s="30"/>
      <c r="M170" s="161" t="s">
        <v>1</v>
      </c>
      <c r="N170" s="162" t="s">
        <v>35</v>
      </c>
      <c r="O170" s="58"/>
      <c r="P170" s="163">
        <f t="shared" ref="P170:P212" si="18">O170*H170</f>
        <v>0</v>
      </c>
      <c r="Q170" s="163">
        <v>0</v>
      </c>
      <c r="R170" s="163">
        <f t="shared" ref="R170:R212" si="19">Q170*H170</f>
        <v>0</v>
      </c>
      <c r="S170" s="163">
        <v>0</v>
      </c>
      <c r="T170" s="164">
        <f t="shared" ref="T170:T212" si="20"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5" t="s">
        <v>185</v>
      </c>
      <c r="AT170" s="165" t="s">
        <v>181</v>
      </c>
      <c r="AU170" s="165" t="s">
        <v>76</v>
      </c>
      <c r="AY170" s="14" t="s">
        <v>179</v>
      </c>
      <c r="BE170" s="166">
        <f t="shared" ref="BE170:BE212" si="21">IF(N170="základná",J170,0)</f>
        <v>0</v>
      </c>
      <c r="BF170" s="166">
        <f t="shared" ref="BF170:BF212" si="22">IF(N170="znížená",J170,0)</f>
        <v>0</v>
      </c>
      <c r="BG170" s="166">
        <f t="shared" ref="BG170:BG212" si="23">IF(N170="zákl. prenesená",J170,0)</f>
        <v>0</v>
      </c>
      <c r="BH170" s="166">
        <f t="shared" ref="BH170:BH212" si="24">IF(N170="zníž. prenesená",J170,0)</f>
        <v>0</v>
      </c>
      <c r="BI170" s="166">
        <f t="shared" ref="BI170:BI212" si="25">IF(N170="nulová",J170,0)</f>
        <v>0</v>
      </c>
      <c r="BJ170" s="14" t="s">
        <v>82</v>
      </c>
      <c r="BK170" s="166">
        <f t="shared" ref="BK170:BK212" si="26">ROUND(I170*H170,2)</f>
        <v>0</v>
      </c>
      <c r="BL170" s="14" t="s">
        <v>185</v>
      </c>
      <c r="BM170" s="165" t="s">
        <v>283</v>
      </c>
    </row>
    <row r="171" spans="1:65" s="2" customFormat="1" ht="16.5" customHeight="1">
      <c r="A171" s="29"/>
      <c r="B171" s="152"/>
      <c r="C171" s="153" t="s">
        <v>235</v>
      </c>
      <c r="D171" s="153" t="s">
        <v>181</v>
      </c>
      <c r="E171" s="154" t="s">
        <v>1515</v>
      </c>
      <c r="F171" s="155" t="s">
        <v>1850</v>
      </c>
      <c r="G171" s="156" t="s">
        <v>293</v>
      </c>
      <c r="H171" s="157">
        <v>33</v>
      </c>
      <c r="I171" s="158"/>
      <c r="J171" s="151">
        <v>0</v>
      </c>
      <c r="K171" s="160"/>
      <c r="L171" s="30"/>
      <c r="M171" s="161" t="s">
        <v>1</v>
      </c>
      <c r="N171" s="162" t="s">
        <v>35</v>
      </c>
      <c r="O171" s="58"/>
      <c r="P171" s="163">
        <f t="shared" si="18"/>
        <v>0</v>
      </c>
      <c r="Q171" s="163">
        <v>0</v>
      </c>
      <c r="R171" s="163">
        <f t="shared" si="19"/>
        <v>0</v>
      </c>
      <c r="S171" s="163">
        <v>0</v>
      </c>
      <c r="T171" s="164">
        <f t="shared" si="20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5" t="s">
        <v>185</v>
      </c>
      <c r="AT171" s="165" t="s">
        <v>181</v>
      </c>
      <c r="AU171" s="165" t="s">
        <v>76</v>
      </c>
      <c r="AY171" s="14" t="s">
        <v>179</v>
      </c>
      <c r="BE171" s="166">
        <f t="shared" si="21"/>
        <v>0</v>
      </c>
      <c r="BF171" s="166">
        <f t="shared" si="22"/>
        <v>0</v>
      </c>
      <c r="BG171" s="166">
        <f t="shared" si="23"/>
        <v>0</v>
      </c>
      <c r="BH171" s="166">
        <f t="shared" si="24"/>
        <v>0</v>
      </c>
      <c r="BI171" s="166">
        <f t="shared" si="25"/>
        <v>0</v>
      </c>
      <c r="BJ171" s="14" t="s">
        <v>82</v>
      </c>
      <c r="BK171" s="166">
        <f t="shared" si="26"/>
        <v>0</v>
      </c>
      <c r="BL171" s="14" t="s">
        <v>185</v>
      </c>
      <c r="BM171" s="165" t="s">
        <v>286</v>
      </c>
    </row>
    <row r="172" spans="1:65" s="2" customFormat="1" ht="24.2" customHeight="1">
      <c r="A172" s="29"/>
      <c r="B172" s="152"/>
      <c r="C172" s="153" t="s">
        <v>287</v>
      </c>
      <c r="D172" s="153" t="s">
        <v>181</v>
      </c>
      <c r="E172" s="154" t="s">
        <v>1517</v>
      </c>
      <c r="F172" s="155" t="s">
        <v>1851</v>
      </c>
      <c r="G172" s="156" t="s">
        <v>293</v>
      </c>
      <c r="H172" s="157">
        <v>121</v>
      </c>
      <c r="I172" s="158"/>
      <c r="J172" s="151">
        <v>0</v>
      </c>
      <c r="K172" s="160"/>
      <c r="L172" s="30"/>
      <c r="M172" s="161" t="s">
        <v>1</v>
      </c>
      <c r="N172" s="162" t="s">
        <v>35</v>
      </c>
      <c r="O172" s="58"/>
      <c r="P172" s="163">
        <f t="shared" si="18"/>
        <v>0</v>
      </c>
      <c r="Q172" s="163">
        <v>0</v>
      </c>
      <c r="R172" s="163">
        <f t="shared" si="19"/>
        <v>0</v>
      </c>
      <c r="S172" s="163">
        <v>0</v>
      </c>
      <c r="T172" s="164">
        <f t="shared" si="20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5" t="s">
        <v>185</v>
      </c>
      <c r="AT172" s="165" t="s">
        <v>181</v>
      </c>
      <c r="AU172" s="165" t="s">
        <v>76</v>
      </c>
      <c r="AY172" s="14" t="s">
        <v>179</v>
      </c>
      <c r="BE172" s="166">
        <f t="shared" si="21"/>
        <v>0</v>
      </c>
      <c r="BF172" s="166">
        <f t="shared" si="22"/>
        <v>0</v>
      </c>
      <c r="BG172" s="166">
        <f t="shared" si="23"/>
        <v>0</v>
      </c>
      <c r="BH172" s="166">
        <f t="shared" si="24"/>
        <v>0</v>
      </c>
      <c r="BI172" s="166">
        <f t="shared" si="25"/>
        <v>0</v>
      </c>
      <c r="BJ172" s="14" t="s">
        <v>82</v>
      </c>
      <c r="BK172" s="166">
        <f t="shared" si="26"/>
        <v>0</v>
      </c>
      <c r="BL172" s="14" t="s">
        <v>185</v>
      </c>
      <c r="BM172" s="165" t="s">
        <v>290</v>
      </c>
    </row>
    <row r="173" spans="1:65" s="2" customFormat="1" ht="24.2" customHeight="1">
      <c r="A173" s="29"/>
      <c r="B173" s="152"/>
      <c r="C173" s="153" t="s">
        <v>239</v>
      </c>
      <c r="D173" s="153" t="s">
        <v>181</v>
      </c>
      <c r="E173" s="154" t="s">
        <v>1519</v>
      </c>
      <c r="F173" s="155" t="s">
        <v>1852</v>
      </c>
      <c r="G173" s="156" t="s">
        <v>293</v>
      </c>
      <c r="H173" s="157">
        <v>36</v>
      </c>
      <c r="I173" s="158"/>
      <c r="J173" s="151">
        <v>0</v>
      </c>
      <c r="K173" s="160"/>
      <c r="L173" s="30"/>
      <c r="M173" s="161" t="s">
        <v>1</v>
      </c>
      <c r="N173" s="162" t="s">
        <v>35</v>
      </c>
      <c r="O173" s="58"/>
      <c r="P173" s="163">
        <f t="shared" si="18"/>
        <v>0</v>
      </c>
      <c r="Q173" s="163">
        <v>0</v>
      </c>
      <c r="R173" s="163">
        <f t="shared" si="19"/>
        <v>0</v>
      </c>
      <c r="S173" s="163">
        <v>0</v>
      </c>
      <c r="T173" s="164">
        <f t="shared" si="20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5" t="s">
        <v>185</v>
      </c>
      <c r="AT173" s="165" t="s">
        <v>181</v>
      </c>
      <c r="AU173" s="165" t="s">
        <v>76</v>
      </c>
      <c r="AY173" s="14" t="s">
        <v>179</v>
      </c>
      <c r="BE173" s="166">
        <f t="shared" si="21"/>
        <v>0</v>
      </c>
      <c r="BF173" s="166">
        <f t="shared" si="22"/>
        <v>0</v>
      </c>
      <c r="BG173" s="166">
        <f t="shared" si="23"/>
        <v>0</v>
      </c>
      <c r="BH173" s="166">
        <f t="shared" si="24"/>
        <v>0</v>
      </c>
      <c r="BI173" s="166">
        <f t="shared" si="25"/>
        <v>0</v>
      </c>
      <c r="BJ173" s="14" t="s">
        <v>82</v>
      </c>
      <c r="BK173" s="166">
        <f t="shared" si="26"/>
        <v>0</v>
      </c>
      <c r="BL173" s="14" t="s">
        <v>185</v>
      </c>
      <c r="BM173" s="165" t="s">
        <v>294</v>
      </c>
    </row>
    <row r="174" spans="1:65" s="2" customFormat="1" ht="24.2" customHeight="1">
      <c r="A174" s="29"/>
      <c r="B174" s="152"/>
      <c r="C174" s="153" t="s">
        <v>295</v>
      </c>
      <c r="D174" s="153" t="s">
        <v>181</v>
      </c>
      <c r="E174" s="154" t="s">
        <v>1521</v>
      </c>
      <c r="F174" s="155" t="s">
        <v>1853</v>
      </c>
      <c r="G174" s="156" t="s">
        <v>293</v>
      </c>
      <c r="H174" s="157">
        <v>33</v>
      </c>
      <c r="I174" s="158"/>
      <c r="J174" s="151">
        <v>0</v>
      </c>
      <c r="K174" s="160"/>
      <c r="L174" s="30"/>
      <c r="M174" s="161" t="s">
        <v>1</v>
      </c>
      <c r="N174" s="162" t="s">
        <v>35</v>
      </c>
      <c r="O174" s="58"/>
      <c r="P174" s="163">
        <f t="shared" si="18"/>
        <v>0</v>
      </c>
      <c r="Q174" s="163">
        <v>0</v>
      </c>
      <c r="R174" s="163">
        <f t="shared" si="19"/>
        <v>0</v>
      </c>
      <c r="S174" s="163">
        <v>0</v>
      </c>
      <c r="T174" s="164">
        <f t="shared" si="20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5" t="s">
        <v>185</v>
      </c>
      <c r="AT174" s="165" t="s">
        <v>181</v>
      </c>
      <c r="AU174" s="165" t="s">
        <v>76</v>
      </c>
      <c r="AY174" s="14" t="s">
        <v>179</v>
      </c>
      <c r="BE174" s="166">
        <f t="shared" si="21"/>
        <v>0</v>
      </c>
      <c r="BF174" s="166">
        <f t="shared" si="22"/>
        <v>0</v>
      </c>
      <c r="BG174" s="166">
        <f t="shared" si="23"/>
        <v>0</v>
      </c>
      <c r="BH174" s="166">
        <f t="shared" si="24"/>
        <v>0</v>
      </c>
      <c r="BI174" s="166">
        <f t="shared" si="25"/>
        <v>0</v>
      </c>
      <c r="BJ174" s="14" t="s">
        <v>82</v>
      </c>
      <c r="BK174" s="166">
        <f t="shared" si="26"/>
        <v>0</v>
      </c>
      <c r="BL174" s="14" t="s">
        <v>185</v>
      </c>
      <c r="BM174" s="165" t="s">
        <v>298</v>
      </c>
    </row>
    <row r="175" spans="1:65" s="2" customFormat="1" ht="16.5" customHeight="1">
      <c r="A175" s="29"/>
      <c r="B175" s="152"/>
      <c r="C175" s="153" t="s">
        <v>242</v>
      </c>
      <c r="D175" s="153" t="s">
        <v>181</v>
      </c>
      <c r="E175" s="154" t="s">
        <v>1523</v>
      </c>
      <c r="F175" s="155" t="s">
        <v>1983</v>
      </c>
      <c r="G175" s="156" t="s">
        <v>293</v>
      </c>
      <c r="H175" s="157">
        <v>47</v>
      </c>
      <c r="I175" s="158"/>
      <c r="J175" s="151">
        <v>0</v>
      </c>
      <c r="K175" s="160"/>
      <c r="L175" s="30"/>
      <c r="M175" s="161" t="s">
        <v>1</v>
      </c>
      <c r="N175" s="162" t="s">
        <v>35</v>
      </c>
      <c r="O175" s="58"/>
      <c r="P175" s="163">
        <f t="shared" si="18"/>
        <v>0</v>
      </c>
      <c r="Q175" s="163">
        <v>0</v>
      </c>
      <c r="R175" s="163">
        <f t="shared" si="19"/>
        <v>0</v>
      </c>
      <c r="S175" s="163">
        <v>0</v>
      </c>
      <c r="T175" s="164">
        <f t="shared" si="20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5" t="s">
        <v>185</v>
      </c>
      <c r="AT175" s="165" t="s">
        <v>181</v>
      </c>
      <c r="AU175" s="165" t="s">
        <v>76</v>
      </c>
      <c r="AY175" s="14" t="s">
        <v>179</v>
      </c>
      <c r="BE175" s="166">
        <f t="shared" si="21"/>
        <v>0</v>
      </c>
      <c r="BF175" s="166">
        <f t="shared" si="22"/>
        <v>0</v>
      </c>
      <c r="BG175" s="166">
        <f t="shared" si="23"/>
        <v>0</v>
      </c>
      <c r="BH175" s="166">
        <f t="shared" si="24"/>
        <v>0</v>
      </c>
      <c r="BI175" s="166">
        <f t="shared" si="25"/>
        <v>0</v>
      </c>
      <c r="BJ175" s="14" t="s">
        <v>82</v>
      </c>
      <c r="BK175" s="166">
        <f t="shared" si="26"/>
        <v>0</v>
      </c>
      <c r="BL175" s="14" t="s">
        <v>185</v>
      </c>
      <c r="BM175" s="165" t="s">
        <v>301</v>
      </c>
    </row>
    <row r="176" spans="1:65" s="2" customFormat="1" ht="55.5" customHeight="1">
      <c r="A176" s="29"/>
      <c r="B176" s="152"/>
      <c r="C176" s="153" t="s">
        <v>302</v>
      </c>
      <c r="D176" s="153" t="s">
        <v>181</v>
      </c>
      <c r="E176" s="154" t="s">
        <v>1525</v>
      </c>
      <c r="F176" s="155" t="s">
        <v>1854</v>
      </c>
      <c r="G176" s="156" t="s">
        <v>293</v>
      </c>
      <c r="H176" s="157">
        <v>50</v>
      </c>
      <c r="I176" s="158"/>
      <c r="J176" s="151">
        <v>0</v>
      </c>
      <c r="K176" s="160"/>
      <c r="L176" s="30"/>
      <c r="M176" s="161" t="s">
        <v>1</v>
      </c>
      <c r="N176" s="162" t="s">
        <v>35</v>
      </c>
      <c r="O176" s="58"/>
      <c r="P176" s="163">
        <f t="shared" si="18"/>
        <v>0</v>
      </c>
      <c r="Q176" s="163">
        <v>0</v>
      </c>
      <c r="R176" s="163">
        <f t="shared" si="19"/>
        <v>0</v>
      </c>
      <c r="S176" s="163">
        <v>0</v>
      </c>
      <c r="T176" s="164">
        <f t="shared" si="20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5" t="s">
        <v>185</v>
      </c>
      <c r="AT176" s="165" t="s">
        <v>181</v>
      </c>
      <c r="AU176" s="165" t="s">
        <v>76</v>
      </c>
      <c r="AY176" s="14" t="s">
        <v>179</v>
      </c>
      <c r="BE176" s="166">
        <f t="shared" si="21"/>
        <v>0</v>
      </c>
      <c r="BF176" s="166">
        <f t="shared" si="22"/>
        <v>0</v>
      </c>
      <c r="BG176" s="166">
        <f t="shared" si="23"/>
        <v>0</v>
      </c>
      <c r="BH176" s="166">
        <f t="shared" si="24"/>
        <v>0</v>
      </c>
      <c r="BI176" s="166">
        <f t="shared" si="25"/>
        <v>0</v>
      </c>
      <c r="BJ176" s="14" t="s">
        <v>82</v>
      </c>
      <c r="BK176" s="166">
        <f t="shared" si="26"/>
        <v>0</v>
      </c>
      <c r="BL176" s="14" t="s">
        <v>185</v>
      </c>
      <c r="BM176" s="165" t="s">
        <v>305</v>
      </c>
    </row>
    <row r="177" spans="1:65" s="2" customFormat="1" ht="37.9" customHeight="1">
      <c r="A177" s="29"/>
      <c r="B177" s="152"/>
      <c r="C177" s="153" t="s">
        <v>246</v>
      </c>
      <c r="D177" s="153" t="s">
        <v>181</v>
      </c>
      <c r="E177" s="154" t="s">
        <v>1527</v>
      </c>
      <c r="F177" s="155" t="s">
        <v>1855</v>
      </c>
      <c r="G177" s="156" t="s">
        <v>293</v>
      </c>
      <c r="H177" s="157">
        <v>9</v>
      </c>
      <c r="I177" s="158"/>
      <c r="J177" s="151">
        <v>0</v>
      </c>
      <c r="K177" s="160"/>
      <c r="L177" s="30"/>
      <c r="M177" s="161" t="s">
        <v>1</v>
      </c>
      <c r="N177" s="162" t="s">
        <v>35</v>
      </c>
      <c r="O177" s="58"/>
      <c r="P177" s="163">
        <f t="shared" si="18"/>
        <v>0</v>
      </c>
      <c r="Q177" s="163">
        <v>0</v>
      </c>
      <c r="R177" s="163">
        <f t="shared" si="19"/>
        <v>0</v>
      </c>
      <c r="S177" s="163">
        <v>0</v>
      </c>
      <c r="T177" s="164">
        <f t="shared" si="20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5" t="s">
        <v>185</v>
      </c>
      <c r="AT177" s="165" t="s">
        <v>181</v>
      </c>
      <c r="AU177" s="165" t="s">
        <v>76</v>
      </c>
      <c r="AY177" s="14" t="s">
        <v>179</v>
      </c>
      <c r="BE177" s="166">
        <f t="shared" si="21"/>
        <v>0</v>
      </c>
      <c r="BF177" s="166">
        <f t="shared" si="22"/>
        <v>0</v>
      </c>
      <c r="BG177" s="166">
        <f t="shared" si="23"/>
        <v>0</v>
      </c>
      <c r="BH177" s="166">
        <f t="shared" si="24"/>
        <v>0</v>
      </c>
      <c r="BI177" s="166">
        <f t="shared" si="25"/>
        <v>0</v>
      </c>
      <c r="BJ177" s="14" t="s">
        <v>82</v>
      </c>
      <c r="BK177" s="166">
        <f t="shared" si="26"/>
        <v>0</v>
      </c>
      <c r="BL177" s="14" t="s">
        <v>185</v>
      </c>
      <c r="BM177" s="165" t="s">
        <v>308</v>
      </c>
    </row>
    <row r="178" spans="1:65" s="2" customFormat="1" ht="16.5" customHeight="1">
      <c r="A178" s="29"/>
      <c r="B178" s="152"/>
      <c r="C178" s="153" t="s">
        <v>309</v>
      </c>
      <c r="D178" s="153" t="s">
        <v>181</v>
      </c>
      <c r="E178" s="154" t="s">
        <v>1529</v>
      </c>
      <c r="F178" s="155" t="s">
        <v>1856</v>
      </c>
      <c r="G178" s="156" t="s">
        <v>217</v>
      </c>
      <c r="H178" s="157">
        <v>60</v>
      </c>
      <c r="I178" s="158"/>
      <c r="J178" s="151">
        <v>0</v>
      </c>
      <c r="K178" s="160"/>
      <c r="L178" s="30"/>
      <c r="M178" s="161" t="s">
        <v>1</v>
      </c>
      <c r="N178" s="162" t="s">
        <v>35</v>
      </c>
      <c r="O178" s="58"/>
      <c r="P178" s="163">
        <f t="shared" si="18"/>
        <v>0</v>
      </c>
      <c r="Q178" s="163">
        <v>0</v>
      </c>
      <c r="R178" s="163">
        <f t="shared" si="19"/>
        <v>0</v>
      </c>
      <c r="S178" s="163">
        <v>0</v>
      </c>
      <c r="T178" s="164">
        <f t="shared" si="20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5" t="s">
        <v>185</v>
      </c>
      <c r="AT178" s="165" t="s">
        <v>181</v>
      </c>
      <c r="AU178" s="165" t="s">
        <v>76</v>
      </c>
      <c r="AY178" s="14" t="s">
        <v>179</v>
      </c>
      <c r="BE178" s="166">
        <f t="shared" si="21"/>
        <v>0</v>
      </c>
      <c r="BF178" s="166">
        <f t="shared" si="22"/>
        <v>0</v>
      </c>
      <c r="BG178" s="166">
        <f t="shared" si="23"/>
        <v>0</v>
      </c>
      <c r="BH178" s="166">
        <f t="shared" si="24"/>
        <v>0</v>
      </c>
      <c r="BI178" s="166">
        <f t="shared" si="25"/>
        <v>0</v>
      </c>
      <c r="BJ178" s="14" t="s">
        <v>82</v>
      </c>
      <c r="BK178" s="166">
        <f t="shared" si="26"/>
        <v>0</v>
      </c>
      <c r="BL178" s="14" t="s">
        <v>185</v>
      </c>
      <c r="BM178" s="165" t="s">
        <v>312</v>
      </c>
    </row>
    <row r="179" spans="1:65" s="2" customFormat="1" ht="33" customHeight="1">
      <c r="A179" s="29"/>
      <c r="B179" s="152"/>
      <c r="C179" s="153" t="s">
        <v>250</v>
      </c>
      <c r="D179" s="153" t="s">
        <v>181</v>
      </c>
      <c r="E179" s="154" t="s">
        <v>1531</v>
      </c>
      <c r="F179" s="155" t="s">
        <v>1554</v>
      </c>
      <c r="G179" s="156" t="s">
        <v>217</v>
      </c>
      <c r="H179" s="157">
        <v>166</v>
      </c>
      <c r="I179" s="158"/>
      <c r="J179" s="151">
        <v>0</v>
      </c>
      <c r="K179" s="160"/>
      <c r="L179" s="30"/>
      <c r="M179" s="161" t="s">
        <v>1</v>
      </c>
      <c r="N179" s="162" t="s">
        <v>35</v>
      </c>
      <c r="O179" s="58"/>
      <c r="P179" s="163">
        <f t="shared" si="18"/>
        <v>0</v>
      </c>
      <c r="Q179" s="163">
        <v>0</v>
      </c>
      <c r="R179" s="163">
        <f t="shared" si="19"/>
        <v>0</v>
      </c>
      <c r="S179" s="163">
        <v>0</v>
      </c>
      <c r="T179" s="164">
        <f t="shared" si="20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5" t="s">
        <v>185</v>
      </c>
      <c r="AT179" s="165" t="s">
        <v>181</v>
      </c>
      <c r="AU179" s="165" t="s">
        <v>76</v>
      </c>
      <c r="AY179" s="14" t="s">
        <v>179</v>
      </c>
      <c r="BE179" s="166">
        <f t="shared" si="21"/>
        <v>0</v>
      </c>
      <c r="BF179" s="166">
        <f t="shared" si="22"/>
        <v>0</v>
      </c>
      <c r="BG179" s="166">
        <f t="shared" si="23"/>
        <v>0</v>
      </c>
      <c r="BH179" s="166">
        <f t="shared" si="24"/>
        <v>0</v>
      </c>
      <c r="BI179" s="166">
        <f t="shared" si="25"/>
        <v>0</v>
      </c>
      <c r="BJ179" s="14" t="s">
        <v>82</v>
      </c>
      <c r="BK179" s="166">
        <f t="shared" si="26"/>
        <v>0</v>
      </c>
      <c r="BL179" s="14" t="s">
        <v>185</v>
      </c>
      <c r="BM179" s="165" t="s">
        <v>315</v>
      </c>
    </row>
    <row r="180" spans="1:65" s="2" customFormat="1" ht="16.5" customHeight="1">
      <c r="A180" s="29"/>
      <c r="B180" s="152"/>
      <c r="C180" s="153" t="s">
        <v>316</v>
      </c>
      <c r="D180" s="153" t="s">
        <v>181</v>
      </c>
      <c r="E180" s="154" t="s">
        <v>1533</v>
      </c>
      <c r="F180" s="155" t="s">
        <v>1857</v>
      </c>
      <c r="G180" s="156" t="s">
        <v>217</v>
      </c>
      <c r="H180" s="157">
        <v>85</v>
      </c>
      <c r="I180" s="158"/>
      <c r="J180" s="151">
        <v>0</v>
      </c>
      <c r="K180" s="160"/>
      <c r="L180" s="30"/>
      <c r="M180" s="161" t="s">
        <v>1</v>
      </c>
      <c r="N180" s="162" t="s">
        <v>35</v>
      </c>
      <c r="O180" s="58"/>
      <c r="P180" s="163">
        <f t="shared" si="18"/>
        <v>0</v>
      </c>
      <c r="Q180" s="163">
        <v>0</v>
      </c>
      <c r="R180" s="163">
        <f t="shared" si="19"/>
        <v>0</v>
      </c>
      <c r="S180" s="163">
        <v>0</v>
      </c>
      <c r="T180" s="164">
        <f t="shared" si="20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5" t="s">
        <v>185</v>
      </c>
      <c r="AT180" s="165" t="s">
        <v>181</v>
      </c>
      <c r="AU180" s="165" t="s">
        <v>76</v>
      </c>
      <c r="AY180" s="14" t="s">
        <v>179</v>
      </c>
      <c r="BE180" s="166">
        <f t="shared" si="21"/>
        <v>0</v>
      </c>
      <c r="BF180" s="166">
        <f t="shared" si="22"/>
        <v>0</v>
      </c>
      <c r="BG180" s="166">
        <f t="shared" si="23"/>
        <v>0</v>
      </c>
      <c r="BH180" s="166">
        <f t="shared" si="24"/>
        <v>0</v>
      </c>
      <c r="BI180" s="166">
        <f t="shared" si="25"/>
        <v>0</v>
      </c>
      <c r="BJ180" s="14" t="s">
        <v>82</v>
      </c>
      <c r="BK180" s="166">
        <f t="shared" si="26"/>
        <v>0</v>
      </c>
      <c r="BL180" s="14" t="s">
        <v>185</v>
      </c>
      <c r="BM180" s="165" t="s">
        <v>319</v>
      </c>
    </row>
    <row r="181" spans="1:65" s="2" customFormat="1" ht="16.5" customHeight="1">
      <c r="A181" s="29"/>
      <c r="B181" s="152"/>
      <c r="C181" s="153" t="s">
        <v>254</v>
      </c>
      <c r="D181" s="153" t="s">
        <v>181</v>
      </c>
      <c r="E181" s="154" t="s">
        <v>1535</v>
      </c>
      <c r="F181" s="155" t="s">
        <v>1858</v>
      </c>
      <c r="G181" s="156" t="s">
        <v>217</v>
      </c>
      <c r="H181" s="157">
        <v>85</v>
      </c>
      <c r="I181" s="158"/>
      <c r="J181" s="151">
        <v>0</v>
      </c>
      <c r="K181" s="160"/>
      <c r="L181" s="30"/>
      <c r="M181" s="161" t="s">
        <v>1</v>
      </c>
      <c r="N181" s="162" t="s">
        <v>35</v>
      </c>
      <c r="O181" s="58"/>
      <c r="P181" s="163">
        <f t="shared" si="18"/>
        <v>0</v>
      </c>
      <c r="Q181" s="163">
        <v>0</v>
      </c>
      <c r="R181" s="163">
        <f t="shared" si="19"/>
        <v>0</v>
      </c>
      <c r="S181" s="163">
        <v>0</v>
      </c>
      <c r="T181" s="164">
        <f t="shared" si="20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5" t="s">
        <v>185</v>
      </c>
      <c r="AT181" s="165" t="s">
        <v>181</v>
      </c>
      <c r="AU181" s="165" t="s">
        <v>76</v>
      </c>
      <c r="AY181" s="14" t="s">
        <v>179</v>
      </c>
      <c r="BE181" s="166">
        <f t="shared" si="21"/>
        <v>0</v>
      </c>
      <c r="BF181" s="166">
        <f t="shared" si="22"/>
        <v>0</v>
      </c>
      <c r="BG181" s="166">
        <f t="shared" si="23"/>
        <v>0</v>
      </c>
      <c r="BH181" s="166">
        <f t="shared" si="24"/>
        <v>0</v>
      </c>
      <c r="BI181" s="166">
        <f t="shared" si="25"/>
        <v>0</v>
      </c>
      <c r="BJ181" s="14" t="s">
        <v>82</v>
      </c>
      <c r="BK181" s="166">
        <f t="shared" si="26"/>
        <v>0</v>
      </c>
      <c r="BL181" s="14" t="s">
        <v>185</v>
      </c>
      <c r="BM181" s="165" t="s">
        <v>322</v>
      </c>
    </row>
    <row r="182" spans="1:65" s="2" customFormat="1" ht="44.25" customHeight="1">
      <c r="A182" s="29"/>
      <c r="B182" s="152"/>
      <c r="C182" s="153" t="s">
        <v>323</v>
      </c>
      <c r="D182" s="153" t="s">
        <v>181</v>
      </c>
      <c r="E182" s="154" t="s">
        <v>1537</v>
      </c>
      <c r="F182" s="155" t="s">
        <v>1859</v>
      </c>
      <c r="G182" s="156" t="s">
        <v>293</v>
      </c>
      <c r="H182" s="157">
        <v>35</v>
      </c>
      <c r="I182" s="158"/>
      <c r="J182" s="151">
        <v>0</v>
      </c>
      <c r="K182" s="160"/>
      <c r="L182" s="30"/>
      <c r="M182" s="161" t="s">
        <v>1</v>
      </c>
      <c r="N182" s="162" t="s">
        <v>35</v>
      </c>
      <c r="O182" s="58"/>
      <c r="P182" s="163">
        <f t="shared" si="18"/>
        <v>0</v>
      </c>
      <c r="Q182" s="163">
        <v>0</v>
      </c>
      <c r="R182" s="163">
        <f t="shared" si="19"/>
        <v>0</v>
      </c>
      <c r="S182" s="163">
        <v>0</v>
      </c>
      <c r="T182" s="164">
        <f t="shared" si="20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65" t="s">
        <v>185</v>
      </c>
      <c r="AT182" s="165" t="s">
        <v>181</v>
      </c>
      <c r="AU182" s="165" t="s">
        <v>76</v>
      </c>
      <c r="AY182" s="14" t="s">
        <v>179</v>
      </c>
      <c r="BE182" s="166">
        <f t="shared" si="21"/>
        <v>0</v>
      </c>
      <c r="BF182" s="166">
        <f t="shared" si="22"/>
        <v>0</v>
      </c>
      <c r="BG182" s="166">
        <f t="shared" si="23"/>
        <v>0</v>
      </c>
      <c r="BH182" s="166">
        <f t="shared" si="24"/>
        <v>0</v>
      </c>
      <c r="BI182" s="166">
        <f t="shared" si="25"/>
        <v>0</v>
      </c>
      <c r="BJ182" s="14" t="s">
        <v>82</v>
      </c>
      <c r="BK182" s="166">
        <f t="shared" si="26"/>
        <v>0</v>
      </c>
      <c r="BL182" s="14" t="s">
        <v>185</v>
      </c>
      <c r="BM182" s="165" t="s">
        <v>326</v>
      </c>
    </row>
    <row r="183" spans="1:65" s="2" customFormat="1" ht="44.25" customHeight="1">
      <c r="A183" s="29"/>
      <c r="B183" s="152"/>
      <c r="C183" s="153" t="s">
        <v>257</v>
      </c>
      <c r="D183" s="153" t="s">
        <v>181</v>
      </c>
      <c r="E183" s="154" t="s">
        <v>1539</v>
      </c>
      <c r="F183" s="155" t="s">
        <v>1860</v>
      </c>
      <c r="G183" s="156" t="s">
        <v>293</v>
      </c>
      <c r="H183" s="157">
        <v>50</v>
      </c>
      <c r="I183" s="158"/>
      <c r="J183" s="151">
        <v>0</v>
      </c>
      <c r="K183" s="160"/>
      <c r="L183" s="30"/>
      <c r="M183" s="161" t="s">
        <v>1</v>
      </c>
      <c r="N183" s="162" t="s">
        <v>35</v>
      </c>
      <c r="O183" s="58"/>
      <c r="P183" s="163">
        <f t="shared" si="18"/>
        <v>0</v>
      </c>
      <c r="Q183" s="163">
        <v>0</v>
      </c>
      <c r="R183" s="163">
        <f t="shared" si="19"/>
        <v>0</v>
      </c>
      <c r="S183" s="163">
        <v>0</v>
      </c>
      <c r="T183" s="164">
        <f t="shared" si="20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5" t="s">
        <v>185</v>
      </c>
      <c r="AT183" s="165" t="s">
        <v>181</v>
      </c>
      <c r="AU183" s="165" t="s">
        <v>76</v>
      </c>
      <c r="AY183" s="14" t="s">
        <v>179</v>
      </c>
      <c r="BE183" s="166">
        <f t="shared" si="21"/>
        <v>0</v>
      </c>
      <c r="BF183" s="166">
        <f t="shared" si="22"/>
        <v>0</v>
      </c>
      <c r="BG183" s="166">
        <f t="shared" si="23"/>
        <v>0</v>
      </c>
      <c r="BH183" s="166">
        <f t="shared" si="24"/>
        <v>0</v>
      </c>
      <c r="BI183" s="166">
        <f t="shared" si="25"/>
        <v>0</v>
      </c>
      <c r="BJ183" s="14" t="s">
        <v>82</v>
      </c>
      <c r="BK183" s="166">
        <f t="shared" si="26"/>
        <v>0</v>
      </c>
      <c r="BL183" s="14" t="s">
        <v>185</v>
      </c>
      <c r="BM183" s="165" t="s">
        <v>329</v>
      </c>
    </row>
    <row r="184" spans="1:65" s="2" customFormat="1" ht="44.25" customHeight="1">
      <c r="A184" s="29"/>
      <c r="B184" s="152"/>
      <c r="C184" s="153" t="s">
        <v>330</v>
      </c>
      <c r="D184" s="153" t="s">
        <v>181</v>
      </c>
      <c r="E184" s="154" t="s">
        <v>1541</v>
      </c>
      <c r="F184" s="155" t="s">
        <v>1861</v>
      </c>
      <c r="G184" s="156" t="s">
        <v>293</v>
      </c>
      <c r="H184" s="157">
        <v>45</v>
      </c>
      <c r="I184" s="158"/>
      <c r="J184" s="151">
        <v>0</v>
      </c>
      <c r="K184" s="160"/>
      <c r="L184" s="30"/>
      <c r="M184" s="161" t="s">
        <v>1</v>
      </c>
      <c r="N184" s="162" t="s">
        <v>35</v>
      </c>
      <c r="O184" s="58"/>
      <c r="P184" s="163">
        <f t="shared" si="18"/>
        <v>0</v>
      </c>
      <c r="Q184" s="163">
        <v>0</v>
      </c>
      <c r="R184" s="163">
        <f t="shared" si="19"/>
        <v>0</v>
      </c>
      <c r="S184" s="163">
        <v>0</v>
      </c>
      <c r="T184" s="164">
        <f t="shared" si="20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5" t="s">
        <v>185</v>
      </c>
      <c r="AT184" s="165" t="s">
        <v>181</v>
      </c>
      <c r="AU184" s="165" t="s">
        <v>76</v>
      </c>
      <c r="AY184" s="14" t="s">
        <v>179</v>
      </c>
      <c r="BE184" s="166">
        <f t="shared" si="21"/>
        <v>0</v>
      </c>
      <c r="BF184" s="166">
        <f t="shared" si="22"/>
        <v>0</v>
      </c>
      <c r="BG184" s="166">
        <f t="shared" si="23"/>
        <v>0</v>
      </c>
      <c r="BH184" s="166">
        <f t="shared" si="24"/>
        <v>0</v>
      </c>
      <c r="BI184" s="166">
        <f t="shared" si="25"/>
        <v>0</v>
      </c>
      <c r="BJ184" s="14" t="s">
        <v>82</v>
      </c>
      <c r="BK184" s="166">
        <f t="shared" si="26"/>
        <v>0</v>
      </c>
      <c r="BL184" s="14" t="s">
        <v>185</v>
      </c>
      <c r="BM184" s="165" t="s">
        <v>333</v>
      </c>
    </row>
    <row r="185" spans="1:65" s="2" customFormat="1" ht="37.9" customHeight="1">
      <c r="A185" s="29"/>
      <c r="B185" s="152"/>
      <c r="C185" s="153" t="s">
        <v>261</v>
      </c>
      <c r="D185" s="153" t="s">
        <v>181</v>
      </c>
      <c r="E185" s="154" t="s">
        <v>1543</v>
      </c>
      <c r="F185" s="155" t="s">
        <v>1862</v>
      </c>
      <c r="G185" s="156" t="s">
        <v>293</v>
      </c>
      <c r="H185" s="157">
        <v>35</v>
      </c>
      <c r="I185" s="158"/>
      <c r="J185" s="151">
        <v>0</v>
      </c>
      <c r="K185" s="160"/>
      <c r="L185" s="30"/>
      <c r="M185" s="161" t="s">
        <v>1</v>
      </c>
      <c r="N185" s="162" t="s">
        <v>35</v>
      </c>
      <c r="O185" s="58"/>
      <c r="P185" s="163">
        <f t="shared" si="18"/>
        <v>0</v>
      </c>
      <c r="Q185" s="163">
        <v>0</v>
      </c>
      <c r="R185" s="163">
        <f t="shared" si="19"/>
        <v>0</v>
      </c>
      <c r="S185" s="163">
        <v>0</v>
      </c>
      <c r="T185" s="164">
        <f t="shared" si="20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5" t="s">
        <v>185</v>
      </c>
      <c r="AT185" s="165" t="s">
        <v>181</v>
      </c>
      <c r="AU185" s="165" t="s">
        <v>76</v>
      </c>
      <c r="AY185" s="14" t="s">
        <v>179</v>
      </c>
      <c r="BE185" s="166">
        <f t="shared" si="21"/>
        <v>0</v>
      </c>
      <c r="BF185" s="166">
        <f t="shared" si="22"/>
        <v>0</v>
      </c>
      <c r="BG185" s="166">
        <f t="shared" si="23"/>
        <v>0</v>
      </c>
      <c r="BH185" s="166">
        <f t="shared" si="24"/>
        <v>0</v>
      </c>
      <c r="BI185" s="166">
        <f t="shared" si="25"/>
        <v>0</v>
      </c>
      <c r="BJ185" s="14" t="s">
        <v>82</v>
      </c>
      <c r="BK185" s="166">
        <f t="shared" si="26"/>
        <v>0</v>
      </c>
      <c r="BL185" s="14" t="s">
        <v>185</v>
      </c>
      <c r="BM185" s="165" t="s">
        <v>336</v>
      </c>
    </row>
    <row r="186" spans="1:65" s="2" customFormat="1" ht="37.9" customHeight="1">
      <c r="A186" s="29"/>
      <c r="B186" s="152"/>
      <c r="C186" s="153" t="s">
        <v>337</v>
      </c>
      <c r="D186" s="153" t="s">
        <v>181</v>
      </c>
      <c r="E186" s="154" t="s">
        <v>1545</v>
      </c>
      <c r="F186" s="155" t="s">
        <v>1863</v>
      </c>
      <c r="G186" s="156" t="s">
        <v>293</v>
      </c>
      <c r="H186" s="157">
        <v>50</v>
      </c>
      <c r="I186" s="158"/>
      <c r="J186" s="151">
        <v>0</v>
      </c>
      <c r="K186" s="160"/>
      <c r="L186" s="30"/>
      <c r="M186" s="161" t="s">
        <v>1</v>
      </c>
      <c r="N186" s="162" t="s">
        <v>35</v>
      </c>
      <c r="O186" s="58"/>
      <c r="P186" s="163">
        <f t="shared" si="18"/>
        <v>0</v>
      </c>
      <c r="Q186" s="163">
        <v>0</v>
      </c>
      <c r="R186" s="163">
        <f t="shared" si="19"/>
        <v>0</v>
      </c>
      <c r="S186" s="163">
        <v>0</v>
      </c>
      <c r="T186" s="164">
        <f t="shared" si="20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5" t="s">
        <v>185</v>
      </c>
      <c r="AT186" s="165" t="s">
        <v>181</v>
      </c>
      <c r="AU186" s="165" t="s">
        <v>76</v>
      </c>
      <c r="AY186" s="14" t="s">
        <v>179</v>
      </c>
      <c r="BE186" s="166">
        <f t="shared" si="21"/>
        <v>0</v>
      </c>
      <c r="BF186" s="166">
        <f t="shared" si="22"/>
        <v>0</v>
      </c>
      <c r="BG186" s="166">
        <f t="shared" si="23"/>
        <v>0</v>
      </c>
      <c r="BH186" s="166">
        <f t="shared" si="24"/>
        <v>0</v>
      </c>
      <c r="BI186" s="166">
        <f t="shared" si="25"/>
        <v>0</v>
      </c>
      <c r="BJ186" s="14" t="s">
        <v>82</v>
      </c>
      <c r="BK186" s="166">
        <f t="shared" si="26"/>
        <v>0</v>
      </c>
      <c r="BL186" s="14" t="s">
        <v>185</v>
      </c>
      <c r="BM186" s="165" t="s">
        <v>340</v>
      </c>
    </row>
    <row r="187" spans="1:65" s="2" customFormat="1" ht="37.9" customHeight="1">
      <c r="A187" s="29"/>
      <c r="B187" s="152"/>
      <c r="C187" s="153" t="s">
        <v>265</v>
      </c>
      <c r="D187" s="153" t="s">
        <v>181</v>
      </c>
      <c r="E187" s="154" t="s">
        <v>1547</v>
      </c>
      <c r="F187" s="155" t="s">
        <v>1864</v>
      </c>
      <c r="G187" s="156" t="s">
        <v>293</v>
      </c>
      <c r="H187" s="157">
        <v>5</v>
      </c>
      <c r="I187" s="158"/>
      <c r="J187" s="151">
        <v>0</v>
      </c>
      <c r="K187" s="160"/>
      <c r="L187" s="30"/>
      <c r="M187" s="161" t="s">
        <v>1</v>
      </c>
      <c r="N187" s="162" t="s">
        <v>35</v>
      </c>
      <c r="O187" s="58"/>
      <c r="P187" s="163">
        <f t="shared" si="18"/>
        <v>0</v>
      </c>
      <c r="Q187" s="163">
        <v>0</v>
      </c>
      <c r="R187" s="163">
        <f t="shared" si="19"/>
        <v>0</v>
      </c>
      <c r="S187" s="163">
        <v>0</v>
      </c>
      <c r="T187" s="164">
        <f t="shared" si="20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5" t="s">
        <v>185</v>
      </c>
      <c r="AT187" s="165" t="s">
        <v>181</v>
      </c>
      <c r="AU187" s="165" t="s">
        <v>76</v>
      </c>
      <c r="AY187" s="14" t="s">
        <v>179</v>
      </c>
      <c r="BE187" s="166">
        <f t="shared" si="21"/>
        <v>0</v>
      </c>
      <c r="BF187" s="166">
        <f t="shared" si="22"/>
        <v>0</v>
      </c>
      <c r="BG187" s="166">
        <f t="shared" si="23"/>
        <v>0</v>
      </c>
      <c r="BH187" s="166">
        <f t="shared" si="24"/>
        <v>0</v>
      </c>
      <c r="BI187" s="166">
        <f t="shared" si="25"/>
        <v>0</v>
      </c>
      <c r="BJ187" s="14" t="s">
        <v>82</v>
      </c>
      <c r="BK187" s="166">
        <f t="shared" si="26"/>
        <v>0</v>
      </c>
      <c r="BL187" s="14" t="s">
        <v>185</v>
      </c>
      <c r="BM187" s="165" t="s">
        <v>343</v>
      </c>
    </row>
    <row r="188" spans="1:65" s="2" customFormat="1" ht="49.15" customHeight="1">
      <c r="A188" s="29"/>
      <c r="B188" s="152"/>
      <c r="C188" s="153" t="s">
        <v>344</v>
      </c>
      <c r="D188" s="153" t="s">
        <v>181</v>
      </c>
      <c r="E188" s="154" t="s">
        <v>1549</v>
      </c>
      <c r="F188" s="155" t="s">
        <v>1865</v>
      </c>
      <c r="G188" s="156" t="s">
        <v>217</v>
      </c>
      <c r="H188" s="157">
        <v>70</v>
      </c>
      <c r="I188" s="158"/>
      <c r="J188" s="151">
        <v>0</v>
      </c>
      <c r="K188" s="160"/>
      <c r="L188" s="30"/>
      <c r="M188" s="161" t="s">
        <v>1</v>
      </c>
      <c r="N188" s="162" t="s">
        <v>35</v>
      </c>
      <c r="O188" s="58"/>
      <c r="P188" s="163">
        <f t="shared" si="18"/>
        <v>0</v>
      </c>
      <c r="Q188" s="163">
        <v>0</v>
      </c>
      <c r="R188" s="163">
        <f t="shared" si="19"/>
        <v>0</v>
      </c>
      <c r="S188" s="163">
        <v>0</v>
      </c>
      <c r="T188" s="164">
        <f t="shared" si="20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5" t="s">
        <v>185</v>
      </c>
      <c r="AT188" s="165" t="s">
        <v>181</v>
      </c>
      <c r="AU188" s="165" t="s">
        <v>76</v>
      </c>
      <c r="AY188" s="14" t="s">
        <v>179</v>
      </c>
      <c r="BE188" s="166">
        <f t="shared" si="21"/>
        <v>0</v>
      </c>
      <c r="BF188" s="166">
        <f t="shared" si="22"/>
        <v>0</v>
      </c>
      <c r="BG188" s="166">
        <f t="shared" si="23"/>
        <v>0</v>
      </c>
      <c r="BH188" s="166">
        <f t="shared" si="24"/>
        <v>0</v>
      </c>
      <c r="BI188" s="166">
        <f t="shared" si="25"/>
        <v>0</v>
      </c>
      <c r="BJ188" s="14" t="s">
        <v>82</v>
      </c>
      <c r="BK188" s="166">
        <f t="shared" si="26"/>
        <v>0</v>
      </c>
      <c r="BL188" s="14" t="s">
        <v>185</v>
      </c>
      <c r="BM188" s="165" t="s">
        <v>354</v>
      </c>
    </row>
    <row r="189" spans="1:65" s="2" customFormat="1" ht="49.15" customHeight="1">
      <c r="A189" s="29"/>
      <c r="B189" s="152"/>
      <c r="C189" s="153" t="s">
        <v>268</v>
      </c>
      <c r="D189" s="153" t="s">
        <v>181</v>
      </c>
      <c r="E189" s="154" t="s">
        <v>1551</v>
      </c>
      <c r="F189" s="155" t="s">
        <v>1866</v>
      </c>
      <c r="G189" s="156" t="s">
        <v>217</v>
      </c>
      <c r="H189" s="157">
        <v>150</v>
      </c>
      <c r="I189" s="158"/>
      <c r="J189" s="151">
        <v>0</v>
      </c>
      <c r="K189" s="160"/>
      <c r="L189" s="30"/>
      <c r="M189" s="161" t="s">
        <v>1</v>
      </c>
      <c r="N189" s="162" t="s">
        <v>35</v>
      </c>
      <c r="O189" s="58"/>
      <c r="P189" s="163">
        <f t="shared" si="18"/>
        <v>0</v>
      </c>
      <c r="Q189" s="163">
        <v>0</v>
      </c>
      <c r="R189" s="163">
        <f t="shared" si="19"/>
        <v>0</v>
      </c>
      <c r="S189" s="163">
        <v>0</v>
      </c>
      <c r="T189" s="164">
        <f t="shared" si="20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65" t="s">
        <v>185</v>
      </c>
      <c r="AT189" s="165" t="s">
        <v>181</v>
      </c>
      <c r="AU189" s="165" t="s">
        <v>76</v>
      </c>
      <c r="AY189" s="14" t="s">
        <v>179</v>
      </c>
      <c r="BE189" s="166">
        <f t="shared" si="21"/>
        <v>0</v>
      </c>
      <c r="BF189" s="166">
        <f t="shared" si="22"/>
        <v>0</v>
      </c>
      <c r="BG189" s="166">
        <f t="shared" si="23"/>
        <v>0</v>
      </c>
      <c r="BH189" s="166">
        <f t="shared" si="24"/>
        <v>0</v>
      </c>
      <c r="BI189" s="166">
        <f t="shared" si="25"/>
        <v>0</v>
      </c>
      <c r="BJ189" s="14" t="s">
        <v>82</v>
      </c>
      <c r="BK189" s="166">
        <f t="shared" si="26"/>
        <v>0</v>
      </c>
      <c r="BL189" s="14" t="s">
        <v>185</v>
      </c>
      <c r="BM189" s="165" t="s">
        <v>357</v>
      </c>
    </row>
    <row r="190" spans="1:65" s="2" customFormat="1" ht="16.5" customHeight="1">
      <c r="A190" s="29"/>
      <c r="B190" s="152"/>
      <c r="C190" s="153" t="s">
        <v>351</v>
      </c>
      <c r="D190" s="153" t="s">
        <v>181</v>
      </c>
      <c r="E190" s="154" t="s">
        <v>1553</v>
      </c>
      <c r="F190" s="155" t="s">
        <v>1867</v>
      </c>
      <c r="G190" s="156" t="s">
        <v>217</v>
      </c>
      <c r="H190" s="157">
        <v>1</v>
      </c>
      <c r="I190" s="158"/>
      <c r="J190" s="151">
        <v>0</v>
      </c>
      <c r="K190" s="160"/>
      <c r="L190" s="30"/>
      <c r="M190" s="161" t="s">
        <v>1</v>
      </c>
      <c r="N190" s="162" t="s">
        <v>35</v>
      </c>
      <c r="O190" s="58"/>
      <c r="P190" s="163">
        <f t="shared" si="18"/>
        <v>0</v>
      </c>
      <c r="Q190" s="163">
        <v>0</v>
      </c>
      <c r="R190" s="163">
        <f t="shared" si="19"/>
        <v>0</v>
      </c>
      <c r="S190" s="163">
        <v>0</v>
      </c>
      <c r="T190" s="164">
        <f t="shared" si="20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65" t="s">
        <v>185</v>
      </c>
      <c r="AT190" s="165" t="s">
        <v>181</v>
      </c>
      <c r="AU190" s="165" t="s">
        <v>76</v>
      </c>
      <c r="AY190" s="14" t="s">
        <v>179</v>
      </c>
      <c r="BE190" s="166">
        <f t="shared" si="21"/>
        <v>0</v>
      </c>
      <c r="BF190" s="166">
        <f t="shared" si="22"/>
        <v>0</v>
      </c>
      <c r="BG190" s="166">
        <f t="shared" si="23"/>
        <v>0</v>
      </c>
      <c r="BH190" s="166">
        <f t="shared" si="24"/>
        <v>0</v>
      </c>
      <c r="BI190" s="166">
        <f t="shared" si="25"/>
        <v>0</v>
      </c>
      <c r="BJ190" s="14" t="s">
        <v>82</v>
      </c>
      <c r="BK190" s="166">
        <f t="shared" si="26"/>
        <v>0</v>
      </c>
      <c r="BL190" s="14" t="s">
        <v>185</v>
      </c>
      <c r="BM190" s="165" t="s">
        <v>361</v>
      </c>
    </row>
    <row r="191" spans="1:65" s="2" customFormat="1" ht="16.5" customHeight="1">
      <c r="A191" s="29"/>
      <c r="B191" s="152"/>
      <c r="C191" s="153" t="s">
        <v>271</v>
      </c>
      <c r="D191" s="153" t="s">
        <v>181</v>
      </c>
      <c r="E191" s="154" t="s">
        <v>1555</v>
      </c>
      <c r="F191" s="155" t="s">
        <v>1868</v>
      </c>
      <c r="G191" s="156" t="s">
        <v>217</v>
      </c>
      <c r="H191" s="157">
        <v>1</v>
      </c>
      <c r="I191" s="158"/>
      <c r="J191" s="151">
        <v>0</v>
      </c>
      <c r="K191" s="160"/>
      <c r="L191" s="30"/>
      <c r="M191" s="161" t="s">
        <v>1</v>
      </c>
      <c r="N191" s="162" t="s">
        <v>35</v>
      </c>
      <c r="O191" s="58"/>
      <c r="P191" s="163">
        <f t="shared" si="18"/>
        <v>0</v>
      </c>
      <c r="Q191" s="163">
        <v>0</v>
      </c>
      <c r="R191" s="163">
        <f t="shared" si="19"/>
        <v>0</v>
      </c>
      <c r="S191" s="163">
        <v>0</v>
      </c>
      <c r="T191" s="164">
        <f t="shared" si="20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65" t="s">
        <v>185</v>
      </c>
      <c r="AT191" s="165" t="s">
        <v>181</v>
      </c>
      <c r="AU191" s="165" t="s">
        <v>76</v>
      </c>
      <c r="AY191" s="14" t="s">
        <v>179</v>
      </c>
      <c r="BE191" s="166">
        <f t="shared" si="21"/>
        <v>0</v>
      </c>
      <c r="BF191" s="166">
        <f t="shared" si="22"/>
        <v>0</v>
      </c>
      <c r="BG191" s="166">
        <f t="shared" si="23"/>
        <v>0</v>
      </c>
      <c r="BH191" s="166">
        <f t="shared" si="24"/>
        <v>0</v>
      </c>
      <c r="BI191" s="166">
        <f t="shared" si="25"/>
        <v>0</v>
      </c>
      <c r="BJ191" s="14" t="s">
        <v>82</v>
      </c>
      <c r="BK191" s="166">
        <f t="shared" si="26"/>
        <v>0</v>
      </c>
      <c r="BL191" s="14" t="s">
        <v>185</v>
      </c>
      <c r="BM191" s="165" t="s">
        <v>364</v>
      </c>
    </row>
    <row r="192" spans="1:65" s="2" customFormat="1" ht="24.2" customHeight="1">
      <c r="A192" s="29"/>
      <c r="B192" s="152"/>
      <c r="C192" s="153" t="s">
        <v>358</v>
      </c>
      <c r="D192" s="153" t="s">
        <v>181</v>
      </c>
      <c r="E192" s="154" t="s">
        <v>1557</v>
      </c>
      <c r="F192" s="155" t="s">
        <v>1869</v>
      </c>
      <c r="G192" s="156" t="s">
        <v>217</v>
      </c>
      <c r="H192" s="157">
        <v>1</v>
      </c>
      <c r="I192" s="158"/>
      <c r="J192" s="151">
        <v>0</v>
      </c>
      <c r="K192" s="160"/>
      <c r="L192" s="30"/>
      <c r="M192" s="161" t="s">
        <v>1</v>
      </c>
      <c r="N192" s="162" t="s">
        <v>35</v>
      </c>
      <c r="O192" s="58"/>
      <c r="P192" s="163">
        <f t="shared" si="18"/>
        <v>0</v>
      </c>
      <c r="Q192" s="163">
        <v>0</v>
      </c>
      <c r="R192" s="163">
        <f t="shared" si="19"/>
        <v>0</v>
      </c>
      <c r="S192" s="163">
        <v>0</v>
      </c>
      <c r="T192" s="164">
        <f t="shared" si="20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65" t="s">
        <v>185</v>
      </c>
      <c r="AT192" s="165" t="s">
        <v>181</v>
      </c>
      <c r="AU192" s="165" t="s">
        <v>76</v>
      </c>
      <c r="AY192" s="14" t="s">
        <v>179</v>
      </c>
      <c r="BE192" s="166">
        <f t="shared" si="21"/>
        <v>0</v>
      </c>
      <c r="BF192" s="166">
        <f t="shared" si="22"/>
        <v>0</v>
      </c>
      <c r="BG192" s="166">
        <f t="shared" si="23"/>
        <v>0</v>
      </c>
      <c r="BH192" s="166">
        <f t="shared" si="24"/>
        <v>0</v>
      </c>
      <c r="BI192" s="166">
        <f t="shared" si="25"/>
        <v>0</v>
      </c>
      <c r="BJ192" s="14" t="s">
        <v>82</v>
      </c>
      <c r="BK192" s="166">
        <f t="shared" si="26"/>
        <v>0</v>
      </c>
      <c r="BL192" s="14" t="s">
        <v>185</v>
      </c>
      <c r="BM192" s="165" t="s">
        <v>368</v>
      </c>
    </row>
    <row r="193" spans="1:65" s="2" customFormat="1" ht="16.5" customHeight="1">
      <c r="A193" s="29"/>
      <c r="B193" s="152"/>
      <c r="C193" s="153" t="s">
        <v>275</v>
      </c>
      <c r="D193" s="153" t="s">
        <v>181</v>
      </c>
      <c r="E193" s="154" t="s">
        <v>1559</v>
      </c>
      <c r="F193" s="155" t="s">
        <v>2061</v>
      </c>
      <c r="G193" s="156" t="s">
        <v>293</v>
      </c>
      <c r="H193" s="157">
        <v>25</v>
      </c>
      <c r="I193" s="158"/>
      <c r="J193" s="151">
        <v>0</v>
      </c>
      <c r="K193" s="160"/>
      <c r="L193" s="30"/>
      <c r="M193" s="161" t="s">
        <v>1</v>
      </c>
      <c r="N193" s="162" t="s">
        <v>35</v>
      </c>
      <c r="O193" s="58"/>
      <c r="P193" s="163">
        <f t="shared" si="18"/>
        <v>0</v>
      </c>
      <c r="Q193" s="163">
        <v>0</v>
      </c>
      <c r="R193" s="163">
        <f t="shared" si="19"/>
        <v>0</v>
      </c>
      <c r="S193" s="163">
        <v>0</v>
      </c>
      <c r="T193" s="164">
        <f t="shared" si="20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65" t="s">
        <v>185</v>
      </c>
      <c r="AT193" s="165" t="s">
        <v>181</v>
      </c>
      <c r="AU193" s="165" t="s">
        <v>76</v>
      </c>
      <c r="AY193" s="14" t="s">
        <v>179</v>
      </c>
      <c r="BE193" s="166">
        <f t="shared" si="21"/>
        <v>0</v>
      </c>
      <c r="BF193" s="166">
        <f t="shared" si="22"/>
        <v>0</v>
      </c>
      <c r="BG193" s="166">
        <f t="shared" si="23"/>
        <v>0</v>
      </c>
      <c r="BH193" s="166">
        <f t="shared" si="24"/>
        <v>0</v>
      </c>
      <c r="BI193" s="166">
        <f t="shared" si="25"/>
        <v>0</v>
      </c>
      <c r="BJ193" s="14" t="s">
        <v>82</v>
      </c>
      <c r="BK193" s="166">
        <f t="shared" si="26"/>
        <v>0</v>
      </c>
      <c r="BL193" s="14" t="s">
        <v>185</v>
      </c>
      <c r="BM193" s="165" t="s">
        <v>371</v>
      </c>
    </row>
    <row r="194" spans="1:65" s="2" customFormat="1" ht="16.5" customHeight="1">
      <c r="A194" s="29"/>
      <c r="B194" s="152"/>
      <c r="C194" s="153" t="s">
        <v>365</v>
      </c>
      <c r="D194" s="153" t="s">
        <v>181</v>
      </c>
      <c r="E194" s="154" t="s">
        <v>1561</v>
      </c>
      <c r="F194" s="155" t="s">
        <v>1871</v>
      </c>
      <c r="G194" s="156" t="s">
        <v>293</v>
      </c>
      <c r="H194" s="157">
        <v>68</v>
      </c>
      <c r="I194" s="158"/>
      <c r="J194" s="151">
        <v>0</v>
      </c>
      <c r="K194" s="160"/>
      <c r="L194" s="30"/>
      <c r="M194" s="161" t="s">
        <v>1</v>
      </c>
      <c r="N194" s="162" t="s">
        <v>35</v>
      </c>
      <c r="O194" s="58"/>
      <c r="P194" s="163">
        <f t="shared" si="18"/>
        <v>0</v>
      </c>
      <c r="Q194" s="163">
        <v>0</v>
      </c>
      <c r="R194" s="163">
        <f t="shared" si="19"/>
        <v>0</v>
      </c>
      <c r="S194" s="163">
        <v>0</v>
      </c>
      <c r="T194" s="164">
        <f t="shared" si="20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65" t="s">
        <v>185</v>
      </c>
      <c r="AT194" s="165" t="s">
        <v>181</v>
      </c>
      <c r="AU194" s="165" t="s">
        <v>76</v>
      </c>
      <c r="AY194" s="14" t="s">
        <v>179</v>
      </c>
      <c r="BE194" s="166">
        <f t="shared" si="21"/>
        <v>0</v>
      </c>
      <c r="BF194" s="166">
        <f t="shared" si="22"/>
        <v>0</v>
      </c>
      <c r="BG194" s="166">
        <f t="shared" si="23"/>
        <v>0</v>
      </c>
      <c r="BH194" s="166">
        <f t="shared" si="24"/>
        <v>0</v>
      </c>
      <c r="BI194" s="166">
        <f t="shared" si="25"/>
        <v>0</v>
      </c>
      <c r="BJ194" s="14" t="s">
        <v>82</v>
      </c>
      <c r="BK194" s="166">
        <f t="shared" si="26"/>
        <v>0</v>
      </c>
      <c r="BL194" s="14" t="s">
        <v>185</v>
      </c>
      <c r="BM194" s="165" t="s">
        <v>375</v>
      </c>
    </row>
    <row r="195" spans="1:65" s="2" customFormat="1" ht="16.5" customHeight="1">
      <c r="A195" s="29"/>
      <c r="B195" s="152"/>
      <c r="C195" s="153" t="s">
        <v>279</v>
      </c>
      <c r="D195" s="153" t="s">
        <v>181</v>
      </c>
      <c r="E195" s="154" t="s">
        <v>1563</v>
      </c>
      <c r="F195" s="155" t="s">
        <v>2062</v>
      </c>
      <c r="G195" s="156" t="s">
        <v>293</v>
      </c>
      <c r="H195" s="157">
        <v>5</v>
      </c>
      <c r="I195" s="158"/>
      <c r="J195" s="151">
        <v>0</v>
      </c>
      <c r="K195" s="160"/>
      <c r="L195" s="30"/>
      <c r="M195" s="161" t="s">
        <v>1</v>
      </c>
      <c r="N195" s="162" t="s">
        <v>35</v>
      </c>
      <c r="O195" s="58"/>
      <c r="P195" s="163">
        <f t="shared" si="18"/>
        <v>0</v>
      </c>
      <c r="Q195" s="163">
        <v>0</v>
      </c>
      <c r="R195" s="163">
        <f t="shared" si="19"/>
        <v>0</v>
      </c>
      <c r="S195" s="163">
        <v>0</v>
      </c>
      <c r="T195" s="164">
        <f t="shared" si="20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65" t="s">
        <v>185</v>
      </c>
      <c r="AT195" s="165" t="s">
        <v>181</v>
      </c>
      <c r="AU195" s="165" t="s">
        <v>76</v>
      </c>
      <c r="AY195" s="14" t="s">
        <v>179</v>
      </c>
      <c r="BE195" s="166">
        <f t="shared" si="21"/>
        <v>0</v>
      </c>
      <c r="BF195" s="166">
        <f t="shared" si="22"/>
        <v>0</v>
      </c>
      <c r="BG195" s="166">
        <f t="shared" si="23"/>
        <v>0</v>
      </c>
      <c r="BH195" s="166">
        <f t="shared" si="24"/>
        <v>0</v>
      </c>
      <c r="BI195" s="166">
        <f t="shared" si="25"/>
        <v>0</v>
      </c>
      <c r="BJ195" s="14" t="s">
        <v>82</v>
      </c>
      <c r="BK195" s="166">
        <f t="shared" si="26"/>
        <v>0</v>
      </c>
      <c r="BL195" s="14" t="s">
        <v>185</v>
      </c>
      <c r="BM195" s="165" t="s">
        <v>378</v>
      </c>
    </row>
    <row r="196" spans="1:65" s="2" customFormat="1" ht="16.5" customHeight="1">
      <c r="A196" s="29"/>
      <c r="B196" s="152"/>
      <c r="C196" s="153" t="s">
        <v>372</v>
      </c>
      <c r="D196" s="153" t="s">
        <v>181</v>
      </c>
      <c r="E196" s="154" t="s">
        <v>1565</v>
      </c>
      <c r="F196" s="155" t="s">
        <v>1988</v>
      </c>
      <c r="G196" s="156" t="s">
        <v>293</v>
      </c>
      <c r="H196" s="157">
        <v>10</v>
      </c>
      <c r="I196" s="158"/>
      <c r="J196" s="151">
        <v>0</v>
      </c>
      <c r="K196" s="160"/>
      <c r="L196" s="30"/>
      <c r="M196" s="161" t="s">
        <v>1</v>
      </c>
      <c r="N196" s="162" t="s">
        <v>35</v>
      </c>
      <c r="O196" s="58"/>
      <c r="P196" s="163">
        <f t="shared" si="18"/>
        <v>0</v>
      </c>
      <c r="Q196" s="163">
        <v>0</v>
      </c>
      <c r="R196" s="163">
        <f t="shared" si="19"/>
        <v>0</v>
      </c>
      <c r="S196" s="163">
        <v>0</v>
      </c>
      <c r="T196" s="164">
        <f t="shared" si="20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65" t="s">
        <v>185</v>
      </c>
      <c r="AT196" s="165" t="s">
        <v>181</v>
      </c>
      <c r="AU196" s="165" t="s">
        <v>76</v>
      </c>
      <c r="AY196" s="14" t="s">
        <v>179</v>
      </c>
      <c r="BE196" s="166">
        <f t="shared" si="21"/>
        <v>0</v>
      </c>
      <c r="BF196" s="166">
        <f t="shared" si="22"/>
        <v>0</v>
      </c>
      <c r="BG196" s="166">
        <f t="shared" si="23"/>
        <v>0</v>
      </c>
      <c r="BH196" s="166">
        <f t="shared" si="24"/>
        <v>0</v>
      </c>
      <c r="BI196" s="166">
        <f t="shared" si="25"/>
        <v>0</v>
      </c>
      <c r="BJ196" s="14" t="s">
        <v>82</v>
      </c>
      <c r="BK196" s="166">
        <f t="shared" si="26"/>
        <v>0</v>
      </c>
      <c r="BL196" s="14" t="s">
        <v>185</v>
      </c>
      <c r="BM196" s="165" t="s">
        <v>382</v>
      </c>
    </row>
    <row r="197" spans="1:65" s="2" customFormat="1" ht="16.5" customHeight="1">
      <c r="A197" s="29"/>
      <c r="B197" s="152"/>
      <c r="C197" s="153" t="s">
        <v>283</v>
      </c>
      <c r="D197" s="153" t="s">
        <v>181</v>
      </c>
      <c r="E197" s="154" t="s">
        <v>1567</v>
      </c>
      <c r="F197" s="155" t="s">
        <v>1874</v>
      </c>
      <c r="G197" s="156" t="s">
        <v>293</v>
      </c>
      <c r="H197" s="157">
        <v>40</v>
      </c>
      <c r="I197" s="158"/>
      <c r="J197" s="151">
        <v>0</v>
      </c>
      <c r="K197" s="160"/>
      <c r="L197" s="30"/>
      <c r="M197" s="161" t="s">
        <v>1</v>
      </c>
      <c r="N197" s="162" t="s">
        <v>35</v>
      </c>
      <c r="O197" s="58"/>
      <c r="P197" s="163">
        <f t="shared" si="18"/>
        <v>0</v>
      </c>
      <c r="Q197" s="163">
        <v>0</v>
      </c>
      <c r="R197" s="163">
        <f t="shared" si="19"/>
        <v>0</v>
      </c>
      <c r="S197" s="163">
        <v>0</v>
      </c>
      <c r="T197" s="164">
        <f t="shared" si="20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65" t="s">
        <v>185</v>
      </c>
      <c r="AT197" s="165" t="s">
        <v>181</v>
      </c>
      <c r="AU197" s="165" t="s">
        <v>76</v>
      </c>
      <c r="AY197" s="14" t="s">
        <v>179</v>
      </c>
      <c r="BE197" s="166">
        <f t="shared" si="21"/>
        <v>0</v>
      </c>
      <c r="BF197" s="166">
        <f t="shared" si="22"/>
        <v>0</v>
      </c>
      <c r="BG197" s="166">
        <f t="shared" si="23"/>
        <v>0</v>
      </c>
      <c r="BH197" s="166">
        <f t="shared" si="24"/>
        <v>0</v>
      </c>
      <c r="BI197" s="166">
        <f t="shared" si="25"/>
        <v>0</v>
      </c>
      <c r="BJ197" s="14" t="s">
        <v>82</v>
      </c>
      <c r="BK197" s="166">
        <f t="shared" si="26"/>
        <v>0</v>
      </c>
      <c r="BL197" s="14" t="s">
        <v>185</v>
      </c>
      <c r="BM197" s="165" t="s">
        <v>385</v>
      </c>
    </row>
    <row r="198" spans="1:65" s="2" customFormat="1" ht="16.5" customHeight="1">
      <c r="A198" s="29"/>
      <c r="B198" s="152"/>
      <c r="C198" s="153" t="s">
        <v>379</v>
      </c>
      <c r="D198" s="153" t="s">
        <v>181</v>
      </c>
      <c r="E198" s="154" t="s">
        <v>1569</v>
      </c>
      <c r="F198" s="155" t="s">
        <v>2063</v>
      </c>
      <c r="G198" s="156" t="s">
        <v>217</v>
      </c>
      <c r="H198" s="157">
        <v>13</v>
      </c>
      <c r="I198" s="158"/>
      <c r="J198" s="151">
        <v>0</v>
      </c>
      <c r="K198" s="160"/>
      <c r="L198" s="30"/>
      <c r="M198" s="161" t="s">
        <v>1</v>
      </c>
      <c r="N198" s="162" t="s">
        <v>35</v>
      </c>
      <c r="O198" s="58"/>
      <c r="P198" s="163">
        <f t="shared" si="18"/>
        <v>0</v>
      </c>
      <c r="Q198" s="163">
        <v>0</v>
      </c>
      <c r="R198" s="163">
        <f t="shared" si="19"/>
        <v>0</v>
      </c>
      <c r="S198" s="163">
        <v>0</v>
      </c>
      <c r="T198" s="164">
        <f t="shared" si="20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65" t="s">
        <v>185</v>
      </c>
      <c r="AT198" s="165" t="s">
        <v>181</v>
      </c>
      <c r="AU198" s="165" t="s">
        <v>76</v>
      </c>
      <c r="AY198" s="14" t="s">
        <v>179</v>
      </c>
      <c r="BE198" s="166">
        <f t="shared" si="21"/>
        <v>0</v>
      </c>
      <c r="BF198" s="166">
        <f t="shared" si="22"/>
        <v>0</v>
      </c>
      <c r="BG198" s="166">
        <f t="shared" si="23"/>
        <v>0</v>
      </c>
      <c r="BH198" s="166">
        <f t="shared" si="24"/>
        <v>0</v>
      </c>
      <c r="BI198" s="166">
        <f t="shared" si="25"/>
        <v>0</v>
      </c>
      <c r="BJ198" s="14" t="s">
        <v>82</v>
      </c>
      <c r="BK198" s="166">
        <f t="shared" si="26"/>
        <v>0</v>
      </c>
      <c r="BL198" s="14" t="s">
        <v>185</v>
      </c>
      <c r="BM198" s="165" t="s">
        <v>390</v>
      </c>
    </row>
    <row r="199" spans="1:65" s="2" customFormat="1" ht="16.5" customHeight="1">
      <c r="A199" s="29"/>
      <c r="B199" s="152"/>
      <c r="C199" s="153" t="s">
        <v>286</v>
      </c>
      <c r="D199" s="153" t="s">
        <v>181</v>
      </c>
      <c r="E199" s="154" t="s">
        <v>1571</v>
      </c>
      <c r="F199" s="155" t="s">
        <v>1876</v>
      </c>
      <c r="G199" s="156" t="s">
        <v>217</v>
      </c>
      <c r="H199" s="157">
        <v>13</v>
      </c>
      <c r="I199" s="158"/>
      <c r="J199" s="151">
        <v>0</v>
      </c>
      <c r="K199" s="160"/>
      <c r="L199" s="30"/>
      <c r="M199" s="161" t="s">
        <v>1</v>
      </c>
      <c r="N199" s="162" t="s">
        <v>35</v>
      </c>
      <c r="O199" s="58"/>
      <c r="P199" s="163">
        <f t="shared" si="18"/>
        <v>0</v>
      </c>
      <c r="Q199" s="163">
        <v>0</v>
      </c>
      <c r="R199" s="163">
        <f t="shared" si="19"/>
        <v>0</v>
      </c>
      <c r="S199" s="163">
        <v>0</v>
      </c>
      <c r="T199" s="164">
        <f t="shared" si="20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65" t="s">
        <v>185</v>
      </c>
      <c r="AT199" s="165" t="s">
        <v>181</v>
      </c>
      <c r="AU199" s="165" t="s">
        <v>76</v>
      </c>
      <c r="AY199" s="14" t="s">
        <v>179</v>
      </c>
      <c r="BE199" s="166">
        <f t="shared" si="21"/>
        <v>0</v>
      </c>
      <c r="BF199" s="166">
        <f t="shared" si="22"/>
        <v>0</v>
      </c>
      <c r="BG199" s="166">
        <f t="shared" si="23"/>
        <v>0</v>
      </c>
      <c r="BH199" s="166">
        <f t="shared" si="24"/>
        <v>0</v>
      </c>
      <c r="BI199" s="166">
        <f t="shared" si="25"/>
        <v>0</v>
      </c>
      <c r="BJ199" s="14" t="s">
        <v>82</v>
      </c>
      <c r="BK199" s="166">
        <f t="shared" si="26"/>
        <v>0</v>
      </c>
      <c r="BL199" s="14" t="s">
        <v>185</v>
      </c>
      <c r="BM199" s="165" t="s">
        <v>393</v>
      </c>
    </row>
    <row r="200" spans="1:65" s="2" customFormat="1" ht="24.2" customHeight="1">
      <c r="A200" s="29"/>
      <c r="B200" s="152"/>
      <c r="C200" s="153" t="s">
        <v>387</v>
      </c>
      <c r="D200" s="153" t="s">
        <v>181</v>
      </c>
      <c r="E200" s="154" t="s">
        <v>1573</v>
      </c>
      <c r="F200" s="155" t="s">
        <v>2064</v>
      </c>
      <c r="G200" s="156" t="s">
        <v>217</v>
      </c>
      <c r="H200" s="157">
        <v>1</v>
      </c>
      <c r="I200" s="158"/>
      <c r="J200" s="151">
        <v>0</v>
      </c>
      <c r="K200" s="160"/>
      <c r="L200" s="30"/>
      <c r="M200" s="161" t="s">
        <v>1</v>
      </c>
      <c r="N200" s="162" t="s">
        <v>35</v>
      </c>
      <c r="O200" s="58"/>
      <c r="P200" s="163">
        <f t="shared" si="18"/>
        <v>0</v>
      </c>
      <c r="Q200" s="163">
        <v>0</v>
      </c>
      <c r="R200" s="163">
        <f t="shared" si="19"/>
        <v>0</v>
      </c>
      <c r="S200" s="163">
        <v>0</v>
      </c>
      <c r="T200" s="164">
        <f t="shared" si="20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65" t="s">
        <v>185</v>
      </c>
      <c r="AT200" s="165" t="s">
        <v>181</v>
      </c>
      <c r="AU200" s="165" t="s">
        <v>76</v>
      </c>
      <c r="AY200" s="14" t="s">
        <v>179</v>
      </c>
      <c r="BE200" s="166">
        <f t="shared" si="21"/>
        <v>0</v>
      </c>
      <c r="BF200" s="166">
        <f t="shared" si="22"/>
        <v>0</v>
      </c>
      <c r="BG200" s="166">
        <f t="shared" si="23"/>
        <v>0</v>
      </c>
      <c r="BH200" s="166">
        <f t="shared" si="24"/>
        <v>0</v>
      </c>
      <c r="BI200" s="166">
        <f t="shared" si="25"/>
        <v>0</v>
      </c>
      <c r="BJ200" s="14" t="s">
        <v>82</v>
      </c>
      <c r="BK200" s="166">
        <f t="shared" si="26"/>
        <v>0</v>
      </c>
      <c r="BL200" s="14" t="s">
        <v>185</v>
      </c>
      <c r="BM200" s="165" t="s">
        <v>397</v>
      </c>
    </row>
    <row r="201" spans="1:65" s="2" customFormat="1" ht="16.5" customHeight="1">
      <c r="A201" s="29"/>
      <c r="B201" s="152"/>
      <c r="C201" s="153" t="s">
        <v>290</v>
      </c>
      <c r="D201" s="153" t="s">
        <v>181</v>
      </c>
      <c r="E201" s="154" t="s">
        <v>1575</v>
      </c>
      <c r="F201" s="155" t="s">
        <v>1878</v>
      </c>
      <c r="G201" s="156" t="s">
        <v>217</v>
      </c>
      <c r="H201" s="157">
        <v>2</v>
      </c>
      <c r="I201" s="158"/>
      <c r="J201" s="151">
        <v>0</v>
      </c>
      <c r="K201" s="160"/>
      <c r="L201" s="30"/>
      <c r="M201" s="161" t="s">
        <v>1</v>
      </c>
      <c r="N201" s="162" t="s">
        <v>35</v>
      </c>
      <c r="O201" s="58"/>
      <c r="P201" s="163">
        <f t="shared" si="18"/>
        <v>0</v>
      </c>
      <c r="Q201" s="163">
        <v>0</v>
      </c>
      <c r="R201" s="163">
        <f t="shared" si="19"/>
        <v>0</v>
      </c>
      <c r="S201" s="163">
        <v>0</v>
      </c>
      <c r="T201" s="164">
        <f t="shared" si="20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65" t="s">
        <v>185</v>
      </c>
      <c r="AT201" s="165" t="s">
        <v>181</v>
      </c>
      <c r="AU201" s="165" t="s">
        <v>76</v>
      </c>
      <c r="AY201" s="14" t="s">
        <v>179</v>
      </c>
      <c r="BE201" s="166">
        <f t="shared" si="21"/>
        <v>0</v>
      </c>
      <c r="BF201" s="166">
        <f t="shared" si="22"/>
        <v>0</v>
      </c>
      <c r="BG201" s="166">
        <f t="shared" si="23"/>
        <v>0</v>
      </c>
      <c r="BH201" s="166">
        <f t="shared" si="24"/>
        <v>0</v>
      </c>
      <c r="BI201" s="166">
        <f t="shared" si="25"/>
        <v>0</v>
      </c>
      <c r="BJ201" s="14" t="s">
        <v>82</v>
      </c>
      <c r="BK201" s="166">
        <f t="shared" si="26"/>
        <v>0</v>
      </c>
      <c r="BL201" s="14" t="s">
        <v>185</v>
      </c>
      <c r="BM201" s="165" t="s">
        <v>400</v>
      </c>
    </row>
    <row r="202" spans="1:65" s="2" customFormat="1" ht="16.5" customHeight="1">
      <c r="A202" s="29"/>
      <c r="B202" s="152"/>
      <c r="C202" s="153" t="s">
        <v>394</v>
      </c>
      <c r="D202" s="153" t="s">
        <v>181</v>
      </c>
      <c r="E202" s="154" t="s">
        <v>1577</v>
      </c>
      <c r="F202" s="155" t="s">
        <v>1879</v>
      </c>
      <c r="G202" s="156" t="s">
        <v>217</v>
      </c>
      <c r="H202" s="157">
        <v>2</v>
      </c>
      <c r="I202" s="158"/>
      <c r="J202" s="151">
        <v>0</v>
      </c>
      <c r="K202" s="160"/>
      <c r="L202" s="30"/>
      <c r="M202" s="161" t="s">
        <v>1</v>
      </c>
      <c r="N202" s="162" t="s">
        <v>35</v>
      </c>
      <c r="O202" s="58"/>
      <c r="P202" s="163">
        <f t="shared" si="18"/>
        <v>0</v>
      </c>
      <c r="Q202" s="163">
        <v>0</v>
      </c>
      <c r="R202" s="163">
        <f t="shared" si="19"/>
        <v>0</v>
      </c>
      <c r="S202" s="163">
        <v>0</v>
      </c>
      <c r="T202" s="164">
        <f t="shared" si="20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65" t="s">
        <v>185</v>
      </c>
      <c r="AT202" s="165" t="s">
        <v>181</v>
      </c>
      <c r="AU202" s="165" t="s">
        <v>76</v>
      </c>
      <c r="AY202" s="14" t="s">
        <v>179</v>
      </c>
      <c r="BE202" s="166">
        <f t="shared" si="21"/>
        <v>0</v>
      </c>
      <c r="BF202" s="166">
        <f t="shared" si="22"/>
        <v>0</v>
      </c>
      <c r="BG202" s="166">
        <f t="shared" si="23"/>
        <v>0</v>
      </c>
      <c r="BH202" s="166">
        <f t="shared" si="24"/>
        <v>0</v>
      </c>
      <c r="BI202" s="166">
        <f t="shared" si="25"/>
        <v>0</v>
      </c>
      <c r="BJ202" s="14" t="s">
        <v>82</v>
      </c>
      <c r="BK202" s="166">
        <f t="shared" si="26"/>
        <v>0</v>
      </c>
      <c r="BL202" s="14" t="s">
        <v>185</v>
      </c>
      <c r="BM202" s="165" t="s">
        <v>404</v>
      </c>
    </row>
    <row r="203" spans="1:65" s="2" customFormat="1" ht="33" customHeight="1">
      <c r="A203" s="29"/>
      <c r="B203" s="152"/>
      <c r="C203" s="153" t="s">
        <v>294</v>
      </c>
      <c r="D203" s="153" t="s">
        <v>181</v>
      </c>
      <c r="E203" s="154" t="s">
        <v>1579</v>
      </c>
      <c r="F203" s="155" t="s">
        <v>1880</v>
      </c>
      <c r="G203" s="156" t="s">
        <v>217</v>
      </c>
      <c r="H203" s="157">
        <v>1</v>
      </c>
      <c r="I203" s="158"/>
      <c r="J203" s="151">
        <v>0</v>
      </c>
      <c r="K203" s="160"/>
      <c r="L203" s="30"/>
      <c r="M203" s="161" t="s">
        <v>1</v>
      </c>
      <c r="N203" s="162" t="s">
        <v>35</v>
      </c>
      <c r="O203" s="58"/>
      <c r="P203" s="163">
        <f t="shared" si="18"/>
        <v>0</v>
      </c>
      <c r="Q203" s="163">
        <v>0</v>
      </c>
      <c r="R203" s="163">
        <f t="shared" si="19"/>
        <v>0</v>
      </c>
      <c r="S203" s="163">
        <v>0</v>
      </c>
      <c r="T203" s="164">
        <f t="shared" si="20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65" t="s">
        <v>185</v>
      </c>
      <c r="AT203" s="165" t="s">
        <v>181</v>
      </c>
      <c r="AU203" s="165" t="s">
        <v>76</v>
      </c>
      <c r="AY203" s="14" t="s">
        <v>179</v>
      </c>
      <c r="BE203" s="166">
        <f t="shared" si="21"/>
        <v>0</v>
      </c>
      <c r="BF203" s="166">
        <f t="shared" si="22"/>
        <v>0</v>
      </c>
      <c r="BG203" s="166">
        <f t="shared" si="23"/>
        <v>0</v>
      </c>
      <c r="BH203" s="166">
        <f t="shared" si="24"/>
        <v>0</v>
      </c>
      <c r="BI203" s="166">
        <f t="shared" si="25"/>
        <v>0</v>
      </c>
      <c r="BJ203" s="14" t="s">
        <v>82</v>
      </c>
      <c r="BK203" s="166">
        <f t="shared" si="26"/>
        <v>0</v>
      </c>
      <c r="BL203" s="14" t="s">
        <v>185</v>
      </c>
      <c r="BM203" s="165" t="s">
        <v>407</v>
      </c>
    </row>
    <row r="204" spans="1:65" s="2" customFormat="1" ht="24.2" customHeight="1">
      <c r="A204" s="29"/>
      <c r="B204" s="152"/>
      <c r="C204" s="153" t="s">
        <v>401</v>
      </c>
      <c r="D204" s="153" t="s">
        <v>181</v>
      </c>
      <c r="E204" s="154" t="s">
        <v>1581</v>
      </c>
      <c r="F204" s="155" t="s">
        <v>1881</v>
      </c>
      <c r="G204" s="156" t="s">
        <v>217</v>
      </c>
      <c r="H204" s="157">
        <v>1</v>
      </c>
      <c r="I204" s="158"/>
      <c r="J204" s="151">
        <v>0</v>
      </c>
      <c r="K204" s="160"/>
      <c r="L204" s="30"/>
      <c r="M204" s="161" t="s">
        <v>1</v>
      </c>
      <c r="N204" s="162" t="s">
        <v>35</v>
      </c>
      <c r="O204" s="58"/>
      <c r="P204" s="163">
        <f t="shared" si="18"/>
        <v>0</v>
      </c>
      <c r="Q204" s="163">
        <v>0</v>
      </c>
      <c r="R204" s="163">
        <f t="shared" si="19"/>
        <v>0</v>
      </c>
      <c r="S204" s="163">
        <v>0</v>
      </c>
      <c r="T204" s="164">
        <f t="shared" si="20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65" t="s">
        <v>185</v>
      </c>
      <c r="AT204" s="165" t="s">
        <v>181</v>
      </c>
      <c r="AU204" s="165" t="s">
        <v>76</v>
      </c>
      <c r="AY204" s="14" t="s">
        <v>179</v>
      </c>
      <c r="BE204" s="166">
        <f t="shared" si="21"/>
        <v>0</v>
      </c>
      <c r="BF204" s="166">
        <f t="shared" si="22"/>
        <v>0</v>
      </c>
      <c r="BG204" s="166">
        <f t="shared" si="23"/>
        <v>0</v>
      </c>
      <c r="BH204" s="166">
        <f t="shared" si="24"/>
        <v>0</v>
      </c>
      <c r="BI204" s="166">
        <f t="shared" si="25"/>
        <v>0</v>
      </c>
      <c r="BJ204" s="14" t="s">
        <v>82</v>
      </c>
      <c r="BK204" s="166">
        <f t="shared" si="26"/>
        <v>0</v>
      </c>
      <c r="BL204" s="14" t="s">
        <v>185</v>
      </c>
      <c r="BM204" s="165" t="s">
        <v>411</v>
      </c>
    </row>
    <row r="205" spans="1:65" s="2" customFormat="1" ht="16.5" customHeight="1">
      <c r="A205" s="29"/>
      <c r="B205" s="152"/>
      <c r="C205" s="153" t="s">
        <v>298</v>
      </c>
      <c r="D205" s="153" t="s">
        <v>181</v>
      </c>
      <c r="E205" s="154" t="s">
        <v>1583</v>
      </c>
      <c r="F205" s="155" t="s">
        <v>1882</v>
      </c>
      <c r="G205" s="156" t="s">
        <v>217</v>
      </c>
      <c r="H205" s="157">
        <v>1</v>
      </c>
      <c r="I205" s="158"/>
      <c r="J205" s="151">
        <v>0</v>
      </c>
      <c r="K205" s="160"/>
      <c r="L205" s="30"/>
      <c r="M205" s="161" t="s">
        <v>1</v>
      </c>
      <c r="N205" s="162" t="s">
        <v>35</v>
      </c>
      <c r="O205" s="58"/>
      <c r="P205" s="163">
        <f t="shared" si="18"/>
        <v>0</v>
      </c>
      <c r="Q205" s="163">
        <v>0</v>
      </c>
      <c r="R205" s="163">
        <f t="shared" si="19"/>
        <v>0</v>
      </c>
      <c r="S205" s="163">
        <v>0</v>
      </c>
      <c r="T205" s="164">
        <f t="shared" si="20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65" t="s">
        <v>185</v>
      </c>
      <c r="AT205" s="165" t="s">
        <v>181</v>
      </c>
      <c r="AU205" s="165" t="s">
        <v>76</v>
      </c>
      <c r="AY205" s="14" t="s">
        <v>179</v>
      </c>
      <c r="BE205" s="166">
        <f t="shared" si="21"/>
        <v>0</v>
      </c>
      <c r="BF205" s="166">
        <f t="shared" si="22"/>
        <v>0</v>
      </c>
      <c r="BG205" s="166">
        <f t="shared" si="23"/>
        <v>0</v>
      </c>
      <c r="BH205" s="166">
        <f t="shared" si="24"/>
        <v>0</v>
      </c>
      <c r="BI205" s="166">
        <f t="shared" si="25"/>
        <v>0</v>
      </c>
      <c r="BJ205" s="14" t="s">
        <v>82</v>
      </c>
      <c r="BK205" s="166">
        <f t="shared" si="26"/>
        <v>0</v>
      </c>
      <c r="BL205" s="14" t="s">
        <v>185</v>
      </c>
      <c r="BM205" s="165" t="s">
        <v>414</v>
      </c>
    </row>
    <row r="206" spans="1:65" s="2" customFormat="1" ht="16.5" customHeight="1">
      <c r="A206" s="29"/>
      <c r="B206" s="152"/>
      <c r="C206" s="153" t="s">
        <v>408</v>
      </c>
      <c r="D206" s="153" t="s">
        <v>181</v>
      </c>
      <c r="E206" s="154" t="s">
        <v>1585</v>
      </c>
      <c r="F206" s="155" t="s">
        <v>1883</v>
      </c>
      <c r="G206" s="156" t="s">
        <v>217</v>
      </c>
      <c r="H206" s="157">
        <v>1</v>
      </c>
      <c r="I206" s="158"/>
      <c r="J206" s="151">
        <v>0</v>
      </c>
      <c r="K206" s="160"/>
      <c r="L206" s="30"/>
      <c r="M206" s="161" t="s">
        <v>1</v>
      </c>
      <c r="N206" s="162" t="s">
        <v>35</v>
      </c>
      <c r="O206" s="58"/>
      <c r="P206" s="163">
        <f t="shared" si="18"/>
        <v>0</v>
      </c>
      <c r="Q206" s="163">
        <v>0</v>
      </c>
      <c r="R206" s="163">
        <f t="shared" si="19"/>
        <v>0</v>
      </c>
      <c r="S206" s="163">
        <v>0</v>
      </c>
      <c r="T206" s="164">
        <f t="shared" si="20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65" t="s">
        <v>185</v>
      </c>
      <c r="AT206" s="165" t="s">
        <v>181</v>
      </c>
      <c r="AU206" s="165" t="s">
        <v>76</v>
      </c>
      <c r="AY206" s="14" t="s">
        <v>179</v>
      </c>
      <c r="BE206" s="166">
        <f t="shared" si="21"/>
        <v>0</v>
      </c>
      <c r="BF206" s="166">
        <f t="shared" si="22"/>
        <v>0</v>
      </c>
      <c r="BG206" s="166">
        <f t="shared" si="23"/>
        <v>0</v>
      </c>
      <c r="BH206" s="166">
        <f t="shared" si="24"/>
        <v>0</v>
      </c>
      <c r="BI206" s="166">
        <f t="shared" si="25"/>
        <v>0</v>
      </c>
      <c r="BJ206" s="14" t="s">
        <v>82</v>
      </c>
      <c r="BK206" s="166">
        <f t="shared" si="26"/>
        <v>0</v>
      </c>
      <c r="BL206" s="14" t="s">
        <v>185</v>
      </c>
      <c r="BM206" s="165" t="s">
        <v>418</v>
      </c>
    </row>
    <row r="207" spans="1:65" s="2" customFormat="1" ht="16.5" customHeight="1">
      <c r="A207" s="29"/>
      <c r="B207" s="152"/>
      <c r="C207" s="153" t="s">
        <v>301</v>
      </c>
      <c r="D207" s="153" t="s">
        <v>181</v>
      </c>
      <c r="E207" s="154" t="s">
        <v>1587</v>
      </c>
      <c r="F207" s="155" t="s">
        <v>1884</v>
      </c>
      <c r="G207" s="156" t="s">
        <v>574</v>
      </c>
      <c r="H207" s="157">
        <v>1</v>
      </c>
      <c r="I207" s="158"/>
      <c r="J207" s="151">
        <v>0</v>
      </c>
      <c r="K207" s="160"/>
      <c r="L207" s="30"/>
      <c r="M207" s="161" t="s">
        <v>1</v>
      </c>
      <c r="N207" s="162" t="s">
        <v>35</v>
      </c>
      <c r="O207" s="58"/>
      <c r="P207" s="163">
        <f t="shared" si="18"/>
        <v>0</v>
      </c>
      <c r="Q207" s="163">
        <v>0</v>
      </c>
      <c r="R207" s="163">
        <f t="shared" si="19"/>
        <v>0</v>
      </c>
      <c r="S207" s="163">
        <v>0</v>
      </c>
      <c r="T207" s="164">
        <f t="shared" si="20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65" t="s">
        <v>185</v>
      </c>
      <c r="AT207" s="165" t="s">
        <v>181</v>
      </c>
      <c r="AU207" s="165" t="s">
        <v>76</v>
      </c>
      <c r="AY207" s="14" t="s">
        <v>179</v>
      </c>
      <c r="BE207" s="166">
        <f t="shared" si="21"/>
        <v>0</v>
      </c>
      <c r="BF207" s="166">
        <f t="shared" si="22"/>
        <v>0</v>
      </c>
      <c r="BG207" s="166">
        <f t="shared" si="23"/>
        <v>0</v>
      </c>
      <c r="BH207" s="166">
        <f t="shared" si="24"/>
        <v>0</v>
      </c>
      <c r="BI207" s="166">
        <f t="shared" si="25"/>
        <v>0</v>
      </c>
      <c r="BJ207" s="14" t="s">
        <v>82</v>
      </c>
      <c r="BK207" s="166">
        <f t="shared" si="26"/>
        <v>0</v>
      </c>
      <c r="BL207" s="14" t="s">
        <v>185</v>
      </c>
      <c r="BM207" s="165" t="s">
        <v>421</v>
      </c>
    </row>
    <row r="208" spans="1:65" s="2" customFormat="1" ht="16.5" customHeight="1">
      <c r="A208" s="29"/>
      <c r="B208" s="152"/>
      <c r="C208" s="153" t="s">
        <v>415</v>
      </c>
      <c r="D208" s="153" t="s">
        <v>181</v>
      </c>
      <c r="E208" s="154" t="s">
        <v>1589</v>
      </c>
      <c r="F208" s="155" t="s">
        <v>1885</v>
      </c>
      <c r="G208" s="156" t="s">
        <v>574</v>
      </c>
      <c r="H208" s="157">
        <v>1</v>
      </c>
      <c r="I208" s="158"/>
      <c r="J208" s="151">
        <v>0</v>
      </c>
      <c r="K208" s="160"/>
      <c r="L208" s="30"/>
      <c r="M208" s="161" t="s">
        <v>1</v>
      </c>
      <c r="N208" s="162" t="s">
        <v>35</v>
      </c>
      <c r="O208" s="58"/>
      <c r="P208" s="163">
        <f t="shared" si="18"/>
        <v>0</v>
      </c>
      <c r="Q208" s="163">
        <v>0</v>
      </c>
      <c r="R208" s="163">
        <f t="shared" si="19"/>
        <v>0</v>
      </c>
      <c r="S208" s="163">
        <v>0</v>
      </c>
      <c r="T208" s="164">
        <f t="shared" si="20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65" t="s">
        <v>185</v>
      </c>
      <c r="AT208" s="165" t="s">
        <v>181</v>
      </c>
      <c r="AU208" s="165" t="s">
        <v>76</v>
      </c>
      <c r="AY208" s="14" t="s">
        <v>179</v>
      </c>
      <c r="BE208" s="166">
        <f t="shared" si="21"/>
        <v>0</v>
      </c>
      <c r="BF208" s="166">
        <f t="shared" si="22"/>
        <v>0</v>
      </c>
      <c r="BG208" s="166">
        <f t="shared" si="23"/>
        <v>0</v>
      </c>
      <c r="BH208" s="166">
        <f t="shared" si="24"/>
        <v>0</v>
      </c>
      <c r="BI208" s="166">
        <f t="shared" si="25"/>
        <v>0</v>
      </c>
      <c r="BJ208" s="14" t="s">
        <v>82</v>
      </c>
      <c r="BK208" s="166">
        <f t="shared" si="26"/>
        <v>0</v>
      </c>
      <c r="BL208" s="14" t="s">
        <v>185</v>
      </c>
      <c r="BM208" s="165" t="s">
        <v>425</v>
      </c>
    </row>
    <row r="209" spans="1:65" s="2" customFormat="1" ht="16.5" customHeight="1">
      <c r="A209" s="29"/>
      <c r="B209" s="152"/>
      <c r="C209" s="153" t="s">
        <v>305</v>
      </c>
      <c r="D209" s="153" t="s">
        <v>181</v>
      </c>
      <c r="E209" s="154" t="s">
        <v>1591</v>
      </c>
      <c r="F209" s="155" t="s">
        <v>1886</v>
      </c>
      <c r="G209" s="156" t="s">
        <v>574</v>
      </c>
      <c r="H209" s="157">
        <v>0.5</v>
      </c>
      <c r="I209" s="158"/>
      <c r="J209" s="151">
        <v>0</v>
      </c>
      <c r="K209" s="160"/>
      <c r="L209" s="30"/>
      <c r="M209" s="161" t="s">
        <v>1</v>
      </c>
      <c r="N209" s="162" t="s">
        <v>35</v>
      </c>
      <c r="O209" s="58"/>
      <c r="P209" s="163">
        <f t="shared" si="18"/>
        <v>0</v>
      </c>
      <c r="Q209" s="163">
        <v>0</v>
      </c>
      <c r="R209" s="163">
        <f t="shared" si="19"/>
        <v>0</v>
      </c>
      <c r="S209" s="163">
        <v>0</v>
      </c>
      <c r="T209" s="164">
        <f t="shared" si="20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65" t="s">
        <v>185</v>
      </c>
      <c r="AT209" s="165" t="s">
        <v>181</v>
      </c>
      <c r="AU209" s="165" t="s">
        <v>76</v>
      </c>
      <c r="AY209" s="14" t="s">
        <v>179</v>
      </c>
      <c r="BE209" s="166">
        <f t="shared" si="21"/>
        <v>0</v>
      </c>
      <c r="BF209" s="166">
        <f t="shared" si="22"/>
        <v>0</v>
      </c>
      <c r="BG209" s="166">
        <f t="shared" si="23"/>
        <v>0</v>
      </c>
      <c r="BH209" s="166">
        <f t="shared" si="24"/>
        <v>0</v>
      </c>
      <c r="BI209" s="166">
        <f t="shared" si="25"/>
        <v>0</v>
      </c>
      <c r="BJ209" s="14" t="s">
        <v>82</v>
      </c>
      <c r="BK209" s="166">
        <f t="shared" si="26"/>
        <v>0</v>
      </c>
      <c r="BL209" s="14" t="s">
        <v>185</v>
      </c>
      <c r="BM209" s="165" t="s">
        <v>428</v>
      </c>
    </row>
    <row r="210" spans="1:65" s="2" customFormat="1" ht="16.5" customHeight="1">
      <c r="A210" s="29"/>
      <c r="B210" s="152"/>
      <c r="C210" s="153" t="s">
        <v>422</v>
      </c>
      <c r="D210" s="153" t="s">
        <v>181</v>
      </c>
      <c r="E210" s="154" t="s">
        <v>1593</v>
      </c>
      <c r="F210" s="155" t="s">
        <v>1887</v>
      </c>
      <c r="G210" s="156" t="s">
        <v>574</v>
      </c>
      <c r="H210" s="157">
        <v>0.5</v>
      </c>
      <c r="I210" s="158"/>
      <c r="J210" s="151">
        <v>0</v>
      </c>
      <c r="K210" s="160"/>
      <c r="L210" s="30"/>
      <c r="M210" s="161" t="s">
        <v>1</v>
      </c>
      <c r="N210" s="162" t="s">
        <v>35</v>
      </c>
      <c r="O210" s="58"/>
      <c r="P210" s="163">
        <f t="shared" si="18"/>
        <v>0</v>
      </c>
      <c r="Q210" s="163">
        <v>0</v>
      </c>
      <c r="R210" s="163">
        <f t="shared" si="19"/>
        <v>0</v>
      </c>
      <c r="S210" s="163">
        <v>0</v>
      </c>
      <c r="T210" s="164">
        <f t="shared" si="20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65" t="s">
        <v>185</v>
      </c>
      <c r="AT210" s="165" t="s">
        <v>181</v>
      </c>
      <c r="AU210" s="165" t="s">
        <v>76</v>
      </c>
      <c r="AY210" s="14" t="s">
        <v>179</v>
      </c>
      <c r="BE210" s="166">
        <f t="shared" si="21"/>
        <v>0</v>
      </c>
      <c r="BF210" s="166">
        <f t="shared" si="22"/>
        <v>0</v>
      </c>
      <c r="BG210" s="166">
        <f t="shared" si="23"/>
        <v>0</v>
      </c>
      <c r="BH210" s="166">
        <f t="shared" si="24"/>
        <v>0</v>
      </c>
      <c r="BI210" s="166">
        <f t="shared" si="25"/>
        <v>0</v>
      </c>
      <c r="BJ210" s="14" t="s">
        <v>82</v>
      </c>
      <c r="BK210" s="166">
        <f t="shared" si="26"/>
        <v>0</v>
      </c>
      <c r="BL210" s="14" t="s">
        <v>185</v>
      </c>
      <c r="BM210" s="165" t="s">
        <v>432</v>
      </c>
    </row>
    <row r="211" spans="1:65" s="2" customFormat="1" ht="16.5" customHeight="1">
      <c r="A211" s="29"/>
      <c r="B211" s="152"/>
      <c r="C211" s="153" t="s">
        <v>308</v>
      </c>
      <c r="D211" s="153" t="s">
        <v>181</v>
      </c>
      <c r="E211" s="154" t="s">
        <v>1595</v>
      </c>
      <c r="F211" s="155" t="s">
        <v>1888</v>
      </c>
      <c r="G211" s="156" t="s">
        <v>1625</v>
      </c>
      <c r="H211" s="157">
        <v>0.5</v>
      </c>
      <c r="I211" s="158"/>
      <c r="J211" s="151">
        <v>0</v>
      </c>
      <c r="K211" s="160"/>
      <c r="L211" s="30"/>
      <c r="M211" s="161" t="s">
        <v>1</v>
      </c>
      <c r="N211" s="162" t="s">
        <v>35</v>
      </c>
      <c r="O211" s="58"/>
      <c r="P211" s="163">
        <f t="shared" si="18"/>
        <v>0</v>
      </c>
      <c r="Q211" s="163">
        <v>0</v>
      </c>
      <c r="R211" s="163">
        <f t="shared" si="19"/>
        <v>0</v>
      </c>
      <c r="S211" s="163">
        <v>0</v>
      </c>
      <c r="T211" s="164">
        <f t="shared" si="20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65" t="s">
        <v>185</v>
      </c>
      <c r="AT211" s="165" t="s">
        <v>181</v>
      </c>
      <c r="AU211" s="165" t="s">
        <v>76</v>
      </c>
      <c r="AY211" s="14" t="s">
        <v>179</v>
      </c>
      <c r="BE211" s="166">
        <f t="shared" si="21"/>
        <v>0</v>
      </c>
      <c r="BF211" s="166">
        <f t="shared" si="22"/>
        <v>0</v>
      </c>
      <c r="BG211" s="166">
        <f t="shared" si="23"/>
        <v>0</v>
      </c>
      <c r="BH211" s="166">
        <f t="shared" si="24"/>
        <v>0</v>
      </c>
      <c r="BI211" s="166">
        <f t="shared" si="25"/>
        <v>0</v>
      </c>
      <c r="BJ211" s="14" t="s">
        <v>82</v>
      </c>
      <c r="BK211" s="166">
        <f t="shared" si="26"/>
        <v>0</v>
      </c>
      <c r="BL211" s="14" t="s">
        <v>185</v>
      </c>
      <c r="BM211" s="165" t="s">
        <v>435</v>
      </c>
    </row>
    <row r="212" spans="1:65" s="2" customFormat="1" ht="16.5" customHeight="1">
      <c r="A212" s="29"/>
      <c r="B212" s="152"/>
      <c r="C212" s="153" t="s">
        <v>429</v>
      </c>
      <c r="D212" s="153" t="s">
        <v>181</v>
      </c>
      <c r="E212" s="154" t="s">
        <v>1597</v>
      </c>
      <c r="F212" s="155" t="s">
        <v>1889</v>
      </c>
      <c r="G212" s="156" t="s">
        <v>293</v>
      </c>
      <c r="H212" s="157">
        <v>1</v>
      </c>
      <c r="I212" s="158"/>
      <c r="J212" s="151">
        <v>0</v>
      </c>
      <c r="K212" s="160"/>
      <c r="L212" s="30"/>
      <c r="M212" s="161" t="s">
        <v>1</v>
      </c>
      <c r="N212" s="162" t="s">
        <v>35</v>
      </c>
      <c r="O212" s="58"/>
      <c r="P212" s="163">
        <f t="shared" si="18"/>
        <v>0</v>
      </c>
      <c r="Q212" s="163">
        <v>0</v>
      </c>
      <c r="R212" s="163">
        <f t="shared" si="19"/>
        <v>0</v>
      </c>
      <c r="S212" s="163">
        <v>0</v>
      </c>
      <c r="T212" s="164">
        <f t="shared" si="20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65" t="s">
        <v>185</v>
      </c>
      <c r="AT212" s="165" t="s">
        <v>181</v>
      </c>
      <c r="AU212" s="165" t="s">
        <v>76</v>
      </c>
      <c r="AY212" s="14" t="s">
        <v>179</v>
      </c>
      <c r="BE212" s="166">
        <f t="shared" si="21"/>
        <v>0</v>
      </c>
      <c r="BF212" s="166">
        <f t="shared" si="22"/>
        <v>0</v>
      </c>
      <c r="BG212" s="166">
        <f t="shared" si="23"/>
        <v>0</v>
      </c>
      <c r="BH212" s="166">
        <f t="shared" si="24"/>
        <v>0</v>
      </c>
      <c r="BI212" s="166">
        <f t="shared" si="25"/>
        <v>0</v>
      </c>
      <c r="BJ212" s="14" t="s">
        <v>82</v>
      </c>
      <c r="BK212" s="166">
        <f t="shared" si="26"/>
        <v>0</v>
      </c>
      <c r="BL212" s="14" t="s">
        <v>185</v>
      </c>
      <c r="BM212" s="165" t="s">
        <v>439</v>
      </c>
    </row>
    <row r="213" spans="1:65" s="12" customFormat="1" ht="22.9" customHeight="1">
      <c r="B213" s="139"/>
      <c r="D213" s="140" t="s">
        <v>68</v>
      </c>
      <c r="E213" s="150" t="s">
        <v>1426</v>
      </c>
      <c r="F213" s="150" t="s">
        <v>1661</v>
      </c>
      <c r="I213" s="142"/>
      <c r="J213" s="151">
        <v>0</v>
      </c>
      <c r="L213" s="139"/>
      <c r="M213" s="144"/>
      <c r="N213" s="145"/>
      <c r="O213" s="145"/>
      <c r="P213" s="146">
        <f>SUM(P214:P220)</f>
        <v>0</v>
      </c>
      <c r="Q213" s="145"/>
      <c r="R213" s="146">
        <f>SUM(R214:R220)</f>
        <v>0</v>
      </c>
      <c r="S213" s="145"/>
      <c r="T213" s="147">
        <f>SUM(T214:T220)</f>
        <v>0</v>
      </c>
      <c r="AR213" s="140" t="s">
        <v>76</v>
      </c>
      <c r="AT213" s="148" t="s">
        <v>68</v>
      </c>
      <c r="AU213" s="148" t="s">
        <v>76</v>
      </c>
      <c r="AY213" s="140" t="s">
        <v>179</v>
      </c>
      <c r="BK213" s="149">
        <f>SUM(BK214:BK220)</f>
        <v>0</v>
      </c>
    </row>
    <row r="214" spans="1:65" s="2" customFormat="1" ht="16.5" customHeight="1">
      <c r="A214" s="29"/>
      <c r="B214" s="152"/>
      <c r="C214" s="153" t="s">
        <v>312</v>
      </c>
      <c r="D214" s="153" t="s">
        <v>181</v>
      </c>
      <c r="E214" s="154" t="s">
        <v>2065</v>
      </c>
      <c r="F214" s="155" t="s">
        <v>1891</v>
      </c>
      <c r="G214" s="156" t="s">
        <v>217</v>
      </c>
      <c r="H214" s="157">
        <v>1</v>
      </c>
      <c r="I214" s="158"/>
      <c r="J214" s="151">
        <v>0</v>
      </c>
      <c r="K214" s="160"/>
      <c r="L214" s="30"/>
      <c r="M214" s="161" t="s">
        <v>1</v>
      </c>
      <c r="N214" s="162" t="s">
        <v>35</v>
      </c>
      <c r="O214" s="58"/>
      <c r="P214" s="163">
        <f t="shared" ref="P214:P220" si="27">O214*H214</f>
        <v>0</v>
      </c>
      <c r="Q214" s="163">
        <v>0</v>
      </c>
      <c r="R214" s="163">
        <f t="shared" ref="R214:R220" si="28">Q214*H214</f>
        <v>0</v>
      </c>
      <c r="S214" s="163">
        <v>0</v>
      </c>
      <c r="T214" s="164">
        <f t="shared" ref="T214:T220" si="29">S214*H214</f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65" t="s">
        <v>185</v>
      </c>
      <c r="AT214" s="165" t="s">
        <v>181</v>
      </c>
      <c r="AU214" s="165" t="s">
        <v>82</v>
      </c>
      <c r="AY214" s="14" t="s">
        <v>179</v>
      </c>
      <c r="BE214" s="166">
        <f t="shared" ref="BE214:BE220" si="30">IF(N214="základná",J214,0)</f>
        <v>0</v>
      </c>
      <c r="BF214" s="166">
        <f t="shared" ref="BF214:BF220" si="31">IF(N214="znížená",J214,0)</f>
        <v>0</v>
      </c>
      <c r="BG214" s="166">
        <f t="shared" ref="BG214:BG220" si="32">IF(N214="zákl. prenesená",J214,0)</f>
        <v>0</v>
      </c>
      <c r="BH214" s="166">
        <f t="shared" ref="BH214:BH220" si="33">IF(N214="zníž. prenesená",J214,0)</f>
        <v>0</v>
      </c>
      <c r="BI214" s="166">
        <f t="shared" ref="BI214:BI220" si="34">IF(N214="nulová",J214,0)</f>
        <v>0</v>
      </c>
      <c r="BJ214" s="14" t="s">
        <v>82</v>
      </c>
      <c r="BK214" s="166">
        <f t="shared" ref="BK214:BK220" si="35">ROUND(I214*H214,2)</f>
        <v>0</v>
      </c>
      <c r="BL214" s="14" t="s">
        <v>185</v>
      </c>
      <c r="BM214" s="165" t="s">
        <v>442</v>
      </c>
    </row>
    <row r="215" spans="1:65" s="2" customFormat="1" ht="16.5" customHeight="1">
      <c r="A215" s="29"/>
      <c r="B215" s="152"/>
      <c r="C215" s="153" t="s">
        <v>436</v>
      </c>
      <c r="D215" s="153" t="s">
        <v>181</v>
      </c>
      <c r="E215" s="154" t="s">
        <v>2066</v>
      </c>
      <c r="F215" s="155" t="s">
        <v>1893</v>
      </c>
      <c r="G215" s="156" t="s">
        <v>217</v>
      </c>
      <c r="H215" s="157">
        <v>1</v>
      </c>
      <c r="I215" s="158"/>
      <c r="J215" s="151">
        <v>0</v>
      </c>
      <c r="K215" s="160"/>
      <c r="L215" s="30"/>
      <c r="M215" s="161" t="s">
        <v>1</v>
      </c>
      <c r="N215" s="162" t="s">
        <v>35</v>
      </c>
      <c r="O215" s="58"/>
      <c r="P215" s="163">
        <f t="shared" si="27"/>
        <v>0</v>
      </c>
      <c r="Q215" s="163">
        <v>0</v>
      </c>
      <c r="R215" s="163">
        <f t="shared" si="28"/>
        <v>0</v>
      </c>
      <c r="S215" s="163">
        <v>0</v>
      </c>
      <c r="T215" s="164">
        <f t="shared" si="29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65" t="s">
        <v>185</v>
      </c>
      <c r="AT215" s="165" t="s">
        <v>181</v>
      </c>
      <c r="AU215" s="165" t="s">
        <v>82</v>
      </c>
      <c r="AY215" s="14" t="s">
        <v>179</v>
      </c>
      <c r="BE215" s="166">
        <f t="shared" si="30"/>
        <v>0</v>
      </c>
      <c r="BF215" s="166">
        <f t="shared" si="31"/>
        <v>0</v>
      </c>
      <c r="BG215" s="166">
        <f t="shared" si="32"/>
        <v>0</v>
      </c>
      <c r="BH215" s="166">
        <f t="shared" si="33"/>
        <v>0</v>
      </c>
      <c r="BI215" s="166">
        <f t="shared" si="34"/>
        <v>0</v>
      </c>
      <c r="BJ215" s="14" t="s">
        <v>82</v>
      </c>
      <c r="BK215" s="166">
        <f t="shared" si="35"/>
        <v>0</v>
      </c>
      <c r="BL215" s="14" t="s">
        <v>185</v>
      </c>
      <c r="BM215" s="165" t="s">
        <v>446</v>
      </c>
    </row>
    <row r="216" spans="1:65" s="2" customFormat="1" ht="16.5" customHeight="1">
      <c r="A216" s="29"/>
      <c r="B216" s="152"/>
      <c r="C216" s="153" t="s">
        <v>315</v>
      </c>
      <c r="D216" s="153" t="s">
        <v>181</v>
      </c>
      <c r="E216" s="154" t="s">
        <v>2067</v>
      </c>
      <c r="F216" s="155" t="s">
        <v>1895</v>
      </c>
      <c r="G216" s="156" t="s">
        <v>217</v>
      </c>
      <c r="H216" s="157">
        <v>2</v>
      </c>
      <c r="I216" s="158"/>
      <c r="J216" s="151">
        <v>0</v>
      </c>
      <c r="K216" s="160"/>
      <c r="L216" s="30"/>
      <c r="M216" s="161" t="s">
        <v>1</v>
      </c>
      <c r="N216" s="162" t="s">
        <v>35</v>
      </c>
      <c r="O216" s="58"/>
      <c r="P216" s="163">
        <f t="shared" si="27"/>
        <v>0</v>
      </c>
      <c r="Q216" s="163">
        <v>0</v>
      </c>
      <c r="R216" s="163">
        <f t="shared" si="28"/>
        <v>0</v>
      </c>
      <c r="S216" s="163">
        <v>0</v>
      </c>
      <c r="T216" s="164">
        <f t="shared" si="29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65" t="s">
        <v>185</v>
      </c>
      <c r="AT216" s="165" t="s">
        <v>181</v>
      </c>
      <c r="AU216" s="165" t="s">
        <v>82</v>
      </c>
      <c r="AY216" s="14" t="s">
        <v>179</v>
      </c>
      <c r="BE216" s="166">
        <f t="shared" si="30"/>
        <v>0</v>
      </c>
      <c r="BF216" s="166">
        <f t="shared" si="31"/>
        <v>0</v>
      </c>
      <c r="BG216" s="166">
        <f t="shared" si="32"/>
        <v>0</v>
      </c>
      <c r="BH216" s="166">
        <f t="shared" si="33"/>
        <v>0</v>
      </c>
      <c r="BI216" s="166">
        <f t="shared" si="34"/>
        <v>0</v>
      </c>
      <c r="BJ216" s="14" t="s">
        <v>82</v>
      </c>
      <c r="BK216" s="166">
        <f t="shared" si="35"/>
        <v>0</v>
      </c>
      <c r="BL216" s="14" t="s">
        <v>185</v>
      </c>
      <c r="BM216" s="165" t="s">
        <v>449</v>
      </c>
    </row>
    <row r="217" spans="1:65" s="2" customFormat="1" ht="16.5" customHeight="1">
      <c r="A217" s="29"/>
      <c r="B217" s="152"/>
      <c r="C217" s="153" t="s">
        <v>443</v>
      </c>
      <c r="D217" s="153" t="s">
        <v>181</v>
      </c>
      <c r="E217" s="154" t="s">
        <v>2068</v>
      </c>
      <c r="F217" s="155" t="s">
        <v>1897</v>
      </c>
      <c r="G217" s="156" t="s">
        <v>217</v>
      </c>
      <c r="H217" s="157">
        <v>1</v>
      </c>
      <c r="I217" s="158"/>
      <c r="J217" s="151">
        <v>0</v>
      </c>
      <c r="K217" s="160"/>
      <c r="L217" s="30"/>
      <c r="M217" s="161" t="s">
        <v>1</v>
      </c>
      <c r="N217" s="162" t="s">
        <v>35</v>
      </c>
      <c r="O217" s="58"/>
      <c r="P217" s="163">
        <f t="shared" si="27"/>
        <v>0</v>
      </c>
      <c r="Q217" s="163">
        <v>0</v>
      </c>
      <c r="R217" s="163">
        <f t="shared" si="28"/>
        <v>0</v>
      </c>
      <c r="S217" s="163">
        <v>0</v>
      </c>
      <c r="T217" s="164">
        <f t="shared" si="29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65" t="s">
        <v>185</v>
      </c>
      <c r="AT217" s="165" t="s">
        <v>181</v>
      </c>
      <c r="AU217" s="165" t="s">
        <v>82</v>
      </c>
      <c r="AY217" s="14" t="s">
        <v>179</v>
      </c>
      <c r="BE217" s="166">
        <f t="shared" si="30"/>
        <v>0</v>
      </c>
      <c r="BF217" s="166">
        <f t="shared" si="31"/>
        <v>0</v>
      </c>
      <c r="BG217" s="166">
        <f t="shared" si="32"/>
        <v>0</v>
      </c>
      <c r="BH217" s="166">
        <f t="shared" si="33"/>
        <v>0</v>
      </c>
      <c r="BI217" s="166">
        <f t="shared" si="34"/>
        <v>0</v>
      </c>
      <c r="BJ217" s="14" t="s">
        <v>82</v>
      </c>
      <c r="BK217" s="166">
        <f t="shared" si="35"/>
        <v>0</v>
      </c>
      <c r="BL217" s="14" t="s">
        <v>185</v>
      </c>
      <c r="BM217" s="165" t="s">
        <v>453</v>
      </c>
    </row>
    <row r="218" spans="1:65" s="2" customFormat="1" ht="16.5" customHeight="1">
      <c r="A218" s="29"/>
      <c r="B218" s="152"/>
      <c r="C218" s="153" t="s">
        <v>319</v>
      </c>
      <c r="D218" s="153" t="s">
        <v>181</v>
      </c>
      <c r="E218" s="154" t="s">
        <v>2069</v>
      </c>
      <c r="F218" s="155" t="s">
        <v>1899</v>
      </c>
      <c r="G218" s="156" t="s">
        <v>217</v>
      </c>
      <c r="H218" s="157">
        <v>1</v>
      </c>
      <c r="I218" s="158"/>
      <c r="J218" s="151">
        <v>0</v>
      </c>
      <c r="K218" s="160"/>
      <c r="L218" s="30"/>
      <c r="M218" s="161" t="s">
        <v>1</v>
      </c>
      <c r="N218" s="162" t="s">
        <v>35</v>
      </c>
      <c r="O218" s="58"/>
      <c r="P218" s="163">
        <f t="shared" si="27"/>
        <v>0</v>
      </c>
      <c r="Q218" s="163">
        <v>0</v>
      </c>
      <c r="R218" s="163">
        <f t="shared" si="28"/>
        <v>0</v>
      </c>
      <c r="S218" s="163">
        <v>0</v>
      </c>
      <c r="T218" s="164">
        <f t="shared" si="29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65" t="s">
        <v>185</v>
      </c>
      <c r="AT218" s="165" t="s">
        <v>181</v>
      </c>
      <c r="AU218" s="165" t="s">
        <v>82</v>
      </c>
      <c r="AY218" s="14" t="s">
        <v>179</v>
      </c>
      <c r="BE218" s="166">
        <f t="shared" si="30"/>
        <v>0</v>
      </c>
      <c r="BF218" s="166">
        <f t="shared" si="31"/>
        <v>0</v>
      </c>
      <c r="BG218" s="166">
        <f t="shared" si="32"/>
        <v>0</v>
      </c>
      <c r="BH218" s="166">
        <f t="shared" si="33"/>
        <v>0</v>
      </c>
      <c r="BI218" s="166">
        <f t="shared" si="34"/>
        <v>0</v>
      </c>
      <c r="BJ218" s="14" t="s">
        <v>82</v>
      </c>
      <c r="BK218" s="166">
        <f t="shared" si="35"/>
        <v>0</v>
      </c>
      <c r="BL218" s="14" t="s">
        <v>185</v>
      </c>
      <c r="BM218" s="165" t="s">
        <v>456</v>
      </c>
    </row>
    <row r="219" spans="1:65" s="2" customFormat="1" ht="16.5" customHeight="1">
      <c r="A219" s="29"/>
      <c r="B219" s="152"/>
      <c r="C219" s="153" t="s">
        <v>450</v>
      </c>
      <c r="D219" s="153" t="s">
        <v>181</v>
      </c>
      <c r="E219" s="154" t="s">
        <v>2070</v>
      </c>
      <c r="F219" s="155" t="s">
        <v>1901</v>
      </c>
      <c r="G219" s="156" t="s">
        <v>217</v>
      </c>
      <c r="H219" s="157">
        <v>1</v>
      </c>
      <c r="I219" s="158"/>
      <c r="J219" s="151">
        <v>0</v>
      </c>
      <c r="K219" s="160"/>
      <c r="L219" s="30"/>
      <c r="M219" s="161" t="s">
        <v>1</v>
      </c>
      <c r="N219" s="162" t="s">
        <v>35</v>
      </c>
      <c r="O219" s="58"/>
      <c r="P219" s="163">
        <f t="shared" si="27"/>
        <v>0</v>
      </c>
      <c r="Q219" s="163">
        <v>0</v>
      </c>
      <c r="R219" s="163">
        <f t="shared" si="28"/>
        <v>0</v>
      </c>
      <c r="S219" s="163">
        <v>0</v>
      </c>
      <c r="T219" s="164">
        <f t="shared" si="29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65" t="s">
        <v>185</v>
      </c>
      <c r="AT219" s="165" t="s">
        <v>181</v>
      </c>
      <c r="AU219" s="165" t="s">
        <v>82</v>
      </c>
      <c r="AY219" s="14" t="s">
        <v>179</v>
      </c>
      <c r="BE219" s="166">
        <f t="shared" si="30"/>
        <v>0</v>
      </c>
      <c r="BF219" s="166">
        <f t="shared" si="31"/>
        <v>0</v>
      </c>
      <c r="BG219" s="166">
        <f t="shared" si="32"/>
        <v>0</v>
      </c>
      <c r="BH219" s="166">
        <f t="shared" si="33"/>
        <v>0</v>
      </c>
      <c r="BI219" s="166">
        <f t="shared" si="34"/>
        <v>0</v>
      </c>
      <c r="BJ219" s="14" t="s">
        <v>82</v>
      </c>
      <c r="BK219" s="166">
        <f t="shared" si="35"/>
        <v>0</v>
      </c>
      <c r="BL219" s="14" t="s">
        <v>185</v>
      </c>
      <c r="BM219" s="165" t="s">
        <v>460</v>
      </c>
    </row>
    <row r="220" spans="1:65" s="2" customFormat="1" ht="21.75" customHeight="1">
      <c r="A220" s="29"/>
      <c r="B220" s="152"/>
      <c r="C220" s="153" t="s">
        <v>322</v>
      </c>
      <c r="D220" s="153" t="s">
        <v>181</v>
      </c>
      <c r="E220" s="154" t="s">
        <v>2071</v>
      </c>
      <c r="F220" s="155" t="s">
        <v>1903</v>
      </c>
      <c r="G220" s="156" t="s">
        <v>217</v>
      </c>
      <c r="H220" s="157">
        <v>1</v>
      </c>
      <c r="I220" s="158"/>
      <c r="J220" s="151">
        <v>0</v>
      </c>
      <c r="K220" s="160"/>
      <c r="L220" s="30"/>
      <c r="M220" s="161" t="s">
        <v>1</v>
      </c>
      <c r="N220" s="162" t="s">
        <v>35</v>
      </c>
      <c r="O220" s="58"/>
      <c r="P220" s="163">
        <f t="shared" si="27"/>
        <v>0</v>
      </c>
      <c r="Q220" s="163">
        <v>0</v>
      </c>
      <c r="R220" s="163">
        <f t="shared" si="28"/>
        <v>0</v>
      </c>
      <c r="S220" s="163">
        <v>0</v>
      </c>
      <c r="T220" s="164">
        <f t="shared" si="29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65" t="s">
        <v>185</v>
      </c>
      <c r="AT220" s="165" t="s">
        <v>181</v>
      </c>
      <c r="AU220" s="165" t="s">
        <v>82</v>
      </c>
      <c r="AY220" s="14" t="s">
        <v>179</v>
      </c>
      <c r="BE220" s="166">
        <f t="shared" si="30"/>
        <v>0</v>
      </c>
      <c r="BF220" s="166">
        <f t="shared" si="31"/>
        <v>0</v>
      </c>
      <c r="BG220" s="166">
        <f t="shared" si="32"/>
        <v>0</v>
      </c>
      <c r="BH220" s="166">
        <f t="shared" si="33"/>
        <v>0</v>
      </c>
      <c r="BI220" s="166">
        <f t="shared" si="34"/>
        <v>0</v>
      </c>
      <c r="BJ220" s="14" t="s">
        <v>82</v>
      </c>
      <c r="BK220" s="166">
        <f t="shared" si="35"/>
        <v>0</v>
      </c>
      <c r="BL220" s="14" t="s">
        <v>185</v>
      </c>
      <c r="BM220" s="165" t="s">
        <v>463</v>
      </c>
    </row>
    <row r="221" spans="1:65" s="12" customFormat="1" ht="22.9" customHeight="1">
      <c r="B221" s="139"/>
      <c r="D221" s="140" t="s">
        <v>68</v>
      </c>
      <c r="E221" s="150" t="s">
        <v>1432</v>
      </c>
      <c r="F221" s="150" t="s">
        <v>2072</v>
      </c>
      <c r="I221" s="142"/>
      <c r="J221" s="151">
        <v>0</v>
      </c>
      <c r="L221" s="139"/>
      <c r="M221" s="144"/>
      <c r="N221" s="145"/>
      <c r="O221" s="145"/>
      <c r="P221" s="146">
        <f>SUM(P222:P223)</f>
        <v>0</v>
      </c>
      <c r="Q221" s="145"/>
      <c r="R221" s="146">
        <f>SUM(R222:R223)</f>
        <v>0</v>
      </c>
      <c r="S221" s="145"/>
      <c r="T221" s="147">
        <f>SUM(T222:T223)</f>
        <v>0</v>
      </c>
      <c r="AR221" s="140" t="s">
        <v>76</v>
      </c>
      <c r="AT221" s="148" t="s">
        <v>68</v>
      </c>
      <c r="AU221" s="148" t="s">
        <v>76</v>
      </c>
      <c r="AY221" s="140" t="s">
        <v>179</v>
      </c>
      <c r="BK221" s="149">
        <f>SUM(BK222:BK223)</f>
        <v>0</v>
      </c>
    </row>
    <row r="222" spans="1:65" s="2" customFormat="1" ht="16.5" customHeight="1">
      <c r="A222" s="29"/>
      <c r="B222" s="152"/>
      <c r="C222" s="153" t="s">
        <v>457</v>
      </c>
      <c r="D222" s="153" t="s">
        <v>181</v>
      </c>
      <c r="E222" s="154" t="s">
        <v>2073</v>
      </c>
      <c r="F222" s="155" t="s">
        <v>2074</v>
      </c>
      <c r="G222" s="156" t="s">
        <v>217</v>
      </c>
      <c r="H222" s="157">
        <v>1</v>
      </c>
      <c r="I222" s="158"/>
      <c r="J222" s="151">
        <v>0</v>
      </c>
      <c r="K222" s="160"/>
      <c r="L222" s="30"/>
      <c r="M222" s="161" t="s">
        <v>1</v>
      </c>
      <c r="N222" s="162" t="s">
        <v>35</v>
      </c>
      <c r="O222" s="58"/>
      <c r="P222" s="163">
        <f>O222*H222</f>
        <v>0</v>
      </c>
      <c r="Q222" s="163">
        <v>0</v>
      </c>
      <c r="R222" s="163">
        <f>Q222*H222</f>
        <v>0</v>
      </c>
      <c r="S222" s="163">
        <v>0</v>
      </c>
      <c r="T222" s="164">
        <f>S222*H222</f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65" t="s">
        <v>185</v>
      </c>
      <c r="AT222" s="165" t="s">
        <v>181</v>
      </c>
      <c r="AU222" s="165" t="s">
        <v>82</v>
      </c>
      <c r="AY222" s="14" t="s">
        <v>179</v>
      </c>
      <c r="BE222" s="166">
        <f>IF(N222="základná",J222,0)</f>
        <v>0</v>
      </c>
      <c r="BF222" s="166">
        <f>IF(N222="znížená",J222,0)</f>
        <v>0</v>
      </c>
      <c r="BG222" s="166">
        <f>IF(N222="zákl. prenesená",J222,0)</f>
        <v>0</v>
      </c>
      <c r="BH222" s="166">
        <f>IF(N222="zníž. prenesená",J222,0)</f>
        <v>0</v>
      </c>
      <c r="BI222" s="166">
        <f>IF(N222="nulová",J222,0)</f>
        <v>0</v>
      </c>
      <c r="BJ222" s="14" t="s">
        <v>82</v>
      </c>
      <c r="BK222" s="166">
        <f>ROUND(I222*H222,2)</f>
        <v>0</v>
      </c>
      <c r="BL222" s="14" t="s">
        <v>185</v>
      </c>
      <c r="BM222" s="165" t="s">
        <v>467</v>
      </c>
    </row>
    <row r="223" spans="1:65" s="2" customFormat="1" ht="16.5" customHeight="1">
      <c r="A223" s="29"/>
      <c r="B223" s="152"/>
      <c r="C223" s="153" t="s">
        <v>326</v>
      </c>
      <c r="D223" s="153" t="s">
        <v>181</v>
      </c>
      <c r="E223" s="154" t="s">
        <v>2075</v>
      </c>
      <c r="F223" s="155" t="s">
        <v>1908</v>
      </c>
      <c r="G223" s="156" t="s">
        <v>217</v>
      </c>
      <c r="H223" s="157">
        <v>1</v>
      </c>
      <c r="I223" s="158"/>
      <c r="J223" s="151">
        <v>0</v>
      </c>
      <c r="K223" s="160"/>
      <c r="L223" s="30"/>
      <c r="M223" s="161" t="s">
        <v>1</v>
      </c>
      <c r="N223" s="162" t="s">
        <v>35</v>
      </c>
      <c r="O223" s="58"/>
      <c r="P223" s="163">
        <f>O223*H223</f>
        <v>0</v>
      </c>
      <c r="Q223" s="163">
        <v>0</v>
      </c>
      <c r="R223" s="163">
        <f>Q223*H223</f>
        <v>0</v>
      </c>
      <c r="S223" s="163">
        <v>0</v>
      </c>
      <c r="T223" s="164">
        <f>S223*H223</f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65" t="s">
        <v>185</v>
      </c>
      <c r="AT223" s="165" t="s">
        <v>181</v>
      </c>
      <c r="AU223" s="165" t="s">
        <v>82</v>
      </c>
      <c r="AY223" s="14" t="s">
        <v>179</v>
      </c>
      <c r="BE223" s="166">
        <f>IF(N223="základná",J223,0)</f>
        <v>0</v>
      </c>
      <c r="BF223" s="166">
        <f>IF(N223="znížená",J223,0)</f>
        <v>0</v>
      </c>
      <c r="BG223" s="166">
        <f>IF(N223="zákl. prenesená",J223,0)</f>
        <v>0</v>
      </c>
      <c r="BH223" s="166">
        <f>IF(N223="zníž. prenesená",J223,0)</f>
        <v>0</v>
      </c>
      <c r="BI223" s="166">
        <f>IF(N223="nulová",J223,0)</f>
        <v>0</v>
      </c>
      <c r="BJ223" s="14" t="s">
        <v>82</v>
      </c>
      <c r="BK223" s="166">
        <f>ROUND(I223*H223,2)</f>
        <v>0</v>
      </c>
      <c r="BL223" s="14" t="s">
        <v>185</v>
      </c>
      <c r="BM223" s="165" t="s">
        <v>470</v>
      </c>
    </row>
    <row r="224" spans="1:65" s="12" customFormat="1" ht="22.9" customHeight="1">
      <c r="B224" s="139"/>
      <c r="D224" s="140" t="s">
        <v>68</v>
      </c>
      <c r="E224" s="150" t="s">
        <v>1465</v>
      </c>
      <c r="F224" s="150" t="s">
        <v>1909</v>
      </c>
      <c r="I224" s="142"/>
      <c r="J224" s="151">
        <v>0</v>
      </c>
      <c r="L224" s="139"/>
      <c r="M224" s="144"/>
      <c r="N224" s="145"/>
      <c r="O224" s="145"/>
      <c r="P224" s="146">
        <f>SUM(P225:P233)</f>
        <v>0</v>
      </c>
      <c r="Q224" s="145"/>
      <c r="R224" s="146">
        <f>SUM(R225:R233)</f>
        <v>0</v>
      </c>
      <c r="S224" s="145"/>
      <c r="T224" s="147">
        <f>SUM(T225:T233)</f>
        <v>0</v>
      </c>
      <c r="AR224" s="140" t="s">
        <v>76</v>
      </c>
      <c r="AT224" s="148" t="s">
        <v>68</v>
      </c>
      <c r="AU224" s="148" t="s">
        <v>76</v>
      </c>
      <c r="AY224" s="140" t="s">
        <v>179</v>
      </c>
      <c r="BK224" s="149">
        <f>SUM(BK225:BK233)</f>
        <v>0</v>
      </c>
    </row>
    <row r="225" spans="1:65" s="2" customFormat="1" ht="24.2" customHeight="1">
      <c r="A225" s="29"/>
      <c r="B225" s="152"/>
      <c r="C225" s="153" t="s">
        <v>464</v>
      </c>
      <c r="D225" s="153" t="s">
        <v>181</v>
      </c>
      <c r="E225" s="154" t="s">
        <v>2076</v>
      </c>
      <c r="F225" s="339" t="s">
        <v>3420</v>
      </c>
      <c r="G225" s="156" t="s">
        <v>217</v>
      </c>
      <c r="H225" s="157">
        <v>9</v>
      </c>
      <c r="I225" s="158"/>
      <c r="J225" s="151">
        <v>0</v>
      </c>
      <c r="K225" s="160"/>
      <c r="L225" s="30"/>
      <c r="M225" s="161" t="s">
        <v>1</v>
      </c>
      <c r="N225" s="162" t="s">
        <v>35</v>
      </c>
      <c r="O225" s="58"/>
      <c r="P225" s="163">
        <f t="shared" ref="P225:P233" si="36">O225*H225</f>
        <v>0</v>
      </c>
      <c r="Q225" s="163">
        <v>0</v>
      </c>
      <c r="R225" s="163">
        <f t="shared" ref="R225:R233" si="37">Q225*H225</f>
        <v>0</v>
      </c>
      <c r="S225" s="163">
        <v>0</v>
      </c>
      <c r="T225" s="164">
        <f t="shared" ref="T225:T233" si="38">S225*H225</f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65" t="s">
        <v>185</v>
      </c>
      <c r="AT225" s="165" t="s">
        <v>181</v>
      </c>
      <c r="AU225" s="165" t="s">
        <v>82</v>
      </c>
      <c r="AY225" s="14" t="s">
        <v>179</v>
      </c>
      <c r="BE225" s="166">
        <f t="shared" ref="BE225:BE233" si="39">IF(N225="základná",J225,0)</f>
        <v>0</v>
      </c>
      <c r="BF225" s="166">
        <f t="shared" ref="BF225:BF233" si="40">IF(N225="znížená",J225,0)</f>
        <v>0</v>
      </c>
      <c r="BG225" s="166">
        <f t="shared" ref="BG225:BG233" si="41">IF(N225="zákl. prenesená",J225,0)</f>
        <v>0</v>
      </c>
      <c r="BH225" s="166">
        <f t="shared" ref="BH225:BH233" si="42">IF(N225="zníž. prenesená",J225,0)</f>
        <v>0</v>
      </c>
      <c r="BI225" s="166">
        <f t="shared" ref="BI225:BI233" si="43">IF(N225="nulová",J225,0)</f>
        <v>0</v>
      </c>
      <c r="BJ225" s="14" t="s">
        <v>82</v>
      </c>
      <c r="BK225" s="166">
        <f t="shared" ref="BK225:BK233" si="44">ROUND(I225*H225,2)</f>
        <v>0</v>
      </c>
      <c r="BL225" s="14" t="s">
        <v>185</v>
      </c>
      <c r="BM225" s="165" t="s">
        <v>474</v>
      </c>
    </row>
    <row r="226" spans="1:65" s="2" customFormat="1" ht="24.2" customHeight="1">
      <c r="A226" s="29"/>
      <c r="B226" s="152"/>
      <c r="C226" s="153" t="s">
        <v>329</v>
      </c>
      <c r="D226" s="153" t="s">
        <v>181</v>
      </c>
      <c r="E226" s="154" t="s">
        <v>2077</v>
      </c>
      <c r="F226" s="155" t="s">
        <v>1912</v>
      </c>
      <c r="G226" s="156" t="s">
        <v>217</v>
      </c>
      <c r="H226" s="157">
        <v>9</v>
      </c>
      <c r="I226" s="158"/>
      <c r="J226" s="151">
        <v>0</v>
      </c>
      <c r="K226" s="160"/>
      <c r="L226" s="30"/>
      <c r="M226" s="161" t="s">
        <v>1</v>
      </c>
      <c r="N226" s="162" t="s">
        <v>35</v>
      </c>
      <c r="O226" s="58"/>
      <c r="P226" s="163">
        <f t="shared" si="36"/>
        <v>0</v>
      </c>
      <c r="Q226" s="163">
        <v>0</v>
      </c>
      <c r="R226" s="163">
        <f t="shared" si="37"/>
        <v>0</v>
      </c>
      <c r="S226" s="163">
        <v>0</v>
      </c>
      <c r="T226" s="164">
        <f t="shared" si="38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65" t="s">
        <v>185</v>
      </c>
      <c r="AT226" s="165" t="s">
        <v>181</v>
      </c>
      <c r="AU226" s="165" t="s">
        <v>82</v>
      </c>
      <c r="AY226" s="14" t="s">
        <v>179</v>
      </c>
      <c r="BE226" s="166">
        <f t="shared" si="39"/>
        <v>0</v>
      </c>
      <c r="BF226" s="166">
        <f t="shared" si="40"/>
        <v>0</v>
      </c>
      <c r="BG226" s="166">
        <f t="shared" si="41"/>
        <v>0</v>
      </c>
      <c r="BH226" s="166">
        <f t="shared" si="42"/>
        <v>0</v>
      </c>
      <c r="BI226" s="166">
        <f t="shared" si="43"/>
        <v>0</v>
      </c>
      <c r="BJ226" s="14" t="s">
        <v>82</v>
      </c>
      <c r="BK226" s="166">
        <f t="shared" si="44"/>
        <v>0</v>
      </c>
      <c r="BL226" s="14" t="s">
        <v>185</v>
      </c>
      <c r="BM226" s="165" t="s">
        <v>478</v>
      </c>
    </row>
    <row r="227" spans="1:65" s="2" customFormat="1" ht="58.5" customHeight="1">
      <c r="A227" s="29"/>
      <c r="B227" s="152"/>
      <c r="C227" s="153" t="s">
        <v>471</v>
      </c>
      <c r="D227" s="153" t="s">
        <v>181</v>
      </c>
      <c r="E227" s="154" t="s">
        <v>2078</v>
      </c>
      <c r="F227" s="339" t="s">
        <v>3421</v>
      </c>
      <c r="G227" s="156" t="s">
        <v>217</v>
      </c>
      <c r="H227" s="157">
        <v>3</v>
      </c>
      <c r="I227" s="158"/>
      <c r="J227" s="151">
        <v>0</v>
      </c>
      <c r="K227" s="160"/>
      <c r="L227" s="30"/>
      <c r="M227" s="161" t="s">
        <v>1</v>
      </c>
      <c r="N227" s="162" t="s">
        <v>35</v>
      </c>
      <c r="O227" s="58"/>
      <c r="P227" s="163">
        <f t="shared" si="36"/>
        <v>0</v>
      </c>
      <c r="Q227" s="163">
        <v>0</v>
      </c>
      <c r="R227" s="163">
        <f t="shared" si="37"/>
        <v>0</v>
      </c>
      <c r="S227" s="163">
        <v>0</v>
      </c>
      <c r="T227" s="164">
        <f t="shared" si="38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65" t="s">
        <v>185</v>
      </c>
      <c r="AT227" s="165" t="s">
        <v>181</v>
      </c>
      <c r="AU227" s="165" t="s">
        <v>82</v>
      </c>
      <c r="AY227" s="14" t="s">
        <v>179</v>
      </c>
      <c r="BE227" s="166">
        <f t="shared" si="39"/>
        <v>0</v>
      </c>
      <c r="BF227" s="166">
        <f t="shared" si="40"/>
        <v>0</v>
      </c>
      <c r="BG227" s="166">
        <f t="shared" si="41"/>
        <v>0</v>
      </c>
      <c r="BH227" s="166">
        <f t="shared" si="42"/>
        <v>0</v>
      </c>
      <c r="BI227" s="166">
        <f t="shared" si="43"/>
        <v>0</v>
      </c>
      <c r="BJ227" s="14" t="s">
        <v>82</v>
      </c>
      <c r="BK227" s="166">
        <f t="shared" si="44"/>
        <v>0</v>
      </c>
      <c r="BL227" s="14" t="s">
        <v>185</v>
      </c>
      <c r="BM227" s="165" t="s">
        <v>482</v>
      </c>
    </row>
    <row r="228" spans="1:65" s="2" customFormat="1" ht="16.5" customHeight="1">
      <c r="A228" s="29"/>
      <c r="B228" s="152"/>
      <c r="C228" s="153" t="s">
        <v>333</v>
      </c>
      <c r="D228" s="153" t="s">
        <v>181</v>
      </c>
      <c r="E228" s="154" t="s">
        <v>2079</v>
      </c>
      <c r="F228" s="155" t="s">
        <v>1915</v>
      </c>
      <c r="G228" s="156" t="s">
        <v>217</v>
      </c>
      <c r="H228" s="157">
        <v>3</v>
      </c>
      <c r="I228" s="158"/>
      <c r="J228" s="151">
        <v>0</v>
      </c>
      <c r="K228" s="160"/>
      <c r="L228" s="30"/>
      <c r="M228" s="161" t="s">
        <v>1</v>
      </c>
      <c r="N228" s="162" t="s">
        <v>35</v>
      </c>
      <c r="O228" s="58"/>
      <c r="P228" s="163">
        <f t="shared" si="36"/>
        <v>0</v>
      </c>
      <c r="Q228" s="163">
        <v>0</v>
      </c>
      <c r="R228" s="163">
        <f t="shared" si="37"/>
        <v>0</v>
      </c>
      <c r="S228" s="163">
        <v>0</v>
      </c>
      <c r="T228" s="164">
        <f t="shared" si="38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65" t="s">
        <v>185</v>
      </c>
      <c r="AT228" s="165" t="s">
        <v>181</v>
      </c>
      <c r="AU228" s="165" t="s">
        <v>82</v>
      </c>
      <c r="AY228" s="14" t="s">
        <v>179</v>
      </c>
      <c r="BE228" s="166">
        <f t="shared" si="39"/>
        <v>0</v>
      </c>
      <c r="BF228" s="166">
        <f t="shared" si="40"/>
        <v>0</v>
      </c>
      <c r="BG228" s="166">
        <f t="shared" si="41"/>
        <v>0</v>
      </c>
      <c r="BH228" s="166">
        <f t="shared" si="42"/>
        <v>0</v>
      </c>
      <c r="BI228" s="166">
        <f t="shared" si="43"/>
        <v>0</v>
      </c>
      <c r="BJ228" s="14" t="s">
        <v>82</v>
      </c>
      <c r="BK228" s="166">
        <f t="shared" si="44"/>
        <v>0</v>
      </c>
      <c r="BL228" s="14" t="s">
        <v>185</v>
      </c>
      <c r="BM228" s="165" t="s">
        <v>485</v>
      </c>
    </row>
    <row r="229" spans="1:65" s="2" customFormat="1" ht="16.5" customHeight="1">
      <c r="A229" s="29"/>
      <c r="B229" s="152"/>
      <c r="C229" s="153" t="s">
        <v>479</v>
      </c>
      <c r="D229" s="153" t="s">
        <v>181</v>
      </c>
      <c r="E229" s="154" t="s">
        <v>2080</v>
      </c>
      <c r="F229" s="155" t="s">
        <v>1745</v>
      </c>
      <c r="G229" s="156" t="s">
        <v>585</v>
      </c>
      <c r="H229" s="178"/>
      <c r="I229" s="158"/>
      <c r="J229" s="151">
        <v>0</v>
      </c>
      <c r="K229" s="160"/>
      <c r="L229" s="30"/>
      <c r="M229" s="161" t="s">
        <v>1</v>
      </c>
      <c r="N229" s="162" t="s">
        <v>35</v>
      </c>
      <c r="O229" s="58"/>
      <c r="P229" s="163">
        <f t="shared" si="36"/>
        <v>0</v>
      </c>
      <c r="Q229" s="163">
        <v>0</v>
      </c>
      <c r="R229" s="163">
        <f t="shared" si="37"/>
        <v>0</v>
      </c>
      <c r="S229" s="163">
        <v>0</v>
      </c>
      <c r="T229" s="164">
        <f t="shared" si="38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65" t="s">
        <v>185</v>
      </c>
      <c r="AT229" s="165" t="s">
        <v>181</v>
      </c>
      <c r="AU229" s="165" t="s">
        <v>82</v>
      </c>
      <c r="AY229" s="14" t="s">
        <v>179</v>
      </c>
      <c r="BE229" s="166">
        <f t="shared" si="39"/>
        <v>0</v>
      </c>
      <c r="BF229" s="166">
        <f t="shared" si="40"/>
        <v>0</v>
      </c>
      <c r="BG229" s="166">
        <f t="shared" si="41"/>
        <v>0</v>
      </c>
      <c r="BH229" s="166">
        <f t="shared" si="42"/>
        <v>0</v>
      </c>
      <c r="BI229" s="166">
        <f t="shared" si="43"/>
        <v>0</v>
      </c>
      <c r="BJ229" s="14" t="s">
        <v>82</v>
      </c>
      <c r="BK229" s="166">
        <f t="shared" si="44"/>
        <v>0</v>
      </c>
      <c r="BL229" s="14" t="s">
        <v>185</v>
      </c>
      <c r="BM229" s="165" t="s">
        <v>489</v>
      </c>
    </row>
    <row r="230" spans="1:65" s="2" customFormat="1" ht="16.5" customHeight="1">
      <c r="A230" s="29"/>
      <c r="B230" s="152"/>
      <c r="C230" s="153" t="s">
        <v>336</v>
      </c>
      <c r="D230" s="153" t="s">
        <v>181</v>
      </c>
      <c r="E230" s="154" t="s">
        <v>2081</v>
      </c>
      <c r="F230" s="155" t="s">
        <v>1770</v>
      </c>
      <c r="G230" s="156" t="s">
        <v>1771</v>
      </c>
      <c r="H230" s="157">
        <v>1</v>
      </c>
      <c r="I230" s="158"/>
      <c r="J230" s="151">
        <v>0</v>
      </c>
      <c r="K230" s="160"/>
      <c r="L230" s="30"/>
      <c r="M230" s="161" t="s">
        <v>1</v>
      </c>
      <c r="N230" s="162" t="s">
        <v>35</v>
      </c>
      <c r="O230" s="58"/>
      <c r="P230" s="163">
        <f t="shared" si="36"/>
        <v>0</v>
      </c>
      <c r="Q230" s="163">
        <v>0</v>
      </c>
      <c r="R230" s="163">
        <f t="shared" si="37"/>
        <v>0</v>
      </c>
      <c r="S230" s="163">
        <v>0</v>
      </c>
      <c r="T230" s="164">
        <f t="shared" si="38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65" t="s">
        <v>185</v>
      </c>
      <c r="AT230" s="165" t="s">
        <v>181</v>
      </c>
      <c r="AU230" s="165" t="s">
        <v>82</v>
      </c>
      <c r="AY230" s="14" t="s">
        <v>179</v>
      </c>
      <c r="BE230" s="166">
        <f t="shared" si="39"/>
        <v>0</v>
      </c>
      <c r="BF230" s="166">
        <f t="shared" si="40"/>
        <v>0</v>
      </c>
      <c r="BG230" s="166">
        <f t="shared" si="41"/>
        <v>0</v>
      </c>
      <c r="BH230" s="166">
        <f t="shared" si="42"/>
        <v>0</v>
      </c>
      <c r="BI230" s="166">
        <f t="shared" si="43"/>
        <v>0</v>
      </c>
      <c r="BJ230" s="14" t="s">
        <v>82</v>
      </c>
      <c r="BK230" s="166">
        <f t="shared" si="44"/>
        <v>0</v>
      </c>
      <c r="BL230" s="14" t="s">
        <v>185</v>
      </c>
      <c r="BM230" s="165" t="s">
        <v>492</v>
      </c>
    </row>
    <row r="231" spans="1:65" s="2" customFormat="1" ht="16.5" customHeight="1">
      <c r="A231" s="29"/>
      <c r="B231" s="152"/>
      <c r="C231" s="153" t="s">
        <v>486</v>
      </c>
      <c r="D231" s="153" t="s">
        <v>181</v>
      </c>
      <c r="E231" s="154" t="s">
        <v>2082</v>
      </c>
      <c r="F231" s="155" t="s">
        <v>1774</v>
      </c>
      <c r="G231" s="156" t="s">
        <v>1771</v>
      </c>
      <c r="H231" s="157">
        <v>1</v>
      </c>
      <c r="I231" s="158"/>
      <c r="J231" s="151">
        <v>0</v>
      </c>
      <c r="K231" s="160"/>
      <c r="L231" s="30"/>
      <c r="M231" s="161" t="s">
        <v>1</v>
      </c>
      <c r="N231" s="162" t="s">
        <v>35</v>
      </c>
      <c r="O231" s="58"/>
      <c r="P231" s="163">
        <f t="shared" si="36"/>
        <v>0</v>
      </c>
      <c r="Q231" s="163">
        <v>0</v>
      </c>
      <c r="R231" s="163">
        <f t="shared" si="37"/>
        <v>0</v>
      </c>
      <c r="S231" s="163">
        <v>0</v>
      </c>
      <c r="T231" s="164">
        <f t="shared" si="38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65" t="s">
        <v>185</v>
      </c>
      <c r="AT231" s="165" t="s">
        <v>181</v>
      </c>
      <c r="AU231" s="165" t="s">
        <v>82</v>
      </c>
      <c r="AY231" s="14" t="s">
        <v>179</v>
      </c>
      <c r="BE231" s="166">
        <f t="shared" si="39"/>
        <v>0</v>
      </c>
      <c r="BF231" s="166">
        <f t="shared" si="40"/>
        <v>0</v>
      </c>
      <c r="BG231" s="166">
        <f t="shared" si="41"/>
        <v>0</v>
      </c>
      <c r="BH231" s="166">
        <f t="shared" si="42"/>
        <v>0</v>
      </c>
      <c r="BI231" s="166">
        <f t="shared" si="43"/>
        <v>0</v>
      </c>
      <c r="BJ231" s="14" t="s">
        <v>82</v>
      </c>
      <c r="BK231" s="166">
        <f t="shared" si="44"/>
        <v>0</v>
      </c>
      <c r="BL231" s="14" t="s">
        <v>185</v>
      </c>
      <c r="BM231" s="165" t="s">
        <v>496</v>
      </c>
    </row>
    <row r="232" spans="1:65" s="2" customFormat="1" ht="16.5" customHeight="1">
      <c r="A232" s="29"/>
      <c r="B232" s="152"/>
      <c r="C232" s="153" t="s">
        <v>340</v>
      </c>
      <c r="D232" s="153" t="s">
        <v>181</v>
      </c>
      <c r="E232" s="154" t="s">
        <v>2083</v>
      </c>
      <c r="F232" s="155" t="s">
        <v>1777</v>
      </c>
      <c r="G232" s="156" t="s">
        <v>1771</v>
      </c>
      <c r="H232" s="157">
        <v>1</v>
      </c>
      <c r="I232" s="158"/>
      <c r="J232" s="151">
        <v>0</v>
      </c>
      <c r="K232" s="160"/>
      <c r="L232" s="30"/>
      <c r="M232" s="161" t="s">
        <v>1</v>
      </c>
      <c r="N232" s="162" t="s">
        <v>35</v>
      </c>
      <c r="O232" s="58"/>
      <c r="P232" s="163">
        <f t="shared" si="36"/>
        <v>0</v>
      </c>
      <c r="Q232" s="163">
        <v>0</v>
      </c>
      <c r="R232" s="163">
        <f t="shared" si="37"/>
        <v>0</v>
      </c>
      <c r="S232" s="163">
        <v>0</v>
      </c>
      <c r="T232" s="164">
        <f t="shared" si="38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65" t="s">
        <v>185</v>
      </c>
      <c r="AT232" s="165" t="s">
        <v>181</v>
      </c>
      <c r="AU232" s="165" t="s">
        <v>82</v>
      </c>
      <c r="AY232" s="14" t="s">
        <v>179</v>
      </c>
      <c r="BE232" s="166">
        <f t="shared" si="39"/>
        <v>0</v>
      </c>
      <c r="BF232" s="166">
        <f t="shared" si="40"/>
        <v>0</v>
      </c>
      <c r="BG232" s="166">
        <f t="shared" si="41"/>
        <v>0</v>
      </c>
      <c r="BH232" s="166">
        <f t="shared" si="42"/>
        <v>0</v>
      </c>
      <c r="BI232" s="166">
        <f t="shared" si="43"/>
        <v>0</v>
      </c>
      <c r="BJ232" s="14" t="s">
        <v>82</v>
      </c>
      <c r="BK232" s="166">
        <f t="shared" si="44"/>
        <v>0</v>
      </c>
      <c r="BL232" s="14" t="s">
        <v>185</v>
      </c>
      <c r="BM232" s="165" t="s">
        <v>499</v>
      </c>
    </row>
    <row r="233" spans="1:65" s="2" customFormat="1" ht="16.5" customHeight="1">
      <c r="A233" s="29"/>
      <c r="B233" s="152"/>
      <c r="C233" s="153" t="s">
        <v>493</v>
      </c>
      <c r="D233" s="153" t="s">
        <v>181</v>
      </c>
      <c r="E233" s="154" t="s">
        <v>2084</v>
      </c>
      <c r="F233" s="155" t="s">
        <v>1780</v>
      </c>
      <c r="G233" s="156" t="s">
        <v>1771</v>
      </c>
      <c r="H233" s="157">
        <v>1</v>
      </c>
      <c r="I233" s="158"/>
      <c r="J233" s="151">
        <v>0</v>
      </c>
      <c r="K233" s="160"/>
      <c r="L233" s="30"/>
      <c r="M233" s="179" t="s">
        <v>1</v>
      </c>
      <c r="N233" s="180" t="s">
        <v>35</v>
      </c>
      <c r="O233" s="181"/>
      <c r="P233" s="182">
        <f t="shared" si="36"/>
        <v>0</v>
      </c>
      <c r="Q233" s="182">
        <v>0</v>
      </c>
      <c r="R233" s="182">
        <f t="shared" si="37"/>
        <v>0</v>
      </c>
      <c r="S233" s="182">
        <v>0</v>
      </c>
      <c r="T233" s="183">
        <f t="shared" si="38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65" t="s">
        <v>185</v>
      </c>
      <c r="AT233" s="165" t="s">
        <v>181</v>
      </c>
      <c r="AU233" s="165" t="s">
        <v>82</v>
      </c>
      <c r="AY233" s="14" t="s">
        <v>179</v>
      </c>
      <c r="BE233" s="166">
        <f t="shared" si="39"/>
        <v>0</v>
      </c>
      <c r="BF233" s="166">
        <f t="shared" si="40"/>
        <v>0</v>
      </c>
      <c r="BG233" s="166">
        <f t="shared" si="41"/>
        <v>0</v>
      </c>
      <c r="BH233" s="166">
        <f t="shared" si="42"/>
        <v>0</v>
      </c>
      <c r="BI233" s="166">
        <f t="shared" si="43"/>
        <v>0</v>
      </c>
      <c r="BJ233" s="14" t="s">
        <v>82</v>
      </c>
      <c r="BK233" s="166">
        <f t="shared" si="44"/>
        <v>0</v>
      </c>
      <c r="BL233" s="14" t="s">
        <v>185</v>
      </c>
      <c r="BM233" s="165" t="s">
        <v>503</v>
      </c>
    </row>
    <row r="234" spans="1:65" s="2" customFormat="1" ht="6.95" customHeight="1">
      <c r="A234" s="29"/>
      <c r="B234" s="47"/>
      <c r="C234" s="48"/>
      <c r="D234" s="48"/>
      <c r="E234" s="48"/>
      <c r="F234" s="48"/>
      <c r="G234" s="48"/>
      <c r="H234" s="48"/>
      <c r="I234" s="48"/>
      <c r="J234" s="48"/>
      <c r="K234" s="48"/>
      <c r="L234" s="30"/>
      <c r="M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</row>
  </sheetData>
  <autoFilter ref="C132:K233"/>
  <mergeCells count="12">
    <mergeCell ref="E125:H125"/>
    <mergeCell ref="L2:V2"/>
    <mergeCell ref="E85:H85"/>
    <mergeCell ref="E87:H87"/>
    <mergeCell ref="E89:H89"/>
    <mergeCell ref="E121:H121"/>
    <mergeCell ref="E123:H12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BE6A42C0D2D2B42B23C0DBEC6690C7A" ma:contentTypeVersion="5" ma:contentTypeDescription="Umožňuje vytvoriť nový dokument." ma:contentTypeScope="" ma:versionID="92f133573869d95d1164ce44524a6da8">
  <xsd:schema xmlns:xsd="http://www.w3.org/2001/XMLSchema" xmlns:xs="http://www.w3.org/2001/XMLSchema" xmlns:p="http://schemas.microsoft.com/office/2006/metadata/properties" xmlns:ns2="f5989147-848d-48d2-ae59-80d800a8233c" xmlns:ns3="7d7cdc55-6ebe-4ecb-a43c-ecb324da520f" targetNamespace="http://schemas.microsoft.com/office/2006/metadata/properties" ma:root="true" ma:fieldsID="46a66ee1878a78d8a247981f00274df4" ns2:_="" ns3:_="">
    <xsd:import namespace="f5989147-848d-48d2-ae59-80d800a8233c"/>
    <xsd:import namespace="7d7cdc55-6ebe-4ecb-a43c-ecb324da520f"/>
    <xsd:element name="properties">
      <xsd:complexType>
        <xsd:sequence>
          <xsd:element name="documentManagement">
            <xsd:complexType>
              <xsd:all>
                <xsd:element ref="ns2:Kraj" minOccurs="0"/>
                <xsd:element ref="ns3:SharedWithUsers" minOccurs="0"/>
                <xsd:element ref="ns3:SharedWithDetails" minOccurs="0"/>
                <xsd:element ref="ns2:D_x00e1_tum" minOccurs="0"/>
                <xsd:element ref="ns2:D_x00e1_tum_x0020__x00fa_prav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989147-848d-48d2-ae59-80d800a8233c" elementFormDefault="qualified">
    <xsd:import namespace="http://schemas.microsoft.com/office/2006/documentManagement/types"/>
    <xsd:import namespace="http://schemas.microsoft.com/office/infopath/2007/PartnerControls"/>
    <xsd:element name="Kraj" ma:index="8" nillable="true" ma:displayName="Kraj" ma:internalName="Kraj">
      <xsd:simpleType>
        <xsd:restriction base="dms:Text">
          <xsd:maxLength value="255"/>
        </xsd:restriction>
      </xsd:simpleType>
    </xsd:element>
    <xsd:element name="D_x00e1_tum" ma:index="11" nillable="true" ma:displayName="Dátum" ma:default="[today]" ma:format="DateOnly" ma:internalName="D_x00e1_tum">
      <xsd:simpleType>
        <xsd:restriction base="dms:DateTime"/>
      </xsd:simpleType>
    </xsd:element>
    <xsd:element name="D_x00e1_tum_x0020__x00fa_pravy" ma:index="12" nillable="true" ma:displayName="Dátum úpravy" ma:format="DateOnly" ma:internalName="D_x00e1_tum_x0020__x00fa_pravy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7cdc55-6ebe-4ecb-a43c-ecb324da520f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_x00e1_tum_x0020__x00fa_pravy xmlns="f5989147-848d-48d2-ae59-80d800a8233c" xsi:nil="true"/>
    <D_x00e1_tum xmlns="f5989147-848d-48d2-ae59-80d800a8233c">2026-02-11T08:21:02+00:00</D_x00e1_tum>
    <Kraj xmlns="f5989147-848d-48d2-ae59-80d800a8233c" xsi:nil="true"/>
  </documentManagement>
</p:properties>
</file>

<file path=customXml/itemProps1.xml><?xml version="1.0" encoding="utf-8"?>
<ds:datastoreItem xmlns:ds="http://schemas.openxmlformats.org/officeDocument/2006/customXml" ds:itemID="{8C762855-1B17-41BB-92F2-43B59A048A2A}"/>
</file>

<file path=customXml/itemProps2.xml><?xml version="1.0" encoding="utf-8"?>
<ds:datastoreItem xmlns:ds="http://schemas.openxmlformats.org/officeDocument/2006/customXml" ds:itemID="{5C24FEAA-04C9-4839-BF14-47A4B54C083F}"/>
</file>

<file path=customXml/itemProps3.xml><?xml version="1.0" encoding="utf-8"?>
<ds:datastoreItem xmlns:ds="http://schemas.openxmlformats.org/officeDocument/2006/customXml" ds:itemID="{0B5E2E38-ADF0-4D2B-A671-89F997906E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17</vt:i4>
      </vt:variant>
      <vt:variant>
        <vt:lpstr>Pomenované rozsahy</vt:lpstr>
      </vt:variant>
      <vt:variant>
        <vt:i4>32</vt:i4>
      </vt:variant>
    </vt:vector>
  </HeadingPairs>
  <TitlesOfParts>
    <vt:vector size="49" baseType="lpstr">
      <vt:lpstr>Rekapitulácia stavby</vt:lpstr>
      <vt:lpstr>E1.1,2 - Architektúra +  ...</vt:lpstr>
      <vt:lpstr>Legenda miestností_NP</vt:lpstr>
      <vt:lpstr>E1.3 - Zdravotechnika</vt:lpstr>
      <vt:lpstr>E1.5 - Plynoinštalácia</vt:lpstr>
      <vt:lpstr>E1.6-1 - ELI + MaR - DT01</vt:lpstr>
      <vt:lpstr>E1.6-3 - ELI + MaR - DT03</vt:lpstr>
      <vt:lpstr>E1.6-2A - ELI  MaR - DT02A</vt:lpstr>
      <vt:lpstr>E1.6-2B - ELI + MaR - DT02B</vt:lpstr>
      <vt:lpstr>E1.6-4 - ELI + MaR - PRIS4.1</vt:lpstr>
      <vt:lpstr>E1.4 - Technologia kotoln...</vt:lpstr>
      <vt:lpstr>E2.1 - SO 02.1  Búracie p...</vt:lpstr>
      <vt:lpstr>E2.1-A - Teplovod pre obj...</vt:lpstr>
      <vt:lpstr>E2.1-B - Teplovod pre obj...</vt:lpstr>
      <vt:lpstr>E2.1.-C - Teplovod pre ob...</vt:lpstr>
      <vt:lpstr>E2.1-Cz - Teplovod pre ob...</vt:lpstr>
      <vt:lpstr>E2.1-D - Teplovod pre obj...</vt:lpstr>
      <vt:lpstr>'E1.1,2 - Architektúra +  ...'!Názvy_tlače</vt:lpstr>
      <vt:lpstr>'E1.3 - Zdravotechnika'!Názvy_tlače</vt:lpstr>
      <vt:lpstr>'E1.4 - Technologia kotoln...'!Názvy_tlače</vt:lpstr>
      <vt:lpstr>'E1.5 - Plynoinštalácia'!Názvy_tlače</vt:lpstr>
      <vt:lpstr>'E1.6-1 - ELI + MaR - DT01'!Názvy_tlače</vt:lpstr>
      <vt:lpstr>'E1.6-2A - ELI  MaR - DT02A'!Názvy_tlače</vt:lpstr>
      <vt:lpstr>'E1.6-2B - ELI + MaR - DT02B'!Názvy_tlače</vt:lpstr>
      <vt:lpstr>'E1.6-3 - ELI + MaR - DT03'!Názvy_tlače</vt:lpstr>
      <vt:lpstr>'E1.6-4 - ELI + MaR - PRIS4.1'!Názvy_tlače</vt:lpstr>
      <vt:lpstr>'E2.1 - SO 02.1  Búracie p...'!Názvy_tlače</vt:lpstr>
      <vt:lpstr>'E2.1.-C - Teplovod pre ob...'!Názvy_tlače</vt:lpstr>
      <vt:lpstr>'E2.1-A - Teplovod pre obj...'!Názvy_tlače</vt:lpstr>
      <vt:lpstr>'E2.1-B - Teplovod pre obj...'!Názvy_tlače</vt:lpstr>
      <vt:lpstr>'E2.1-Cz - Teplovod pre ob...'!Názvy_tlače</vt:lpstr>
      <vt:lpstr>'E2.1-D - Teplovod pre obj...'!Názvy_tlače</vt:lpstr>
      <vt:lpstr>'Rekapitulácia stavby'!Názvy_tlače</vt:lpstr>
      <vt:lpstr>'E1.1,2 - Architektúra +  ...'!Oblasť_tlače</vt:lpstr>
      <vt:lpstr>'E1.3 - Zdravotechnika'!Oblasť_tlače</vt:lpstr>
      <vt:lpstr>'E1.4 - Technologia kotoln...'!Oblasť_tlače</vt:lpstr>
      <vt:lpstr>'E1.5 - Plynoinštalácia'!Oblasť_tlače</vt:lpstr>
      <vt:lpstr>'E1.6-1 - ELI + MaR - DT01'!Oblasť_tlače</vt:lpstr>
      <vt:lpstr>'E1.6-2A - ELI  MaR - DT02A'!Oblasť_tlače</vt:lpstr>
      <vt:lpstr>'E1.6-2B - ELI + MaR - DT02B'!Oblasť_tlače</vt:lpstr>
      <vt:lpstr>'E1.6-3 - ELI + MaR - DT03'!Oblasť_tlače</vt:lpstr>
      <vt:lpstr>'E1.6-4 - ELI + MaR - PRIS4.1'!Oblasť_tlače</vt:lpstr>
      <vt:lpstr>'E2.1 - SO 02.1  Búracie p...'!Oblasť_tlače</vt:lpstr>
      <vt:lpstr>'E2.1.-C - Teplovod pre ob...'!Oblasť_tlače</vt:lpstr>
      <vt:lpstr>'E2.1-A - Teplovod pre obj...'!Oblasť_tlače</vt:lpstr>
      <vt:lpstr>'E2.1-B - Teplovod pre obj...'!Oblasť_tlače</vt:lpstr>
      <vt:lpstr>'E2.1-Cz - Teplovod pre ob...'!Oblasť_tlače</vt:lpstr>
      <vt:lpstr>'E2.1-D - Teplovod pre obj...'!Oblasť_tlače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Fekete Forgacova</dc:creator>
  <cp:lastModifiedBy>Peter Matejovič</cp:lastModifiedBy>
  <cp:lastPrinted>2025-11-27T19:31:09Z</cp:lastPrinted>
  <dcterms:created xsi:type="dcterms:W3CDTF">2025-11-27T14:11:18Z</dcterms:created>
  <dcterms:modified xsi:type="dcterms:W3CDTF">2026-01-28T12:27:55Z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0x010100ABE6A42C0D2D2B42B23C0DBEC6690C7A</vt:lpwstr>
  </property>
</Properties>
</file>