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4808\Desktop\"/>
    </mc:Choice>
  </mc:AlternateContent>
  <xr:revisionPtr revIDLastSave="0" documentId="8_{4EBA5B13-E8EC-44DC-A8B6-A13E75FB56A7}" xr6:coauthVersionLast="47" xr6:coauthVersionMax="47" xr10:uidLastSave="{00000000-0000-0000-0000-000000000000}"/>
  <bookViews>
    <workbookView xWindow="-120" yWindow="-120" windowWidth="29040" windowHeight="15720" xr2:uid="{C8F732D6-F010-4961-BF7F-FB8F017DF2B8}"/>
  </bookViews>
  <sheets>
    <sheet name="RekapitulaciaStavby" sheetId="1" r:id="rId1"/>
    <sheet name="SupisPrac" sheetId="2" r:id="rId2"/>
    <sheet name="CastiStavby" sheetId="3" r:id="rId3"/>
    <sheet name="VV_001-00" sheetId="6" r:id="rId4"/>
    <sheet name="VV_101-00" sheetId="7" r:id="rId5"/>
    <sheet name="VV_201-00" sheetId="8" r:id="rId6"/>
    <sheet name="PopisPoloziek" sheetId="4" state="veryHidden" r:id="rId7"/>
  </sheets>
  <externalReferences>
    <externalReference r:id="rId8"/>
  </externalReferences>
  <definedNames>
    <definedName name="_xlnm.Print_Area" localSheetId="2">CastiStavby!$A$1:$J$183</definedName>
    <definedName name="_xlnm.Print_Area" localSheetId="0">RekapitulaciaStavby!$A$1:$G$19</definedName>
    <definedName name="_xlnm.Print_Area" localSheetId="1">SupisPrac!$A$1:$K$170</definedName>
    <definedName name="_xlnm.Print_Area" localSheetId="3">'VV_001-00'!$A$1:$H$89</definedName>
    <definedName name="_xlnm.Print_Area" localSheetId="4">'VV_101-00'!$A$1:$H$295</definedName>
    <definedName name="_xlnm.Print_Area" localSheetId="5">'VV_201-00'!$A$1:$H$1086</definedName>
  </definedNames>
  <calcPr calcId="191029" iterateCount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30" i="3" l="1"/>
  <c r="H89" i="3"/>
  <c r="I89" i="3" s="1"/>
  <c r="J89" i="3" s="1"/>
  <c r="H88" i="3"/>
  <c r="I88" i="3" s="1"/>
  <c r="J88" i="3" s="1"/>
  <c r="H87" i="3"/>
  <c r="I87" i="3" s="1"/>
  <c r="J87" i="3" s="1"/>
  <c r="A255" i="8" l="1"/>
  <c r="A251" i="8"/>
  <c r="A245" i="8"/>
  <c r="A238" i="8"/>
  <c r="H251" i="8"/>
  <c r="F132" i="7"/>
  <c r="H37" i="3"/>
  <c r="I37" i="3" s="1"/>
  <c r="J37" i="3" s="1"/>
  <c r="F123" i="7"/>
  <c r="H121" i="7" s="1"/>
  <c r="H120" i="7" s="1"/>
  <c r="F59" i="7" l="1"/>
  <c r="F62" i="7"/>
  <c r="F58" i="7"/>
  <c r="F618" i="8"/>
  <c r="F60" i="7" l="1"/>
  <c r="F1081" i="8"/>
  <c r="F1080" i="8"/>
  <c r="F1079" i="8"/>
  <c r="F1078" i="8"/>
  <c r="F1077" i="8"/>
  <c r="F1076" i="8"/>
  <c r="F1075" i="8"/>
  <c r="F1070" i="8"/>
  <c r="F1069" i="8"/>
  <c r="F1068" i="8"/>
  <c r="F1067" i="8"/>
  <c r="F1066" i="8"/>
  <c r="F1065" i="8"/>
  <c r="F1063" i="8"/>
  <c r="F1057" i="8"/>
  <c r="F1056" i="8"/>
  <c r="F1054" i="8"/>
  <c r="F1053" i="8"/>
  <c r="F1049" i="8"/>
  <c r="F1048" i="8"/>
  <c r="F1047" i="8"/>
  <c r="F1041" i="8"/>
  <c r="H1039" i="8" s="1"/>
  <c r="H1038" i="8" s="1"/>
  <c r="F1036" i="8"/>
  <c r="F1035" i="8"/>
  <c r="F1031" i="8"/>
  <c r="H1029" i="8" s="1"/>
  <c r="H1028" i="8" s="1"/>
  <c r="F1027" i="8"/>
  <c r="H1026" i="8" s="1"/>
  <c r="H1025" i="8" s="1"/>
  <c r="F1023" i="8"/>
  <c r="F1022" i="8"/>
  <c r="F1021" i="8"/>
  <c r="F1016" i="8"/>
  <c r="F1015" i="8"/>
  <c r="F1014" i="8"/>
  <c r="F1013" i="8"/>
  <c r="F1011" i="8"/>
  <c r="F1009" i="8"/>
  <c r="F1008" i="8"/>
  <c r="F1005" i="8"/>
  <c r="F1004" i="8"/>
  <c r="F1000" i="8"/>
  <c r="F999" i="8"/>
  <c r="F998" i="8"/>
  <c r="F997" i="8"/>
  <c r="F992" i="8"/>
  <c r="F991" i="8"/>
  <c r="F990" i="8"/>
  <c r="F980" i="8"/>
  <c r="H978" i="8"/>
  <c r="H977" i="8" s="1"/>
  <c r="F975" i="8"/>
  <c r="F974" i="8"/>
  <c r="F973" i="8"/>
  <c r="F960" i="8"/>
  <c r="F959" i="8"/>
  <c r="F958" i="8"/>
  <c r="F946" i="8"/>
  <c r="F945" i="8"/>
  <c r="F939" i="8"/>
  <c r="H937" i="8" s="1"/>
  <c r="H936" i="8" s="1"/>
  <c r="F934" i="8"/>
  <c r="H932" i="8" s="1"/>
  <c r="H931" i="8" s="1"/>
  <c r="H928" i="8"/>
  <c r="H927" i="8" s="1"/>
  <c r="F922" i="8"/>
  <c r="H919" i="8" s="1"/>
  <c r="H918" i="8" s="1"/>
  <c r="F916" i="8"/>
  <c r="F914" i="8"/>
  <c r="F909" i="8"/>
  <c r="H907" i="8" s="1"/>
  <c r="F902" i="8"/>
  <c r="F905" i="8" s="1"/>
  <c r="F899" i="8"/>
  <c r="F898" i="8"/>
  <c r="F893" i="8"/>
  <c r="F892" i="8"/>
  <c r="F888" i="8"/>
  <c r="F886" i="8"/>
  <c r="F879" i="8"/>
  <c r="F878" i="8"/>
  <c r="F880" i="8" s="1"/>
  <c r="H876" i="8" s="1"/>
  <c r="H875" i="8" s="1"/>
  <c r="F874" i="8"/>
  <c r="H873" i="8" s="1"/>
  <c r="H872" i="8" s="1"/>
  <c r="F870" i="8"/>
  <c r="F868" i="8"/>
  <c r="F866" i="8"/>
  <c r="F864" i="8"/>
  <c r="F859" i="8"/>
  <c r="H857" i="8" s="1"/>
  <c r="H856" i="8" s="1"/>
  <c r="F855" i="8"/>
  <c r="H854" i="8" s="1"/>
  <c r="H853" i="8" s="1"/>
  <c r="F851" i="8"/>
  <c r="F850" i="8"/>
  <c r="F844" i="8"/>
  <c r="F843" i="8"/>
  <c r="F841" i="8"/>
  <c r="F838" i="8"/>
  <c r="F837" i="8"/>
  <c r="F833" i="8"/>
  <c r="H832" i="8" s="1"/>
  <c r="H831" i="8" s="1"/>
  <c r="F828" i="8"/>
  <c r="F826" i="8"/>
  <c r="F822" i="8"/>
  <c r="F820" i="8"/>
  <c r="F815" i="8"/>
  <c r="H813" i="8" s="1"/>
  <c r="H812" i="8" s="1"/>
  <c r="F810" i="8"/>
  <c r="F807" i="8"/>
  <c r="F803" i="8"/>
  <c r="H800" i="8" s="1"/>
  <c r="H799" i="8" s="1"/>
  <c r="F795" i="8"/>
  <c r="F793" i="8"/>
  <c r="H777" i="8"/>
  <c r="H776" i="8" s="1"/>
  <c r="F774" i="8"/>
  <c r="F772" i="8"/>
  <c r="F760" i="8"/>
  <c r="F759" i="8"/>
  <c r="F758" i="8"/>
  <c r="F757" i="8"/>
  <c r="F755" i="8"/>
  <c r="F754" i="8"/>
  <c r="F748" i="8"/>
  <c r="F747" i="8"/>
  <c r="F746" i="8"/>
  <c r="F741" i="8"/>
  <c r="F740" i="8"/>
  <c r="F736" i="8"/>
  <c r="F735" i="8"/>
  <c r="F732" i="8"/>
  <c r="F731" i="8"/>
  <c r="F727" i="8"/>
  <c r="H724" i="8" s="1"/>
  <c r="H723" i="8" s="1"/>
  <c r="F721" i="8"/>
  <c r="F720" i="8"/>
  <c r="F714" i="8"/>
  <c r="F713" i="8"/>
  <c r="F708" i="8"/>
  <c r="F707" i="8"/>
  <c r="F701" i="8"/>
  <c r="H697" i="8" s="1"/>
  <c r="H696" i="8" s="1"/>
  <c r="F693" i="8"/>
  <c r="F690" i="8"/>
  <c r="F689" i="8"/>
  <c r="F685" i="8"/>
  <c r="H683" i="8" s="1"/>
  <c r="H682" i="8" s="1"/>
  <c r="F680" i="8"/>
  <c r="F678" i="8"/>
  <c r="F676" i="8"/>
  <c r="F672" i="8"/>
  <c r="H670" i="8" s="1"/>
  <c r="H669" i="8" s="1"/>
  <c r="F661" i="8"/>
  <c r="F662" i="8" s="1"/>
  <c r="H658" i="8" s="1"/>
  <c r="F653" i="8"/>
  <c r="F654" i="8" s="1"/>
  <c r="H650" i="8" s="1"/>
  <c r="F648" i="8"/>
  <c r="H644" i="8" s="1"/>
  <c r="H643" i="8" s="1"/>
  <c r="F641" i="8"/>
  <c r="F640" i="8"/>
  <c r="F638" i="8"/>
  <c r="F636" i="8"/>
  <c r="F635" i="8"/>
  <c r="F634" i="8"/>
  <c r="F631" i="8"/>
  <c r="H617" i="8" s="1"/>
  <c r="H616" i="8" s="1"/>
  <c r="H614" i="8"/>
  <c r="H612" i="8"/>
  <c r="H610" i="8"/>
  <c r="H608" i="8"/>
  <c r="H605" i="8"/>
  <c r="H604" i="8" s="1"/>
  <c r="F601" i="8"/>
  <c r="F600" i="8"/>
  <c r="F598" i="8"/>
  <c r="F597" i="8"/>
  <c r="F587" i="8"/>
  <c r="F582" i="8"/>
  <c r="F581" i="8"/>
  <c r="F579" i="8"/>
  <c r="F574" i="8"/>
  <c r="F572" i="8"/>
  <c r="F562" i="8"/>
  <c r="F559" i="8"/>
  <c r="F553" i="8"/>
  <c r="F552" i="8"/>
  <c r="H547" i="8"/>
  <c r="H546" i="8" s="1"/>
  <c r="F544" i="8"/>
  <c r="F543" i="8"/>
  <c r="F542" i="8"/>
  <c r="F541" i="8"/>
  <c r="F539" i="8"/>
  <c r="F533" i="8"/>
  <c r="F531" i="8"/>
  <c r="F529" i="8"/>
  <c r="F524" i="8"/>
  <c r="F522" i="8"/>
  <c r="H514" i="8"/>
  <c r="F506" i="8"/>
  <c r="F505" i="8"/>
  <c r="F494" i="8"/>
  <c r="F493" i="8"/>
  <c r="F492" i="8"/>
  <c r="F491" i="8"/>
  <c r="F484" i="8"/>
  <c r="F483" i="8"/>
  <c r="F482" i="8"/>
  <c r="F481" i="8"/>
  <c r="F478" i="8"/>
  <c r="F477" i="8"/>
  <c r="F464" i="8"/>
  <c r="F462" i="8"/>
  <c r="F460" i="8"/>
  <c r="F458" i="8"/>
  <c r="F454" i="8"/>
  <c r="F452" i="8"/>
  <c r="F446" i="8"/>
  <c r="F444" i="8"/>
  <c r="F442" i="8"/>
  <c r="F440" i="8"/>
  <c r="F434" i="8"/>
  <c r="F432" i="8"/>
  <c r="F427" i="8"/>
  <c r="H425" i="8" s="1"/>
  <c r="F424" i="8"/>
  <c r="H423" i="8" s="1"/>
  <c r="F420" i="8"/>
  <c r="F421" i="8" s="1"/>
  <c r="H418" i="8" s="1"/>
  <c r="F412" i="8"/>
  <c r="F417" i="8" s="1"/>
  <c r="H410" i="8" s="1"/>
  <c r="F407" i="8"/>
  <c r="F406" i="8"/>
  <c r="F404" i="8"/>
  <c r="F402" i="8"/>
  <c r="F400" i="8"/>
  <c r="F398" i="8"/>
  <c r="F393" i="8"/>
  <c r="F394" i="8" s="1"/>
  <c r="H391" i="8" s="1"/>
  <c r="F389" i="8"/>
  <c r="F387" i="8"/>
  <c r="F384" i="8"/>
  <c r="F383" i="8"/>
  <c r="F379" i="8"/>
  <c r="H376" i="8" s="1"/>
  <c r="H375" i="8" s="1"/>
  <c r="F373" i="8"/>
  <c r="F371" i="8"/>
  <c r="F367" i="8"/>
  <c r="H361" i="8" s="1"/>
  <c r="H360" i="8" s="1"/>
  <c r="F358" i="8"/>
  <c r="F356" i="8"/>
  <c r="F350" i="8"/>
  <c r="F348" i="8"/>
  <c r="F345" i="8"/>
  <c r="F344" i="8"/>
  <c r="F341" i="8"/>
  <c r="F340" i="8"/>
  <c r="F338" i="8"/>
  <c r="F335" i="8"/>
  <c r="F334" i="8"/>
  <c r="F333" i="8"/>
  <c r="F332" i="8"/>
  <c r="F328" i="8"/>
  <c r="F327" i="8"/>
  <c r="F322" i="8"/>
  <c r="F321" i="8"/>
  <c r="F319" i="8"/>
  <c r="H317" i="8" s="1"/>
  <c r="F314" i="8"/>
  <c r="F313" i="8"/>
  <c r="F312" i="8"/>
  <c r="F311" i="8"/>
  <c r="F307" i="8"/>
  <c r="H306" i="8" s="1"/>
  <c r="H305" i="8" s="1"/>
  <c r="F303" i="8"/>
  <c r="H302" i="8" s="1"/>
  <c r="H301" i="8" s="1"/>
  <c r="F299" i="8"/>
  <c r="F298" i="8"/>
  <c r="F296" i="8"/>
  <c r="F291" i="8"/>
  <c r="H290" i="8" s="1"/>
  <c r="H289" i="8" s="1"/>
  <c r="H287" i="8"/>
  <c r="H286" i="8" s="1"/>
  <c r="F285" i="8"/>
  <c r="H283" i="8" s="1"/>
  <c r="H282" i="8" s="1"/>
  <c r="F279" i="8"/>
  <c r="F278" i="8"/>
  <c r="F277" i="8"/>
  <c r="F276" i="8"/>
  <c r="F271" i="8"/>
  <c r="F270" i="8"/>
  <c r="F269" i="8"/>
  <c r="F265" i="8"/>
  <c r="F264" i="8"/>
  <c r="F263" i="8"/>
  <c r="F262" i="8"/>
  <c r="F261" i="8"/>
  <c r="F260" i="8"/>
  <c r="F258" i="8"/>
  <c r="F254" i="8"/>
  <c r="H252" i="8" s="1"/>
  <c r="F249" i="8"/>
  <c r="F248" i="8"/>
  <c r="F243" i="8"/>
  <c r="F241" i="8"/>
  <c r="F235" i="8"/>
  <c r="F234" i="8"/>
  <c r="F233" i="8"/>
  <c r="F230" i="8"/>
  <c r="F228" i="8"/>
  <c r="F224" i="8"/>
  <c r="H223" i="8" s="1"/>
  <c r="H222" i="8" s="1"/>
  <c r="F218" i="8"/>
  <c r="F221" i="8" s="1"/>
  <c r="H217" i="8" s="1"/>
  <c r="F215" i="8"/>
  <c r="H213" i="8" s="1"/>
  <c r="F209" i="8"/>
  <c r="F208" i="8"/>
  <c r="F204" i="8"/>
  <c r="F203" i="8"/>
  <c r="F199" i="8"/>
  <c r="H197" i="8" s="1"/>
  <c r="F195" i="8"/>
  <c r="F193" i="8"/>
  <c r="F192" i="8"/>
  <c r="F188" i="8"/>
  <c r="F187" i="8"/>
  <c r="F183" i="8"/>
  <c r="H180" i="8" s="1"/>
  <c r="H179" i="8" s="1"/>
  <c r="F177" i="8"/>
  <c r="F175" i="8"/>
  <c r="F170" i="8"/>
  <c r="F169" i="8"/>
  <c r="F168" i="8"/>
  <c r="F162" i="8"/>
  <c r="F161" i="8"/>
  <c r="F160" i="8"/>
  <c r="F157" i="8"/>
  <c r="F156" i="8"/>
  <c r="F155" i="8"/>
  <c r="F148" i="8"/>
  <c r="F147" i="8"/>
  <c r="F143" i="8"/>
  <c r="F142" i="8"/>
  <c r="F141" i="8"/>
  <c r="F139" i="8"/>
  <c r="F138" i="8"/>
  <c r="F137" i="8"/>
  <c r="F136" i="8"/>
  <c r="F135" i="8"/>
  <c r="F134" i="8"/>
  <c r="F132" i="8"/>
  <c r="F130" i="8"/>
  <c r="F129" i="8"/>
  <c r="F128" i="8"/>
  <c r="F127" i="8"/>
  <c r="F126" i="8"/>
  <c r="F122" i="8"/>
  <c r="H119" i="8" s="1"/>
  <c r="H118" i="8" s="1"/>
  <c r="F114" i="8"/>
  <c r="F116" i="8" s="1"/>
  <c r="F112" i="8"/>
  <c r="F107" i="8"/>
  <c r="H103" i="8" s="1"/>
  <c r="H102" i="8" s="1"/>
  <c r="F100" i="8"/>
  <c r="F99" i="8"/>
  <c r="F95" i="8"/>
  <c r="H85" i="8" s="1"/>
  <c r="H84" i="8" s="1"/>
  <c r="F81" i="8"/>
  <c r="F80" i="8"/>
  <c r="F78" i="8"/>
  <c r="F77" i="8"/>
  <c r="F72" i="8"/>
  <c r="H69" i="8" s="1"/>
  <c r="H68" i="8" s="1"/>
  <c r="F65" i="8"/>
  <c r="F64" i="8"/>
  <c r="F62" i="8"/>
  <c r="F57" i="8"/>
  <c r="H54" i="8" s="1"/>
  <c r="H53" i="8" s="1"/>
  <c r="F51" i="8"/>
  <c r="F49" i="8"/>
  <c r="F48" i="8"/>
  <c r="F47" i="8"/>
  <c r="F41" i="8"/>
  <c r="F40" i="8"/>
  <c r="F37" i="8"/>
  <c r="F36" i="8"/>
  <c r="F34" i="8"/>
  <c r="F32" i="8"/>
  <c r="F25" i="8"/>
  <c r="F23" i="8"/>
  <c r="F18" i="8"/>
  <c r="F16" i="8"/>
  <c r="F14" i="8"/>
  <c r="F12" i="8"/>
  <c r="A9" i="8"/>
  <c r="F292" i="7"/>
  <c r="H289" i="7" s="1"/>
  <c r="H288" i="7" s="1"/>
  <c r="H285" i="7"/>
  <c r="H284" i="7" s="1"/>
  <c r="F283" i="7"/>
  <c r="H282" i="7" s="1"/>
  <c r="H281" i="7" s="1"/>
  <c r="F279" i="7"/>
  <c r="F278" i="7"/>
  <c r="F273" i="7"/>
  <c r="F272" i="7"/>
  <c r="F268" i="7"/>
  <c r="F266" i="7"/>
  <c r="F261" i="7"/>
  <c r="H257" i="7" s="1"/>
  <c r="H256" i="7" s="1"/>
  <c r="H254" i="7"/>
  <c r="H253" i="7" s="1"/>
  <c r="F252" i="7"/>
  <c r="H249" i="7" s="1"/>
  <c r="H248" i="7" s="1"/>
  <c r="F247" i="7"/>
  <c r="H244" i="7" s="1"/>
  <c r="H243" i="7" s="1"/>
  <c r="H241" i="7"/>
  <c r="H240" i="7" s="1"/>
  <c r="F239" i="7"/>
  <c r="H236" i="7" s="1"/>
  <c r="H235" i="7" s="1"/>
  <c r="F233" i="7"/>
  <c r="H227" i="7" s="1"/>
  <c r="H226" i="7" s="1"/>
  <c r="F225" i="7"/>
  <c r="H220" i="7" s="1"/>
  <c r="H219" i="7" s="1"/>
  <c r="F217" i="7"/>
  <c r="F210" i="7"/>
  <c r="F201" i="7"/>
  <c r="H193" i="7" s="1"/>
  <c r="H192" i="7" s="1"/>
  <c r="F190" i="7"/>
  <c r="F186" i="7"/>
  <c r="F179" i="7"/>
  <c r="F178" i="7"/>
  <c r="F177" i="7"/>
  <c r="F172" i="7"/>
  <c r="F171" i="7"/>
  <c r="F168" i="7"/>
  <c r="H166" i="7" s="1"/>
  <c r="F162" i="7"/>
  <c r="F161" i="7"/>
  <c r="F157" i="7"/>
  <c r="H154" i="7" s="1"/>
  <c r="H153" i="7" s="1"/>
  <c r="F151" i="7"/>
  <c r="H149" i="7" s="1"/>
  <c r="H148" i="7" s="1"/>
  <c r="F139" i="7"/>
  <c r="H134" i="7" s="1"/>
  <c r="H133" i="7" s="1"/>
  <c r="H125" i="7"/>
  <c r="H124" i="7" s="1"/>
  <c r="F118" i="7"/>
  <c r="F145" i="7" s="1"/>
  <c r="F117" i="7"/>
  <c r="F144" i="7" s="1"/>
  <c r="F116" i="7"/>
  <c r="F143" i="7" s="1"/>
  <c r="F108" i="7"/>
  <c r="H107" i="7" s="1"/>
  <c r="F103" i="7"/>
  <c r="H102" i="7" s="1"/>
  <c r="F99" i="7"/>
  <c r="H98" i="7" s="1"/>
  <c r="H97" i="7" s="1"/>
  <c r="F96" i="7"/>
  <c r="H93" i="7" s="1"/>
  <c r="F89" i="7"/>
  <c r="F91" i="7" s="1"/>
  <c r="F86" i="7"/>
  <c r="F85" i="7"/>
  <c r="F78" i="7"/>
  <c r="F81" i="7" s="1"/>
  <c r="H77" i="7" s="1"/>
  <c r="H76" i="7" s="1"/>
  <c r="F75" i="7"/>
  <c r="H74" i="7" s="1"/>
  <c r="F72" i="7"/>
  <c r="F71" i="7"/>
  <c r="F68" i="7"/>
  <c r="F67" i="7"/>
  <c r="F66" i="7"/>
  <c r="F56" i="7"/>
  <c r="F53" i="7"/>
  <c r="F52" i="7"/>
  <c r="F51" i="7"/>
  <c r="F50" i="7"/>
  <c r="H45" i="7"/>
  <c r="H44" i="7"/>
  <c r="F41" i="7"/>
  <c r="F40" i="7"/>
  <c r="F34" i="7"/>
  <c r="H29" i="7"/>
  <c r="H28" i="7" s="1"/>
  <c r="H25" i="7"/>
  <c r="H24" i="7" s="1"/>
  <c r="H21" i="7"/>
  <c r="H20" i="7" s="1"/>
  <c r="F19" i="7"/>
  <c r="H18" i="7" s="1"/>
  <c r="H17" i="7" s="1"/>
  <c r="F16" i="7"/>
  <c r="H15" i="7" s="1"/>
  <c r="H14" i="7" s="1"/>
  <c r="F13" i="7"/>
  <c r="H11" i="7" s="1"/>
  <c r="H10" i="7" s="1"/>
  <c r="A10" i="7"/>
  <c r="H81" i="6"/>
  <c r="H79" i="6"/>
  <c r="H78" i="6"/>
  <c r="H76" i="6"/>
  <c r="H75" i="6"/>
  <c r="F71" i="6"/>
  <c r="F70" i="6"/>
  <c r="F73" i="6" s="1"/>
  <c r="F74" i="6" s="1"/>
  <c r="H67" i="6" s="1"/>
  <c r="H66" i="6" s="1"/>
  <c r="F63" i="6"/>
  <c r="F61" i="6"/>
  <c r="F59" i="6"/>
  <c r="F57" i="6"/>
  <c r="F55" i="6"/>
  <c r="F53" i="6"/>
  <c r="F51" i="6"/>
  <c r="F64" i="6" s="1"/>
  <c r="F65" i="6" s="1"/>
  <c r="H39" i="6" s="1"/>
  <c r="H38" i="6" s="1"/>
  <c r="F49" i="6"/>
  <c r="F47" i="6"/>
  <c r="F43" i="6"/>
  <c r="H35" i="6"/>
  <c r="H33" i="6"/>
  <c r="H32" i="6"/>
  <c r="H30" i="6"/>
  <c r="H29" i="6" s="1"/>
  <c r="F28" i="6"/>
  <c r="H27" i="6"/>
  <c r="H26" i="6" s="1"/>
  <c r="F24" i="6"/>
  <c r="F23" i="6"/>
  <c r="F19" i="6"/>
  <c r="F18" i="6"/>
  <c r="H12" i="6"/>
  <c r="A12" i="6"/>
  <c r="H10" i="6"/>
  <c r="A10" i="6"/>
  <c r="J6" i="2"/>
  <c r="K6" i="2" s="1"/>
  <c r="J7" i="2"/>
  <c r="K7" i="2" s="1"/>
  <c r="J8" i="2"/>
  <c r="K8" i="2" s="1"/>
  <c r="J9" i="2"/>
  <c r="K9" i="2" s="1"/>
  <c r="J10" i="2"/>
  <c r="K10" i="2" s="1"/>
  <c r="J11" i="2"/>
  <c r="K11" i="2" s="1"/>
  <c r="J12" i="2"/>
  <c r="K12" i="2" s="1"/>
  <c r="J13" i="2"/>
  <c r="K13" i="2" s="1"/>
  <c r="J14" i="2"/>
  <c r="K14" i="2" s="1"/>
  <c r="J15" i="2"/>
  <c r="K15" i="2" s="1"/>
  <c r="J16" i="2"/>
  <c r="K16" i="2" s="1"/>
  <c r="J17" i="2"/>
  <c r="K17" i="2" s="1"/>
  <c r="J18" i="2"/>
  <c r="K18" i="2" s="1"/>
  <c r="J19" i="2"/>
  <c r="K19" i="2" s="1"/>
  <c r="J20" i="2"/>
  <c r="K20" i="2" s="1"/>
  <c r="J21" i="2"/>
  <c r="K21" i="2" s="1"/>
  <c r="J22" i="2"/>
  <c r="K22" i="2" s="1"/>
  <c r="J23" i="2"/>
  <c r="K23" i="2" s="1"/>
  <c r="J24" i="2"/>
  <c r="K24" i="2" s="1"/>
  <c r="J25" i="2"/>
  <c r="K25" i="2" s="1"/>
  <c r="J26" i="2"/>
  <c r="K26" i="2" s="1"/>
  <c r="J27" i="2"/>
  <c r="K27" i="2" s="1"/>
  <c r="J28" i="2"/>
  <c r="K28" i="2" s="1"/>
  <c r="J29" i="2"/>
  <c r="K29" i="2" s="1"/>
  <c r="J30" i="2"/>
  <c r="K30" i="2" s="1"/>
  <c r="J31" i="2"/>
  <c r="K31" i="2" s="1"/>
  <c r="J32" i="2"/>
  <c r="K32" i="2" s="1"/>
  <c r="J33" i="2"/>
  <c r="K33" i="2" s="1"/>
  <c r="J34" i="2"/>
  <c r="K34" i="2" s="1"/>
  <c r="J35" i="2"/>
  <c r="K35" i="2" s="1"/>
  <c r="J36" i="2"/>
  <c r="K36" i="2" s="1"/>
  <c r="J37" i="2"/>
  <c r="K37" i="2" s="1"/>
  <c r="J38" i="2"/>
  <c r="K38" i="2" s="1"/>
  <c r="J39" i="2"/>
  <c r="K39" i="2" s="1"/>
  <c r="J40" i="2"/>
  <c r="K40" i="2" s="1"/>
  <c r="J41" i="2"/>
  <c r="K41" i="2" s="1"/>
  <c r="J42" i="2"/>
  <c r="K42" i="2" s="1"/>
  <c r="J43" i="2"/>
  <c r="K43" i="2" s="1"/>
  <c r="J44" i="2"/>
  <c r="K44" i="2" s="1"/>
  <c r="J45" i="2"/>
  <c r="K45" i="2" s="1"/>
  <c r="J50" i="2"/>
  <c r="K50" i="2" s="1"/>
  <c r="J51" i="2"/>
  <c r="K51" i="2" s="1"/>
  <c r="J52" i="2"/>
  <c r="K52" i="2" s="1"/>
  <c r="J53" i="2"/>
  <c r="K53" i="2" s="1"/>
  <c r="J54" i="2"/>
  <c r="K54" i="2" s="1"/>
  <c r="J55" i="2"/>
  <c r="K55" i="2" s="1"/>
  <c r="J56" i="2"/>
  <c r="K56" i="2" s="1"/>
  <c r="J57" i="2"/>
  <c r="K57" i="2" s="1"/>
  <c r="J58" i="2"/>
  <c r="K58" i="2" s="1"/>
  <c r="J59" i="2"/>
  <c r="K59" i="2" s="1"/>
  <c r="J60" i="2"/>
  <c r="K60" i="2" s="1"/>
  <c r="J61" i="2"/>
  <c r="K61" i="2" s="1"/>
  <c r="J62" i="2"/>
  <c r="K62" i="2" s="1"/>
  <c r="J64" i="2"/>
  <c r="K64" i="2" s="1"/>
  <c r="J65" i="2"/>
  <c r="K65" i="2" s="1"/>
  <c r="J66" i="2"/>
  <c r="K66" i="2" s="1"/>
  <c r="J67" i="2"/>
  <c r="K67" i="2" s="1"/>
  <c r="J68" i="2"/>
  <c r="K68" i="2" s="1"/>
  <c r="J69" i="2"/>
  <c r="K69" i="2" s="1"/>
  <c r="J70" i="2"/>
  <c r="K70" i="2" s="1"/>
  <c r="J71" i="2"/>
  <c r="K71" i="2" s="1"/>
  <c r="J72" i="2"/>
  <c r="K72" i="2" s="1"/>
  <c r="J73" i="2"/>
  <c r="K73" i="2" s="1"/>
  <c r="J74" i="2"/>
  <c r="K74" i="2" s="1"/>
  <c r="J75" i="2"/>
  <c r="K75" i="2" s="1"/>
  <c r="J76" i="2"/>
  <c r="K76" i="2" s="1"/>
  <c r="J77" i="2"/>
  <c r="K77" i="2" s="1"/>
  <c r="J78" i="2"/>
  <c r="K78" i="2" s="1"/>
  <c r="J79" i="2"/>
  <c r="K79" i="2" s="1"/>
  <c r="J80" i="2"/>
  <c r="K80" i="2" s="1"/>
  <c r="J81" i="2"/>
  <c r="K81" i="2" s="1"/>
  <c r="J82" i="2"/>
  <c r="K82" i="2" s="1"/>
  <c r="J83" i="2"/>
  <c r="K83" i="2" s="1"/>
  <c r="J84" i="2"/>
  <c r="K84" i="2" s="1"/>
  <c r="J85" i="2"/>
  <c r="K85" i="2" s="1"/>
  <c r="J86" i="2"/>
  <c r="K86" i="2" s="1"/>
  <c r="J87" i="2"/>
  <c r="K87" i="2" s="1"/>
  <c r="J88" i="2"/>
  <c r="K88" i="2" s="1"/>
  <c r="J89" i="2"/>
  <c r="K89" i="2" s="1"/>
  <c r="J90" i="2"/>
  <c r="K90" i="2" s="1"/>
  <c r="J91" i="2"/>
  <c r="K91" i="2" s="1"/>
  <c r="J92" i="2"/>
  <c r="K92" i="2" s="1"/>
  <c r="J93" i="2"/>
  <c r="K93" i="2" s="1"/>
  <c r="J94" i="2"/>
  <c r="K94" i="2" s="1"/>
  <c r="J95" i="2"/>
  <c r="K95" i="2" s="1"/>
  <c r="J96" i="2"/>
  <c r="K96" i="2" s="1"/>
  <c r="J97" i="2"/>
  <c r="K97" i="2" s="1"/>
  <c r="J98" i="2"/>
  <c r="K98" i="2" s="1"/>
  <c r="J99" i="2"/>
  <c r="K99" i="2" s="1"/>
  <c r="J100" i="2"/>
  <c r="K100" i="2" s="1"/>
  <c r="J101" i="2"/>
  <c r="K101" i="2" s="1"/>
  <c r="J102" i="2"/>
  <c r="K102" i="2" s="1"/>
  <c r="J103" i="2"/>
  <c r="K103" i="2" s="1"/>
  <c r="J104" i="2"/>
  <c r="K104" i="2" s="1"/>
  <c r="J105" i="2"/>
  <c r="K105" i="2" s="1"/>
  <c r="J106" i="2"/>
  <c r="K106" i="2" s="1"/>
  <c r="J107" i="2"/>
  <c r="K107" i="2" s="1"/>
  <c r="J108" i="2"/>
  <c r="K108" i="2" s="1"/>
  <c r="J109" i="2"/>
  <c r="K109" i="2" s="1"/>
  <c r="J110" i="2"/>
  <c r="K110" i="2" s="1"/>
  <c r="J111" i="2"/>
  <c r="K111" i="2" s="1"/>
  <c r="J112" i="2"/>
  <c r="K112" i="2" s="1"/>
  <c r="J113" i="2"/>
  <c r="K113" i="2" s="1"/>
  <c r="J114" i="2"/>
  <c r="K114" i="2" s="1"/>
  <c r="J115" i="2"/>
  <c r="K115" i="2" s="1"/>
  <c r="J116" i="2"/>
  <c r="K116" i="2" s="1"/>
  <c r="J117" i="2"/>
  <c r="K117" i="2" s="1"/>
  <c r="J118" i="2"/>
  <c r="K118" i="2" s="1"/>
  <c r="J119" i="2"/>
  <c r="K119" i="2" s="1"/>
  <c r="J120" i="2"/>
  <c r="K120" i="2" s="1"/>
  <c r="J121" i="2"/>
  <c r="K121" i="2" s="1"/>
  <c r="J122" i="2"/>
  <c r="K122" i="2" s="1"/>
  <c r="J123" i="2"/>
  <c r="K123" i="2" s="1"/>
  <c r="J124" i="2"/>
  <c r="K124" i="2" s="1"/>
  <c r="J125" i="2"/>
  <c r="K125" i="2" s="1"/>
  <c r="J126" i="2"/>
  <c r="K126" i="2" s="1"/>
  <c r="J127" i="2"/>
  <c r="K127" i="2" s="1"/>
  <c r="J128" i="2"/>
  <c r="K128" i="2" s="1"/>
  <c r="J129" i="2"/>
  <c r="K129" i="2" s="1"/>
  <c r="J130" i="2"/>
  <c r="K130" i="2" s="1"/>
  <c r="J131" i="2"/>
  <c r="K131" i="2" s="1"/>
  <c r="J132" i="2"/>
  <c r="K132" i="2" s="1"/>
  <c r="J133" i="2"/>
  <c r="K133" i="2" s="1"/>
  <c r="J134" i="2"/>
  <c r="K134" i="2" s="1"/>
  <c r="J135" i="2"/>
  <c r="K135" i="2" s="1"/>
  <c r="J136" i="2"/>
  <c r="K136" i="2" s="1"/>
  <c r="J137" i="2"/>
  <c r="K137" i="2" s="1"/>
  <c r="J138" i="2"/>
  <c r="K138" i="2" s="1"/>
  <c r="J139" i="2"/>
  <c r="K139" i="2" s="1"/>
  <c r="J140" i="2"/>
  <c r="K140" i="2" s="1"/>
  <c r="J141" i="2"/>
  <c r="K141" i="2" s="1"/>
  <c r="J142" i="2"/>
  <c r="K142" i="2" s="1"/>
  <c r="J143" i="2"/>
  <c r="K143" i="2" s="1"/>
  <c r="J144" i="2"/>
  <c r="K144" i="2" s="1"/>
  <c r="J145" i="2"/>
  <c r="K145" i="2" s="1"/>
  <c r="J146" i="2"/>
  <c r="K146" i="2" s="1"/>
  <c r="J147" i="2"/>
  <c r="K147" i="2" s="1"/>
  <c r="J148" i="2"/>
  <c r="K148" i="2" s="1"/>
  <c r="J149" i="2"/>
  <c r="K149" i="2" s="1"/>
  <c r="J150" i="2"/>
  <c r="K150" i="2" s="1"/>
  <c r="J151" i="2"/>
  <c r="K151" i="2" s="1"/>
  <c r="J152" i="2"/>
  <c r="K152" i="2" s="1"/>
  <c r="J153" i="2"/>
  <c r="K153" i="2" s="1"/>
  <c r="J154" i="2"/>
  <c r="K154" i="2" s="1"/>
  <c r="J155" i="2"/>
  <c r="K155" i="2" s="1"/>
  <c r="J156" i="2"/>
  <c r="K156" i="2" s="1"/>
  <c r="J157" i="2"/>
  <c r="K157" i="2" s="1"/>
  <c r="J158" i="2"/>
  <c r="K158" i="2" s="1"/>
  <c r="J159" i="2"/>
  <c r="K159" i="2" s="1"/>
  <c r="J160" i="2"/>
  <c r="K160" i="2" s="1"/>
  <c r="J161" i="2"/>
  <c r="K161" i="2" s="1"/>
  <c r="H4" i="3"/>
  <c r="I4" i="3" s="1"/>
  <c r="J4" i="3" s="1"/>
  <c r="H5" i="3"/>
  <c r="I5" i="3" s="1"/>
  <c r="J5" i="3" s="1"/>
  <c r="K5" i="3" s="1"/>
  <c r="H6" i="3"/>
  <c r="I6" i="3" s="1"/>
  <c r="J6" i="3" s="1"/>
  <c r="K6" i="3" s="1"/>
  <c r="H7" i="3"/>
  <c r="I7" i="3" s="1"/>
  <c r="J7" i="3" s="1"/>
  <c r="K7" i="3" s="1"/>
  <c r="H8" i="3"/>
  <c r="I8" i="3" s="1"/>
  <c r="J8" i="3" s="1"/>
  <c r="K8" i="3" s="1"/>
  <c r="H9" i="3"/>
  <c r="I9" i="3" s="1"/>
  <c r="J9" i="3" s="1"/>
  <c r="K9" i="3" s="1"/>
  <c r="H10" i="3"/>
  <c r="I10" i="3" s="1"/>
  <c r="J10" i="3" s="1"/>
  <c r="K10" i="3" s="1"/>
  <c r="H11" i="3"/>
  <c r="I11" i="3" s="1"/>
  <c r="J11" i="3" s="1"/>
  <c r="K11" i="3" s="1"/>
  <c r="H12" i="3"/>
  <c r="I12" i="3" s="1"/>
  <c r="J12" i="3" s="1"/>
  <c r="K12" i="3" s="1"/>
  <c r="H13" i="3"/>
  <c r="I13" i="3" s="1"/>
  <c r="J13" i="3" s="1"/>
  <c r="K13" i="3" s="1"/>
  <c r="H14" i="3"/>
  <c r="I14" i="3" s="1"/>
  <c r="J14" i="3" s="1"/>
  <c r="K14" i="3" s="1"/>
  <c r="H15" i="3"/>
  <c r="I15" i="3" s="1"/>
  <c r="J15" i="3" s="1"/>
  <c r="K15" i="3" s="1"/>
  <c r="H16" i="3"/>
  <c r="I16" i="3" s="1"/>
  <c r="J16" i="3" s="1"/>
  <c r="K16" i="3" s="1"/>
  <c r="H18" i="3"/>
  <c r="I18" i="3" s="1"/>
  <c r="J18" i="3" s="1"/>
  <c r="K18" i="3" s="1"/>
  <c r="H19" i="3"/>
  <c r="I19" i="3" s="1"/>
  <c r="J19" i="3" s="1"/>
  <c r="K19" i="3" s="1"/>
  <c r="H20" i="3"/>
  <c r="I20" i="3" s="1"/>
  <c r="J20" i="3" s="1"/>
  <c r="K20" i="3" s="1"/>
  <c r="H21" i="3"/>
  <c r="I21" i="3" s="1"/>
  <c r="J21" i="3" s="1"/>
  <c r="K21" i="3" s="1"/>
  <c r="H22" i="3"/>
  <c r="I22" i="3" s="1"/>
  <c r="J22" i="3" s="1"/>
  <c r="K22" i="3" s="1"/>
  <c r="H23" i="3"/>
  <c r="I23" i="3" s="1"/>
  <c r="J23" i="3" s="1"/>
  <c r="K23" i="3" s="1"/>
  <c r="H24" i="3"/>
  <c r="I24" i="3" s="1"/>
  <c r="J24" i="3" s="1"/>
  <c r="K24" i="3" s="1"/>
  <c r="H25" i="3"/>
  <c r="I25" i="3" s="1"/>
  <c r="J25" i="3" s="1"/>
  <c r="K25" i="3" s="1"/>
  <c r="H26" i="3"/>
  <c r="I26" i="3" s="1"/>
  <c r="J26" i="3" s="1"/>
  <c r="K26" i="3" s="1"/>
  <c r="H27" i="3"/>
  <c r="I27" i="3" s="1"/>
  <c r="J27" i="3" s="1"/>
  <c r="K27" i="3" s="1"/>
  <c r="H28" i="3"/>
  <c r="I28" i="3" s="1"/>
  <c r="J28" i="3" s="1"/>
  <c r="K28" i="3" s="1"/>
  <c r="H29" i="3"/>
  <c r="I29" i="3" s="1"/>
  <c r="J29" i="3" s="1"/>
  <c r="K29" i="3" s="1"/>
  <c r="I30" i="3"/>
  <c r="J30" i="3" s="1"/>
  <c r="K30" i="3" s="1"/>
  <c r="H31" i="3"/>
  <c r="I31" i="3" s="1"/>
  <c r="J31" i="3" s="1"/>
  <c r="K31" i="3" s="1"/>
  <c r="H32" i="3"/>
  <c r="I32" i="3" s="1"/>
  <c r="J32" i="3" s="1"/>
  <c r="K32" i="3" s="1"/>
  <c r="H33" i="3"/>
  <c r="I33" i="3" s="1"/>
  <c r="J33" i="3" s="1"/>
  <c r="K33" i="3" s="1"/>
  <c r="H34" i="3"/>
  <c r="I34" i="3" s="1"/>
  <c r="J34" i="3" s="1"/>
  <c r="K34" i="3" s="1"/>
  <c r="H35" i="3"/>
  <c r="I35" i="3" s="1"/>
  <c r="J35" i="3" s="1"/>
  <c r="K35" i="3" s="1"/>
  <c r="H36" i="3"/>
  <c r="I36" i="3" s="1"/>
  <c r="J36" i="3" s="1"/>
  <c r="K36" i="3" s="1"/>
  <c r="H38" i="3"/>
  <c r="I38" i="3" s="1"/>
  <c r="J38" i="3" s="1"/>
  <c r="K38" i="3" s="1"/>
  <c r="H39" i="3"/>
  <c r="I39" i="3" s="1"/>
  <c r="J39" i="3" s="1"/>
  <c r="K39" i="3" s="1"/>
  <c r="H40" i="3"/>
  <c r="I40" i="3" s="1"/>
  <c r="J40" i="3" s="1"/>
  <c r="K40" i="3" s="1"/>
  <c r="H41" i="3"/>
  <c r="I41" i="3" s="1"/>
  <c r="J41" i="3" s="1"/>
  <c r="K41" i="3" s="1"/>
  <c r="H42" i="3"/>
  <c r="I42" i="3" s="1"/>
  <c r="J42" i="3" s="1"/>
  <c r="K42" i="3" s="1"/>
  <c r="H43" i="3"/>
  <c r="I43" i="3" s="1"/>
  <c r="J43" i="3" s="1"/>
  <c r="K43" i="3" s="1"/>
  <c r="H44" i="3"/>
  <c r="I44" i="3" s="1"/>
  <c r="J44" i="3" s="1"/>
  <c r="K44" i="3" s="1"/>
  <c r="H45" i="3"/>
  <c r="I45" i="3" s="1"/>
  <c r="J45" i="3" s="1"/>
  <c r="K45" i="3" s="1"/>
  <c r="H46" i="3"/>
  <c r="I46" i="3" s="1"/>
  <c r="J46" i="3" s="1"/>
  <c r="K46" i="3" s="1"/>
  <c r="H47" i="3"/>
  <c r="I47" i="3" s="1"/>
  <c r="J47" i="3" s="1"/>
  <c r="K47" i="3" s="1"/>
  <c r="H48" i="3"/>
  <c r="I48" i="3" s="1"/>
  <c r="J48" i="3" s="1"/>
  <c r="K48" i="3" s="1"/>
  <c r="H49" i="3"/>
  <c r="I49" i="3" s="1"/>
  <c r="J49" i="3" s="1"/>
  <c r="K49" i="3" s="1"/>
  <c r="H50" i="3"/>
  <c r="I50" i="3" s="1"/>
  <c r="J50" i="3" s="1"/>
  <c r="K50" i="3" s="1"/>
  <c r="H51" i="3"/>
  <c r="I51" i="3" s="1"/>
  <c r="J51" i="3" s="1"/>
  <c r="K51" i="3" s="1"/>
  <c r="H52" i="3"/>
  <c r="I52" i="3" s="1"/>
  <c r="J52" i="3" s="1"/>
  <c r="K52" i="3" s="1"/>
  <c r="H53" i="3"/>
  <c r="I53" i="3" s="1"/>
  <c r="J53" i="3" s="1"/>
  <c r="K53" i="3" s="1"/>
  <c r="H54" i="3"/>
  <c r="I54" i="3" s="1"/>
  <c r="J54" i="3" s="1"/>
  <c r="K54" i="3" s="1"/>
  <c r="H55" i="3"/>
  <c r="I55" i="3" s="1"/>
  <c r="J55" i="3" s="1"/>
  <c r="K55" i="3" s="1"/>
  <c r="H56" i="3"/>
  <c r="I56" i="3" s="1"/>
  <c r="J56" i="3" s="1"/>
  <c r="K56" i="3" s="1"/>
  <c r="H57" i="3"/>
  <c r="I57" i="3" s="1"/>
  <c r="J57" i="3" s="1"/>
  <c r="K57" i="3" s="1"/>
  <c r="H58" i="3"/>
  <c r="I58" i="3" s="1"/>
  <c r="J58" i="3" s="1"/>
  <c r="K58" i="3" s="1"/>
  <c r="H59" i="3"/>
  <c r="I59" i="3" s="1"/>
  <c r="J59" i="3" s="1"/>
  <c r="K59" i="3" s="1"/>
  <c r="H60" i="3"/>
  <c r="I60" i="3" s="1"/>
  <c r="J60" i="3" s="1"/>
  <c r="K60" i="3" s="1"/>
  <c r="H61" i="3"/>
  <c r="I61" i="3" s="1"/>
  <c r="J61" i="3" s="1"/>
  <c r="K61" i="3" s="1"/>
  <c r="H62" i="3"/>
  <c r="I62" i="3" s="1"/>
  <c r="J62" i="3" s="1"/>
  <c r="K62" i="3" s="1"/>
  <c r="H64" i="3"/>
  <c r="I64" i="3" s="1"/>
  <c r="J64" i="3" s="1"/>
  <c r="K64" i="3" s="1"/>
  <c r="H65" i="3"/>
  <c r="I65" i="3" s="1"/>
  <c r="J65" i="3" s="1"/>
  <c r="K65" i="3" s="1"/>
  <c r="H66" i="3"/>
  <c r="I66" i="3" s="1"/>
  <c r="J66" i="3" s="1"/>
  <c r="K66" i="3" s="1"/>
  <c r="H67" i="3"/>
  <c r="I67" i="3" s="1"/>
  <c r="J67" i="3" s="1"/>
  <c r="K67" i="3" s="1"/>
  <c r="H68" i="3"/>
  <c r="I68" i="3" s="1"/>
  <c r="J68" i="3" s="1"/>
  <c r="K68" i="3" s="1"/>
  <c r="H69" i="3"/>
  <c r="I69" i="3" s="1"/>
  <c r="J69" i="3" s="1"/>
  <c r="K69" i="3" s="1"/>
  <c r="H70" i="3"/>
  <c r="I70" i="3" s="1"/>
  <c r="J70" i="3" s="1"/>
  <c r="K70" i="3" s="1"/>
  <c r="H71" i="3"/>
  <c r="I71" i="3" s="1"/>
  <c r="J71" i="3" s="1"/>
  <c r="K71" i="3" s="1"/>
  <c r="H72" i="3"/>
  <c r="I72" i="3" s="1"/>
  <c r="J72" i="3" s="1"/>
  <c r="K72" i="3" s="1"/>
  <c r="H73" i="3"/>
  <c r="I73" i="3" s="1"/>
  <c r="J73" i="3" s="1"/>
  <c r="K73" i="3" s="1"/>
  <c r="H74" i="3"/>
  <c r="I74" i="3" s="1"/>
  <c r="J74" i="3" s="1"/>
  <c r="K74" i="3" s="1"/>
  <c r="H75" i="3"/>
  <c r="I75" i="3" s="1"/>
  <c r="J75" i="3" s="1"/>
  <c r="K75" i="3" s="1"/>
  <c r="H76" i="3"/>
  <c r="I76" i="3" s="1"/>
  <c r="J76" i="3" s="1"/>
  <c r="K76" i="3" s="1"/>
  <c r="H77" i="3"/>
  <c r="I77" i="3" s="1"/>
  <c r="J77" i="3" s="1"/>
  <c r="K77" i="3" s="1"/>
  <c r="H78" i="3"/>
  <c r="I78" i="3" s="1"/>
  <c r="J78" i="3" s="1"/>
  <c r="K78" i="3" s="1"/>
  <c r="H79" i="3"/>
  <c r="I79" i="3" s="1"/>
  <c r="J79" i="3" s="1"/>
  <c r="K79" i="3" s="1"/>
  <c r="H80" i="3"/>
  <c r="I80" i="3" s="1"/>
  <c r="J80" i="3" s="1"/>
  <c r="K80" i="3" s="1"/>
  <c r="H81" i="3"/>
  <c r="I81" i="3" s="1"/>
  <c r="J81" i="3" s="1"/>
  <c r="K81" i="3" s="1"/>
  <c r="H82" i="3"/>
  <c r="I82" i="3" s="1"/>
  <c r="J82" i="3" s="1"/>
  <c r="K82" i="3" s="1"/>
  <c r="H83" i="3"/>
  <c r="I83" i="3" s="1"/>
  <c r="J83" i="3" s="1"/>
  <c r="K83" i="3" s="1"/>
  <c r="H84" i="3"/>
  <c r="I84" i="3" s="1"/>
  <c r="J84" i="3" s="1"/>
  <c r="K84" i="3" s="1"/>
  <c r="H85" i="3"/>
  <c r="I85" i="3" s="1"/>
  <c r="J85" i="3" s="1"/>
  <c r="K85" i="3" s="1"/>
  <c r="H86" i="3"/>
  <c r="H90" i="3"/>
  <c r="I90" i="3" s="1"/>
  <c r="J90" i="3" s="1"/>
  <c r="K90" i="3" s="1"/>
  <c r="H91" i="3"/>
  <c r="I91" i="3" s="1"/>
  <c r="J91" i="3" s="1"/>
  <c r="K91" i="3" s="1"/>
  <c r="H92" i="3"/>
  <c r="I92" i="3" s="1"/>
  <c r="J92" i="3" s="1"/>
  <c r="K92" i="3" s="1"/>
  <c r="H93" i="3"/>
  <c r="I93" i="3" s="1"/>
  <c r="J93" i="3" s="1"/>
  <c r="K93" i="3" s="1"/>
  <c r="H94" i="3"/>
  <c r="I94" i="3" s="1"/>
  <c r="J94" i="3" s="1"/>
  <c r="K94" i="3" s="1"/>
  <c r="H95" i="3"/>
  <c r="I95" i="3" s="1"/>
  <c r="J95" i="3" s="1"/>
  <c r="K95" i="3" s="1"/>
  <c r="H96" i="3"/>
  <c r="I96" i="3" s="1"/>
  <c r="J96" i="3" s="1"/>
  <c r="K96" i="3" s="1"/>
  <c r="H97" i="3"/>
  <c r="I97" i="3" s="1"/>
  <c r="J97" i="3" s="1"/>
  <c r="K97" i="3" s="1"/>
  <c r="H98" i="3"/>
  <c r="I98" i="3" s="1"/>
  <c r="J98" i="3" s="1"/>
  <c r="K98" i="3" s="1"/>
  <c r="H99" i="3"/>
  <c r="I99" i="3" s="1"/>
  <c r="J99" i="3" s="1"/>
  <c r="K99" i="3" s="1"/>
  <c r="H100" i="3"/>
  <c r="I100" i="3" s="1"/>
  <c r="J100" i="3" s="1"/>
  <c r="K100" i="3" s="1"/>
  <c r="H101" i="3"/>
  <c r="I101" i="3" s="1"/>
  <c r="J101" i="3" s="1"/>
  <c r="K101" i="3" s="1"/>
  <c r="H102" i="3"/>
  <c r="I102" i="3" s="1"/>
  <c r="J102" i="3" s="1"/>
  <c r="K102" i="3" s="1"/>
  <c r="H103" i="3"/>
  <c r="I103" i="3" s="1"/>
  <c r="J103" i="3" s="1"/>
  <c r="K103" i="3" s="1"/>
  <c r="H104" i="3"/>
  <c r="I104" i="3" s="1"/>
  <c r="J104" i="3" s="1"/>
  <c r="K104" i="3" s="1"/>
  <c r="H105" i="3"/>
  <c r="I105" i="3" s="1"/>
  <c r="J105" i="3" s="1"/>
  <c r="K105" i="3" s="1"/>
  <c r="H106" i="3"/>
  <c r="I106" i="3" s="1"/>
  <c r="J106" i="3" s="1"/>
  <c r="K106" i="3" s="1"/>
  <c r="H107" i="3"/>
  <c r="I107" i="3" s="1"/>
  <c r="J107" i="3" s="1"/>
  <c r="K107" i="3" s="1"/>
  <c r="H108" i="3"/>
  <c r="I108" i="3" s="1"/>
  <c r="J108" i="3" s="1"/>
  <c r="K108" i="3" s="1"/>
  <c r="H109" i="3"/>
  <c r="I109" i="3" s="1"/>
  <c r="J109" i="3" s="1"/>
  <c r="K109" i="3" s="1"/>
  <c r="H110" i="3"/>
  <c r="I110" i="3" s="1"/>
  <c r="J110" i="3" s="1"/>
  <c r="K110" i="3" s="1"/>
  <c r="H111" i="3"/>
  <c r="I111" i="3" s="1"/>
  <c r="J111" i="3" s="1"/>
  <c r="K111" i="3" s="1"/>
  <c r="H112" i="3"/>
  <c r="I112" i="3" s="1"/>
  <c r="J112" i="3" s="1"/>
  <c r="K112" i="3" s="1"/>
  <c r="H113" i="3"/>
  <c r="I113" i="3" s="1"/>
  <c r="J113" i="3" s="1"/>
  <c r="K113" i="3" s="1"/>
  <c r="H114" i="3"/>
  <c r="I114" i="3" s="1"/>
  <c r="J114" i="3" s="1"/>
  <c r="K114" i="3" s="1"/>
  <c r="H115" i="3"/>
  <c r="I115" i="3" s="1"/>
  <c r="J115" i="3" s="1"/>
  <c r="K115" i="3" s="1"/>
  <c r="H116" i="3"/>
  <c r="I116" i="3" s="1"/>
  <c r="J116" i="3" s="1"/>
  <c r="K116" i="3" s="1"/>
  <c r="H117" i="3"/>
  <c r="I117" i="3" s="1"/>
  <c r="J117" i="3" s="1"/>
  <c r="K117" i="3" s="1"/>
  <c r="H118" i="3"/>
  <c r="I118" i="3" s="1"/>
  <c r="J118" i="3" s="1"/>
  <c r="K118" i="3" s="1"/>
  <c r="H119" i="3"/>
  <c r="I119" i="3" s="1"/>
  <c r="J119" i="3" s="1"/>
  <c r="K119" i="3" s="1"/>
  <c r="H120" i="3"/>
  <c r="I120" i="3" s="1"/>
  <c r="J120" i="3" s="1"/>
  <c r="K120" i="3" s="1"/>
  <c r="H121" i="3"/>
  <c r="I121" i="3" s="1"/>
  <c r="J121" i="3" s="1"/>
  <c r="K121" i="3" s="1"/>
  <c r="H122" i="3"/>
  <c r="I122" i="3" s="1"/>
  <c r="J122" i="3" s="1"/>
  <c r="K122" i="3" s="1"/>
  <c r="H123" i="3"/>
  <c r="I123" i="3" s="1"/>
  <c r="J123" i="3" s="1"/>
  <c r="K123" i="3" s="1"/>
  <c r="H124" i="3"/>
  <c r="I124" i="3" s="1"/>
  <c r="J124" i="3" s="1"/>
  <c r="K124" i="3" s="1"/>
  <c r="H125" i="3"/>
  <c r="I125" i="3" s="1"/>
  <c r="J125" i="3" s="1"/>
  <c r="K125" i="3" s="1"/>
  <c r="H126" i="3"/>
  <c r="I126" i="3" s="1"/>
  <c r="J126" i="3" s="1"/>
  <c r="K126" i="3" s="1"/>
  <c r="H127" i="3"/>
  <c r="I127" i="3" s="1"/>
  <c r="J127" i="3" s="1"/>
  <c r="K127" i="3" s="1"/>
  <c r="H128" i="3"/>
  <c r="I128" i="3" s="1"/>
  <c r="J128" i="3" s="1"/>
  <c r="K128" i="3" s="1"/>
  <c r="H129" i="3"/>
  <c r="I129" i="3" s="1"/>
  <c r="J129" i="3" s="1"/>
  <c r="K129" i="3" s="1"/>
  <c r="H130" i="3"/>
  <c r="I130" i="3" s="1"/>
  <c r="J130" i="3" s="1"/>
  <c r="K130" i="3" s="1"/>
  <c r="H131" i="3"/>
  <c r="I131" i="3" s="1"/>
  <c r="J131" i="3" s="1"/>
  <c r="K131" i="3" s="1"/>
  <c r="H132" i="3"/>
  <c r="I132" i="3" s="1"/>
  <c r="J132" i="3" s="1"/>
  <c r="K132" i="3" s="1"/>
  <c r="H133" i="3"/>
  <c r="I133" i="3" s="1"/>
  <c r="J133" i="3" s="1"/>
  <c r="K133" i="3" s="1"/>
  <c r="H134" i="3"/>
  <c r="I134" i="3" s="1"/>
  <c r="J134" i="3" s="1"/>
  <c r="K134" i="3" s="1"/>
  <c r="H135" i="3"/>
  <c r="I135" i="3" s="1"/>
  <c r="J135" i="3" s="1"/>
  <c r="K135" i="3" s="1"/>
  <c r="H136" i="3"/>
  <c r="I136" i="3" s="1"/>
  <c r="J136" i="3" s="1"/>
  <c r="K136" i="3" s="1"/>
  <c r="H137" i="3"/>
  <c r="I137" i="3" s="1"/>
  <c r="J137" i="3" s="1"/>
  <c r="K137" i="3" s="1"/>
  <c r="H138" i="3"/>
  <c r="I138" i="3" s="1"/>
  <c r="J138" i="3" s="1"/>
  <c r="K138" i="3" s="1"/>
  <c r="H139" i="3"/>
  <c r="I139" i="3" s="1"/>
  <c r="J139" i="3" s="1"/>
  <c r="K139" i="3" s="1"/>
  <c r="H140" i="3"/>
  <c r="I140" i="3" s="1"/>
  <c r="J140" i="3" s="1"/>
  <c r="K140" i="3" s="1"/>
  <c r="H141" i="3"/>
  <c r="I141" i="3" s="1"/>
  <c r="J141" i="3" s="1"/>
  <c r="K141" i="3" s="1"/>
  <c r="H142" i="3"/>
  <c r="I142" i="3" s="1"/>
  <c r="J142" i="3" s="1"/>
  <c r="K142" i="3" s="1"/>
  <c r="H143" i="3"/>
  <c r="I143" i="3" s="1"/>
  <c r="J143" i="3" s="1"/>
  <c r="K143" i="3" s="1"/>
  <c r="H144" i="3"/>
  <c r="I144" i="3" s="1"/>
  <c r="J144" i="3" s="1"/>
  <c r="K144" i="3" s="1"/>
  <c r="H145" i="3"/>
  <c r="I145" i="3" s="1"/>
  <c r="J145" i="3" s="1"/>
  <c r="K145" i="3" s="1"/>
  <c r="H146" i="3"/>
  <c r="I146" i="3" s="1"/>
  <c r="J146" i="3" s="1"/>
  <c r="K146" i="3" s="1"/>
  <c r="H147" i="3"/>
  <c r="I147" i="3" s="1"/>
  <c r="J147" i="3" s="1"/>
  <c r="K147" i="3" s="1"/>
  <c r="H148" i="3"/>
  <c r="I148" i="3" s="1"/>
  <c r="J148" i="3" s="1"/>
  <c r="K148" i="3" s="1"/>
  <c r="H149" i="3"/>
  <c r="I149" i="3" s="1"/>
  <c r="J149" i="3" s="1"/>
  <c r="K149" i="3" s="1"/>
  <c r="H150" i="3"/>
  <c r="I150" i="3" s="1"/>
  <c r="J150" i="3" s="1"/>
  <c r="K150" i="3" s="1"/>
  <c r="H151" i="3"/>
  <c r="I151" i="3" s="1"/>
  <c r="J151" i="3" s="1"/>
  <c r="K151" i="3" s="1"/>
  <c r="H152" i="3"/>
  <c r="I152" i="3" s="1"/>
  <c r="J152" i="3" s="1"/>
  <c r="K152" i="3" s="1"/>
  <c r="H153" i="3"/>
  <c r="I153" i="3" s="1"/>
  <c r="J153" i="3" s="1"/>
  <c r="K153" i="3" s="1"/>
  <c r="H154" i="3"/>
  <c r="I154" i="3" s="1"/>
  <c r="J154" i="3" s="1"/>
  <c r="K154" i="3" s="1"/>
  <c r="H155" i="3"/>
  <c r="I155" i="3" s="1"/>
  <c r="J155" i="3" s="1"/>
  <c r="K155" i="3" s="1"/>
  <c r="H156" i="3"/>
  <c r="I156" i="3" s="1"/>
  <c r="J156" i="3" s="1"/>
  <c r="K156" i="3" s="1"/>
  <c r="H157" i="3"/>
  <c r="I157" i="3" s="1"/>
  <c r="J157" i="3" s="1"/>
  <c r="K157" i="3" s="1"/>
  <c r="H158" i="3"/>
  <c r="I158" i="3" s="1"/>
  <c r="J158" i="3" s="1"/>
  <c r="K158" i="3" s="1"/>
  <c r="H159" i="3"/>
  <c r="I159" i="3" s="1"/>
  <c r="J159" i="3" s="1"/>
  <c r="K159" i="3" s="1"/>
  <c r="H160" i="3"/>
  <c r="I160" i="3" s="1"/>
  <c r="J160" i="3" s="1"/>
  <c r="K160" i="3" s="1"/>
  <c r="H161" i="3"/>
  <c r="I161" i="3" s="1"/>
  <c r="J161" i="3" s="1"/>
  <c r="K161" i="3" s="1"/>
  <c r="H162" i="3"/>
  <c r="I162" i="3" s="1"/>
  <c r="J162" i="3" s="1"/>
  <c r="K162" i="3" s="1"/>
  <c r="H163" i="3"/>
  <c r="I163" i="3" s="1"/>
  <c r="J163" i="3" s="1"/>
  <c r="K163" i="3" s="1"/>
  <c r="H164" i="3"/>
  <c r="I164" i="3" s="1"/>
  <c r="J164" i="3" s="1"/>
  <c r="K164" i="3" s="1"/>
  <c r="H165" i="3"/>
  <c r="I165" i="3" s="1"/>
  <c r="J165" i="3" s="1"/>
  <c r="K165" i="3" s="1"/>
  <c r="H166" i="3"/>
  <c r="I166" i="3" s="1"/>
  <c r="J166" i="3" s="1"/>
  <c r="K166" i="3" s="1"/>
  <c r="H167" i="3"/>
  <c r="I167" i="3" s="1"/>
  <c r="J167" i="3" s="1"/>
  <c r="K167" i="3" s="1"/>
  <c r="H168" i="3"/>
  <c r="I168" i="3" s="1"/>
  <c r="J168" i="3" s="1"/>
  <c r="K168" i="3" s="1"/>
  <c r="H169" i="3"/>
  <c r="I169" i="3" s="1"/>
  <c r="J169" i="3" s="1"/>
  <c r="K169" i="3" s="1"/>
  <c r="H170" i="3"/>
  <c r="I170" i="3" s="1"/>
  <c r="J170" i="3" s="1"/>
  <c r="K170" i="3" s="1"/>
  <c r="H171" i="3"/>
  <c r="I171" i="3" s="1"/>
  <c r="J171" i="3" s="1"/>
  <c r="K171" i="3" s="1"/>
  <c r="H172" i="3"/>
  <c r="I172" i="3" s="1"/>
  <c r="J172" i="3" s="1"/>
  <c r="K172" i="3" s="1"/>
  <c r="H173" i="3"/>
  <c r="I173" i="3" s="1"/>
  <c r="J173" i="3" s="1"/>
  <c r="K173" i="3" s="1"/>
  <c r="H174" i="3"/>
  <c r="I174" i="3" s="1"/>
  <c r="J174" i="3" s="1"/>
  <c r="K174" i="3" s="1"/>
  <c r="I86" i="3" l="1"/>
  <c r="J86" i="3" s="1"/>
  <c r="F845" i="8"/>
  <c r="F244" i="8"/>
  <c r="H239" i="8" s="1"/>
  <c r="H238" i="8" s="1"/>
  <c r="A14" i="7"/>
  <c r="F73" i="7"/>
  <c r="H70" i="7" s="1"/>
  <c r="F87" i="7"/>
  <c r="F92" i="7" s="1"/>
  <c r="H83" i="7" s="1"/>
  <c r="F54" i="7"/>
  <c r="F63" i="7" s="1"/>
  <c r="H48" i="7" s="1"/>
  <c r="H47" i="7" s="1"/>
  <c r="F164" i="7"/>
  <c r="H159" i="7" s="1"/>
  <c r="H158" i="7" s="1"/>
  <c r="F269" i="7"/>
  <c r="H264" i="7" s="1"/>
  <c r="H263" i="7" s="1"/>
  <c r="F69" i="7"/>
  <c r="H65" i="7" s="1"/>
  <c r="F119" i="7"/>
  <c r="H115" i="7" s="1"/>
  <c r="H114" i="7" s="1"/>
  <c r="F218" i="7"/>
  <c r="H203" i="7" s="1"/>
  <c r="H202" i="7" s="1"/>
  <c r="F274" i="7"/>
  <c r="H271" i="7" s="1"/>
  <c r="H270" i="7" s="1"/>
  <c r="F280" i="7"/>
  <c r="H276" i="7" s="1"/>
  <c r="H275" i="7" s="1"/>
  <c r="F146" i="7"/>
  <c r="H142" i="7" s="1"/>
  <c r="H141" i="7" s="1"/>
  <c r="H106" i="7"/>
  <c r="H112" i="7"/>
  <c r="H111" i="7" s="1"/>
  <c r="H110" i="7"/>
  <c r="H109" i="7" s="1"/>
  <c r="F180" i="7"/>
  <c r="H175" i="7" s="1"/>
  <c r="H174" i="7" s="1"/>
  <c r="F43" i="7"/>
  <c r="H36" i="7" s="1"/>
  <c r="H35" i="7" s="1"/>
  <c r="F173" i="7"/>
  <c r="H169" i="7" s="1"/>
  <c r="H165" i="7" s="1"/>
  <c r="F191" i="7"/>
  <c r="H182" i="7" s="1"/>
  <c r="H181" i="7" s="1"/>
  <c r="F602" i="8"/>
  <c r="F250" i="8"/>
  <c r="H246" i="8" s="1"/>
  <c r="H245" i="8" s="1"/>
  <c r="F351" i="8"/>
  <c r="F889" i="8"/>
  <c r="H883" i="8" s="1"/>
  <c r="F900" i="8"/>
  <c r="F906" i="8" s="1"/>
  <c r="H896" i="8" s="1"/>
  <c r="H895" i="8" s="1"/>
  <c r="F315" i="8"/>
  <c r="H310" i="8" s="1"/>
  <c r="H309" i="8" s="1"/>
  <c r="F385" i="8"/>
  <c r="F390" i="8" s="1"/>
  <c r="H381" i="8" s="1"/>
  <c r="H380" i="8" s="1"/>
  <c r="F554" i="8"/>
  <c r="F947" i="8"/>
  <c r="H942" i="8" s="1"/>
  <c r="H941" i="8" s="1"/>
  <c r="F359" i="8"/>
  <c r="H354" i="8" s="1"/>
  <c r="H353" i="8" s="1"/>
  <c r="F1058" i="8"/>
  <c r="F38" i="8"/>
  <c r="F178" i="8"/>
  <c r="H173" i="8" s="1"/>
  <c r="H172" i="8" s="1"/>
  <c r="F563" i="8"/>
  <c r="F599" i="8"/>
  <c r="F691" i="8"/>
  <c r="F694" i="8" s="1"/>
  <c r="H687" i="8" s="1"/>
  <c r="H686" i="8" s="1"/>
  <c r="F722" i="8"/>
  <c r="H717" i="8" s="1"/>
  <c r="H716" i="8" s="1"/>
  <c r="F525" i="8"/>
  <c r="H520" i="8" s="1"/>
  <c r="H519" i="8" s="1"/>
  <c r="F796" i="8"/>
  <c r="H791" i="8" s="1"/>
  <c r="H790" i="8" s="1"/>
  <c r="F149" i="8"/>
  <c r="F171" i="8"/>
  <c r="H166" i="8" s="1"/>
  <c r="H165" i="8" s="1"/>
  <c r="F329" i="8"/>
  <c r="H325" i="8" s="1"/>
  <c r="H324" i="8" s="1"/>
  <c r="F507" i="8"/>
  <c r="F681" i="8"/>
  <c r="H674" i="8" s="1"/>
  <c r="H673" i="8" s="1"/>
  <c r="F775" i="8"/>
  <c r="H770" i="8" s="1"/>
  <c r="H769" i="8" s="1"/>
  <c r="F829" i="8"/>
  <c r="H824" i="8" s="1"/>
  <c r="F1006" i="8"/>
  <c r="F1024" i="8"/>
  <c r="H1019" i="8" s="1"/>
  <c r="F1050" i="8"/>
  <c r="H1043" i="8" s="1"/>
  <c r="F82" i="8"/>
  <c r="F280" i="8"/>
  <c r="H274" i="8" s="1"/>
  <c r="H273" i="8" s="1"/>
  <c r="F342" i="8"/>
  <c r="F1071" i="8"/>
  <c r="H1061" i="8" s="1"/>
  <c r="H1060" i="8" s="1"/>
  <c r="F66" i="8"/>
  <c r="F67" i="8" s="1"/>
  <c r="H59" i="8" s="1"/>
  <c r="H58" i="8" s="1"/>
  <c r="F117" i="8"/>
  <c r="H109" i="8" s="1"/>
  <c r="H108" i="8" s="1"/>
  <c r="F196" i="8"/>
  <c r="H190" i="8" s="1"/>
  <c r="F236" i="8"/>
  <c r="F323" i="8"/>
  <c r="H320" i="8" s="1"/>
  <c r="H316" i="8" s="1"/>
  <c r="F479" i="8"/>
  <c r="F575" i="8"/>
  <c r="H570" i="8" s="1"/>
  <c r="H569" i="8" s="1"/>
  <c r="F733" i="8"/>
  <c r="F742" i="8"/>
  <c r="F823" i="8"/>
  <c r="H818" i="8" s="1"/>
  <c r="F917" i="8"/>
  <c r="H912" i="8" s="1"/>
  <c r="H911" i="8" s="1"/>
  <c r="F1012" i="8"/>
  <c r="F1017" i="8"/>
  <c r="F1037" i="8"/>
  <c r="H1033" i="8" s="1"/>
  <c r="H1032" i="8" s="1"/>
  <c r="H649" i="8"/>
  <c r="F52" i="8"/>
  <c r="H45" i="8" s="1"/>
  <c r="H44" i="8" s="1"/>
  <c r="F144" i="8"/>
  <c r="H212" i="8"/>
  <c r="F465" i="8"/>
  <c r="F871" i="8"/>
  <c r="H862" i="8" s="1"/>
  <c r="H861" i="8" s="1"/>
  <c r="F993" i="8"/>
  <c r="H982" i="8" s="1"/>
  <c r="H981" i="8" s="1"/>
  <c r="F1082" i="8"/>
  <c r="H1073" i="8" s="1"/>
  <c r="H1072" i="8" s="1"/>
  <c r="F42" i="8"/>
  <c r="F79" i="8"/>
  <c r="F158" i="8"/>
  <c r="F189" i="8"/>
  <c r="H185" i="8" s="1"/>
  <c r="F210" i="8"/>
  <c r="H206" i="8" s="1"/>
  <c r="F336" i="8"/>
  <c r="F346" i="8"/>
  <c r="F374" i="8"/>
  <c r="H369" i="8" s="1"/>
  <c r="H368" i="8" s="1"/>
  <c r="F495" i="8"/>
  <c r="F535" i="8"/>
  <c r="H527" i="8" s="1"/>
  <c r="H526" i="8" s="1"/>
  <c r="F545" i="8"/>
  <c r="H537" i="8" s="1"/>
  <c r="H536" i="8" s="1"/>
  <c r="H607" i="8"/>
  <c r="F709" i="8"/>
  <c r="H704" i="8" s="1"/>
  <c r="H703" i="8" s="1"/>
  <c r="F839" i="8"/>
  <c r="F846" i="8" s="1"/>
  <c r="H835" i="8" s="1"/>
  <c r="H834" i="8" s="1"/>
  <c r="F961" i="8"/>
  <c r="H950" i="8" s="1"/>
  <c r="H949" i="8" s="1"/>
  <c r="F976" i="8"/>
  <c r="H963" i="8" s="1"/>
  <c r="H962" i="8" s="1"/>
  <c r="F1001" i="8"/>
  <c r="H996" i="8" s="1"/>
  <c r="H422" i="8"/>
  <c r="F408" i="8"/>
  <c r="H396" i="8" s="1"/>
  <c r="H395" i="8" s="1"/>
  <c r="F435" i="8"/>
  <c r="H429" i="8" s="1"/>
  <c r="H428" i="8" s="1"/>
  <c r="F1055" i="8"/>
  <c r="F19" i="8"/>
  <c r="H10" i="8" s="1"/>
  <c r="H9" i="8" s="1"/>
  <c r="F28" i="8"/>
  <c r="H21" i="8" s="1"/>
  <c r="H20" i="8" s="1"/>
  <c r="F101" i="8"/>
  <c r="H97" i="8" s="1"/>
  <c r="H96" i="8" s="1"/>
  <c r="F131" i="8"/>
  <c r="F163" i="8"/>
  <c r="F205" i="8"/>
  <c r="H201" i="8" s="1"/>
  <c r="F231" i="8"/>
  <c r="F266" i="8"/>
  <c r="H256" i="8" s="1"/>
  <c r="H255" i="8" s="1"/>
  <c r="F272" i="8"/>
  <c r="H268" i="8" s="1"/>
  <c r="H267" i="8" s="1"/>
  <c r="F300" i="8"/>
  <c r="H294" i="8" s="1"/>
  <c r="H293" i="8" s="1"/>
  <c r="F447" i="8"/>
  <c r="H437" i="8" s="1"/>
  <c r="H436" i="8" s="1"/>
  <c r="F455" i="8"/>
  <c r="F466" i="8" s="1"/>
  <c r="H449" i="8" s="1"/>
  <c r="H448" i="8" s="1"/>
  <c r="F583" i="8"/>
  <c r="F594" i="8" s="1"/>
  <c r="H577" i="8" s="1"/>
  <c r="F642" i="8"/>
  <c r="H633" i="8" s="1"/>
  <c r="H632" i="8" s="1"/>
  <c r="F715" i="8"/>
  <c r="H711" i="8" s="1"/>
  <c r="H710" i="8" s="1"/>
  <c r="F761" i="8"/>
  <c r="H753" i="8" s="1"/>
  <c r="F811" i="8"/>
  <c r="H805" i="8" s="1"/>
  <c r="H804" i="8" s="1"/>
  <c r="F852" i="8"/>
  <c r="H848" i="8" s="1"/>
  <c r="H847" i="8" s="1"/>
  <c r="F894" i="8"/>
  <c r="H890" i="8" s="1"/>
  <c r="F25" i="6"/>
  <c r="H22" i="6" s="1"/>
  <c r="H21" i="6" s="1"/>
  <c r="F20" i="6"/>
  <c r="H17" i="6" s="1"/>
  <c r="H16" i="6" s="1"/>
  <c r="F737" i="8"/>
  <c r="F485" i="8"/>
  <c r="F749" i="8"/>
  <c r="H745" i="8" s="1"/>
  <c r="H409" i="8"/>
  <c r="A20" i="8"/>
  <c r="H82" i="7"/>
  <c r="H105" i="7"/>
  <c r="H104" i="7" s="1"/>
  <c r="H101" i="7"/>
  <c r="A17" i="7"/>
  <c r="A20" i="7" s="1"/>
  <c r="A24" i="7" s="1"/>
  <c r="A16" i="6"/>
  <c r="K63" i="3"/>
  <c r="J63" i="3"/>
  <c r="K4" i="3"/>
  <c r="K17" i="3" s="1"/>
  <c r="J17" i="3"/>
  <c r="K86" i="3" l="1"/>
  <c r="K175" i="3" s="1"/>
  <c r="J175" i="3"/>
  <c r="H882" i="8"/>
  <c r="H817" i="8"/>
  <c r="F237" i="8"/>
  <c r="H226" i="8" s="1"/>
  <c r="H225" i="8" s="1"/>
  <c r="H184" i="8"/>
  <c r="F1018" i="8"/>
  <c r="H1002" i="8" s="1"/>
  <c r="H995" i="8" s="1"/>
  <c r="F603" i="8"/>
  <c r="H595" i="8" s="1"/>
  <c r="H576" i="8" s="1"/>
  <c r="F738" i="8"/>
  <c r="F743" i="8" s="1"/>
  <c r="H729" i="8" s="1"/>
  <c r="H728" i="8" s="1"/>
  <c r="H200" i="8"/>
  <c r="F352" i="8"/>
  <c r="H331" i="8" s="1"/>
  <c r="H330" i="8" s="1"/>
  <c r="H64" i="7"/>
  <c r="F564" i="8"/>
  <c r="H550" i="8" s="1"/>
  <c r="H549" i="8" s="1"/>
  <c r="F150" i="8"/>
  <c r="H124" i="8" s="1"/>
  <c r="H123" i="8" s="1"/>
  <c r="F1059" i="8"/>
  <c r="H1051" i="8" s="1"/>
  <c r="H1042" i="8" s="1"/>
  <c r="F83" i="8"/>
  <c r="H75" i="8" s="1"/>
  <c r="H74" i="8" s="1"/>
  <c r="F486" i="8"/>
  <c r="H475" i="8" s="1"/>
  <c r="H474" i="8" s="1"/>
  <c r="F43" i="8"/>
  <c r="H30" i="8" s="1"/>
  <c r="H29" i="8" s="1"/>
  <c r="F513" i="8"/>
  <c r="H488" i="8" s="1"/>
  <c r="H487" i="8" s="1"/>
  <c r="F164" i="8"/>
  <c r="H152" i="8" s="1"/>
  <c r="H151" i="8" s="1"/>
  <c r="H744" i="8"/>
  <c r="E7" i="1"/>
  <c r="F7" i="1" s="1"/>
  <c r="G7" i="1" s="1"/>
  <c r="A29" i="8"/>
  <c r="A44" i="8" s="1"/>
  <c r="A28" i="7"/>
  <c r="A21" i="6"/>
  <c r="E6" i="1"/>
  <c r="F6" i="1" s="1"/>
  <c r="E8" i="1" l="1"/>
  <c r="F8" i="1" s="1"/>
  <c r="G8" i="1" s="1"/>
  <c r="J177" i="3"/>
  <c r="J176" i="3"/>
  <c r="A53" i="8"/>
  <c r="A58" i="8" s="1"/>
  <c r="A35" i="7"/>
  <c r="A26" i="6"/>
  <c r="G6" i="1"/>
  <c r="E9" i="1" l="1"/>
  <c r="G9" i="1"/>
  <c r="F9" i="1"/>
  <c r="J178" i="3"/>
  <c r="A68" i="8"/>
  <c r="A44" i="7"/>
  <c r="A47" i="7"/>
  <c r="A29" i="6"/>
  <c r="A74" i="8" l="1"/>
  <c r="A84" i="8" s="1"/>
  <c r="A64" i="7"/>
  <c r="A32" i="6"/>
  <c r="A96" i="8" l="1"/>
  <c r="A102" i="8" s="1"/>
  <c r="A76" i="7"/>
  <c r="A82" i="7" s="1"/>
  <c r="A97" i="7" s="1"/>
  <c r="A101" i="7" s="1"/>
  <c r="A104" i="7" s="1"/>
  <c r="A106" i="7" s="1"/>
  <c r="A109" i="7" s="1"/>
  <c r="A111" i="7" s="1"/>
  <c r="A114" i="7" s="1"/>
  <c r="A35" i="6"/>
  <c r="A66" i="6" s="1"/>
  <c r="A75" i="6" s="1"/>
  <c r="A78" i="6" s="1"/>
  <c r="A81" i="6" s="1"/>
  <c r="A38" i="6"/>
  <c r="A124" i="7" l="1"/>
  <c r="A120" i="7"/>
  <c r="A108" i="8"/>
  <c r="A133" i="7" l="1"/>
  <c r="A141" i="7" s="1"/>
  <c r="A148" i="7" s="1"/>
  <c r="A153" i="7" s="1"/>
  <c r="A158" i="7" s="1"/>
  <c r="A165" i="7" s="1"/>
  <c r="A174" i="7" s="1"/>
  <c r="A181" i="7" s="1"/>
  <c r="A192" i="7" s="1"/>
  <c r="A202" i="7" s="1"/>
  <c r="A219" i="7" s="1"/>
  <c r="A226" i="7" s="1"/>
  <c r="A235" i="7" s="1"/>
  <c r="A240" i="7" s="1"/>
  <c r="A243" i="7" s="1"/>
  <c r="A248" i="7" s="1"/>
  <c r="A253" i="7" s="1"/>
  <c r="A256" i="7" s="1"/>
  <c r="A263" i="7" s="1"/>
  <c r="A270" i="7" s="1"/>
  <c r="A275" i="7" s="1"/>
  <c r="A281" i="7" s="1"/>
  <c r="A284" i="7" s="1"/>
  <c r="A288" i="7" s="1"/>
  <c r="A118" i="8"/>
  <c r="A123" i="8" s="1"/>
  <c r="A151" i="8" l="1"/>
  <c r="A165" i="8" s="1"/>
  <c r="A172" i="8" l="1"/>
  <c r="A179" i="8" l="1"/>
  <c r="A184" i="8" l="1"/>
  <c r="A200" i="8" s="1"/>
  <c r="A212" i="8" s="1"/>
  <c r="A222" i="8" s="1"/>
  <c r="A225" i="8" s="1"/>
  <c r="A267" i="8" s="1"/>
  <c r="A273" i="8" s="1"/>
  <c r="A282" i="8" s="1"/>
  <c r="A286" i="8" s="1"/>
  <c r="A289" i="8" s="1"/>
  <c r="A293" i="8" s="1"/>
  <c r="A301" i="8" s="1"/>
  <c r="A305" i="8" s="1"/>
  <c r="A309" i="8" s="1"/>
  <c r="A316" i="8" s="1"/>
  <c r="A324" i="8" s="1"/>
  <c r="A330" i="8" s="1"/>
  <c r="A353" i="8" s="1"/>
  <c r="A360" i="8" s="1"/>
  <c r="A368" i="8" s="1"/>
  <c r="A375" i="8" s="1"/>
  <c r="A380" i="8" s="1"/>
  <c r="A395" i="8" s="1"/>
  <c r="A409" i="8" s="1"/>
  <c r="A422" i="8" s="1"/>
  <c r="A428" i="8" s="1"/>
  <c r="A436" i="8" s="1"/>
  <c r="A448" i="8" s="1"/>
  <c r="A474" i="8" s="1"/>
  <c r="A487" i="8" s="1"/>
  <c r="A519" i="8" s="1"/>
  <c r="A526" i="8" s="1"/>
  <c r="A536" i="8" s="1"/>
  <c r="A546" i="8" s="1"/>
  <c r="A549" i="8" s="1"/>
  <c r="A569" i="8" s="1"/>
  <c r="A576" i="8" s="1"/>
  <c r="A604" i="8" s="1"/>
  <c r="A607" i="8" s="1"/>
  <c r="A616" i="8" s="1"/>
  <c r="A632" i="8" s="1"/>
  <c r="A643" i="8" s="1"/>
  <c r="A649" i="8" s="1"/>
  <c r="A669" i="8" s="1"/>
  <c r="A673" i="8" s="1"/>
  <c r="A682" i="8" s="1"/>
  <c r="A686" i="8" s="1"/>
  <c r="A696" i="8" s="1"/>
  <c r="A703" i="8" s="1"/>
  <c r="A710" i="8" s="1"/>
  <c r="A716" i="8" s="1"/>
  <c r="A723" i="8" s="1"/>
  <c r="A728" i="8" s="1"/>
  <c r="A744" i="8" s="1"/>
  <c r="A769" i="8" s="1"/>
  <c r="A776" i="8" s="1"/>
  <c r="A790" i="8" s="1"/>
  <c r="A799" i="8" s="1"/>
  <c r="A804" i="8" s="1"/>
  <c r="A812" i="8" s="1"/>
  <c r="A817" i="8" s="1"/>
  <c r="A831" i="8" s="1"/>
  <c r="A834" i="8" s="1"/>
  <c r="A847" i="8" s="1"/>
  <c r="A853" i="8" s="1"/>
  <c r="A856" i="8" s="1"/>
  <c r="A861" i="8" s="1"/>
  <c r="A872" i="8" s="1"/>
  <c r="A875" i="8" s="1"/>
  <c r="A882" i="8" s="1"/>
  <c r="A895" i="8" s="1"/>
  <c r="A911" i="8" s="1"/>
  <c r="A918" i="8" s="1"/>
  <c r="A927" i="8" s="1"/>
  <c r="A931" i="8" s="1"/>
  <c r="A936" i="8" s="1"/>
  <c r="A941" i="8" s="1"/>
  <c r="A949" i="8" s="1"/>
  <c r="A962" i="8" s="1"/>
  <c r="A977" i="8" s="1"/>
  <c r="A981" i="8" s="1"/>
  <c r="A995" i="8" s="1"/>
  <c r="A1025" i="8" s="1"/>
  <c r="A1028" i="8" s="1"/>
  <c r="A1032" i="8" s="1"/>
  <c r="A1038" i="8" s="1"/>
  <c r="A1042" i="8" s="1"/>
  <c r="A1060" i="8" s="1"/>
  <c r="A1072" i="8" s="1"/>
</calcChain>
</file>

<file path=xl/sharedStrings.xml><?xml version="1.0" encoding="utf-8"?>
<sst xmlns="http://schemas.openxmlformats.org/spreadsheetml/2006/main" count="3853" uniqueCount="1514">
  <si>
    <t>Číslo časti stavby</t>
  </si>
  <si>
    <t>Členenie stavieb</t>
  </si>
  <si>
    <t>Názov časti stavby</t>
  </si>
  <si>
    <t>Cena bez DPH</t>
  </si>
  <si>
    <t>DPH 23%</t>
  </si>
  <si>
    <t>Cena s DPH</t>
  </si>
  <si>
    <t>001-00</t>
  </si>
  <si>
    <t/>
  </si>
  <si>
    <t>Všeobecné položky</t>
  </si>
  <si>
    <t>101-00</t>
  </si>
  <si>
    <t>Úprava cesty R1</t>
  </si>
  <si>
    <t>201-00</t>
  </si>
  <si>
    <t>Oprava mosta ev. č. R1-018</t>
  </si>
  <si>
    <t>Celkový súčet</t>
  </si>
  <si>
    <t>Klasifikácia produkcie</t>
  </si>
  <si>
    <t>Číslo položky</t>
  </si>
  <si>
    <t>Názov položky</t>
  </si>
  <si>
    <t>M.j.</t>
  </si>
  <si>
    <t>Množstvo</t>
  </si>
  <si>
    <t>Jednotková cena</t>
  </si>
  <si>
    <t>Jedn. cena s DPH</t>
  </si>
  <si>
    <t>45.00.00 - Všeobecné položky v procese obstarávania stavieb</t>
  </si>
  <si>
    <t>45.00.00</t>
  </si>
  <si>
    <t>00000106</t>
  </si>
  <si>
    <t>Dokumentácia na vykonanie prác (DVP)</t>
  </si>
  <si>
    <t>sub.</t>
  </si>
  <si>
    <t>00000107</t>
  </si>
  <si>
    <t>Dokumentácia skutočného zhotovenia stavby (DSZS)</t>
  </si>
  <si>
    <t>00010401</t>
  </si>
  <si>
    <t>Zmluvné požiadavky poplatky za skládky vybúraných hmôt a sutí</t>
  </si>
  <si>
    <t>t</t>
  </si>
  <si>
    <t>00010403</t>
  </si>
  <si>
    <t>Zmluvné požiadavky poplatky za skládky zeminy</t>
  </si>
  <si>
    <t>m3</t>
  </si>
  <si>
    <t>00010404</t>
  </si>
  <si>
    <t>Zmluvné požiadavky poplatky za skládky travín, krovia, mačiny, lesnej hrabanky</t>
  </si>
  <si>
    <t>00020223</t>
  </si>
  <si>
    <t>Prieskumné práce, botanický a zoologický dohľad</t>
  </si>
  <si>
    <t>00020605</t>
  </si>
  <si>
    <t>Požiadavky objednávateľa pomocné práce zhotovovacie alebo zaisťovacie lešenia</t>
  </si>
  <si>
    <t>00020661</t>
  </si>
  <si>
    <t>Prieskumné práce, stavebný prieskum, stavebno - statického stavu</t>
  </si>
  <si>
    <t>00020705</t>
  </si>
  <si>
    <t>Požiadavky objednávateľa prieskumné práce diagnostický prieskum  konštrukcií</t>
  </si>
  <si>
    <t>m2</t>
  </si>
  <si>
    <t>00020801</t>
  </si>
  <si>
    <t>Požiadavky objednávateľa ostatné požiadavky geodetické zabezpečenie</t>
  </si>
  <si>
    <t>00030705</t>
  </si>
  <si>
    <t>Staveniskové náklady zhotoviteľa pomocné práce zhotovovacie alebo zaisťovacie lešenia</t>
  </si>
  <si>
    <t>00060121</t>
  </si>
  <si>
    <t>Zariadenie staveniska, prevádzkové, oplotenie staveniska</t>
  </si>
  <si>
    <t>m</t>
  </si>
  <si>
    <t>00120100</t>
  </si>
  <si>
    <t>Monitoring, monitoring</t>
  </si>
  <si>
    <t>45.11.11 - Demolačné práce</t>
  </si>
  <si>
    <t>45.11.11</t>
  </si>
  <si>
    <t>05010304</t>
  </si>
  <si>
    <t>Búranie konštrukcií stropov, klenieb, schodov betónových</t>
  </si>
  <si>
    <t>05010305</t>
  </si>
  <si>
    <t>Búranie konštrukcií stropov, klenieb, schodov železobetónových</t>
  </si>
  <si>
    <t>05010405</t>
  </si>
  <si>
    <t>Búranie konštrukcií trámov, nosníkov, prievlakov, konzolových prvkov železobetónových</t>
  </si>
  <si>
    <t>05010409</t>
  </si>
  <si>
    <t>Búranie konštrukcií trámov, nosníkov, prievlakov, konzolových prvkov železobetónových mechanické ruč</t>
  </si>
  <si>
    <t>05010814</t>
  </si>
  <si>
    <t>Búranie konštrukcií, otlčenie omietok a odstránenie povrchových úprav obkladov</t>
  </si>
  <si>
    <t>05020131</t>
  </si>
  <si>
    <t>Vybúranie, odstránenie konštrukcií - izolácie povlakovej</t>
  </si>
  <si>
    <t>05020884</t>
  </si>
  <si>
    <t>Vybúranie konštrukcií a demontáže, vonkajších oceľových potrubí, rezanie potrubia</t>
  </si>
  <si>
    <t>05020885</t>
  </si>
  <si>
    <t>Vybúranie konštrukcií a demontáže, rezanie výstuže</t>
  </si>
  <si>
    <t>ks</t>
  </si>
  <si>
    <t>05020907</t>
  </si>
  <si>
    <t>Vybúranie, odstránenie konštrukcií, rôznych predmetov kovových</t>
  </si>
  <si>
    <t>05020910</t>
  </si>
  <si>
    <t>Vybúranie, odstránenie konštrukcií, rôznych predmetov z plastov</t>
  </si>
  <si>
    <t>05030162</t>
  </si>
  <si>
    <t>Odstránenie spevnených plôch a vozoviek, krytov bitúmenových</t>
  </si>
  <si>
    <t>05030166</t>
  </si>
  <si>
    <t>Odstránenie spevnených plôch vozoviek a doplňujúcich konštrukcií krytov dláždených</t>
  </si>
  <si>
    <t>05030261</t>
  </si>
  <si>
    <t>Odstránenie spevnených plôch a vozoviek, podkladov z betónu prostého</t>
  </si>
  <si>
    <t>05030264</t>
  </si>
  <si>
    <t>Odstránenie spevnených plôch a vozoviek, podkladov z kameniva hrubého drveného</t>
  </si>
  <si>
    <t>05030401</t>
  </si>
  <si>
    <t>Odstránenie spevnených plôch vozoviek a doplňujúcich konštrukcií zvodidiel, zábradlia, stien, oplote</t>
  </si>
  <si>
    <t>05030407</t>
  </si>
  <si>
    <t>Odstránenie spevnených plôch a vozoviek, zvodidiel, zábradlia,stien, oplotenia kovových</t>
  </si>
  <si>
    <t>05030507</t>
  </si>
  <si>
    <t>Odstránenie spevnených plôch a vozoviek, zvislého dopravného značenia, kovových</t>
  </si>
  <si>
    <t>05080200</t>
  </si>
  <si>
    <t>Doprava vybúraných hmôt vodorovná</t>
  </si>
  <si>
    <t>05090204</t>
  </si>
  <si>
    <t>Doplňujúce práce, úprava stavebných konštrukcií vysokotlakým vodným lúčom železobetónových, 20 Mpa</t>
  </si>
  <si>
    <t>05090205</t>
  </si>
  <si>
    <t>Doplňujúce práce, úprava stavebných konštrukcií vysokotlakým vodným lúčom železobetónových, 100 Mpa</t>
  </si>
  <si>
    <t>05090206</t>
  </si>
  <si>
    <t>Doplňujúce práce, búranie stavebných konštrukcií vysokotlakým vodným lúčom železobetónových</t>
  </si>
  <si>
    <t>05090208</t>
  </si>
  <si>
    <t>Doplňujúce práce, úprava stavebných konštrukcií  železobetónových mechanicky ručne</t>
  </si>
  <si>
    <t>05090361</t>
  </si>
  <si>
    <t>Doplňujúce práce, frézovanie betónového krytu, podkladu</t>
  </si>
  <si>
    <t>05090362</t>
  </si>
  <si>
    <t>Doplňujúce práce, frézovanie bitúmenového krytu, podkladu</t>
  </si>
  <si>
    <t>05090461</t>
  </si>
  <si>
    <t>Doplňujúce práce, diamantové rezanie betónového krytu, podkladu</t>
  </si>
  <si>
    <t>05090462</t>
  </si>
  <si>
    <t>Doplňujúce práce, diamantové rezanie bitúmenového krytu, podkladu</t>
  </si>
  <si>
    <t>05090503</t>
  </si>
  <si>
    <t>Doplňujúce práce, vŕtanie do železobetónu</t>
  </si>
  <si>
    <t>05090605</t>
  </si>
  <si>
    <t>Úprava betónového povrchu mechanická, čistenie</t>
  </si>
  <si>
    <t>05090606</t>
  </si>
  <si>
    <t>Úprava betónového povrchu mechanická, metličkovanie</t>
  </si>
  <si>
    <t>45.11.12 - Úprava staveniska a vyčisťovacie práce</t>
  </si>
  <si>
    <t>45.11.12</t>
  </si>
  <si>
    <t>01010001</t>
  </si>
  <si>
    <t>Pripravné práce, všeobecné vypratanie zastavaných území</t>
  </si>
  <si>
    <t>01010104</t>
  </si>
  <si>
    <t>Pripravné práce, odstránenie porastov mačiny</t>
  </si>
  <si>
    <t>01060204</t>
  </si>
  <si>
    <t>Premiestnenie  vodorovné nad 3 000 m</t>
  </si>
  <si>
    <t>45.11.23 - Vyplňovanie a rekultivačné práce</t>
  </si>
  <si>
    <t>45.11.23</t>
  </si>
  <si>
    <t>01060202</t>
  </si>
  <si>
    <t>Premiestnenie  , vodorovné do 1 000 m</t>
  </si>
  <si>
    <t>01060700</t>
  </si>
  <si>
    <t>Premiestnenie  - nakladanie, prekladanie, vykladanie</t>
  </si>
  <si>
    <t>01080501</t>
  </si>
  <si>
    <t>Povrchové úpravy terénu, úpravy povrchov rozprestretím ornice</t>
  </si>
  <si>
    <t>01080503</t>
  </si>
  <si>
    <t>Povrchové úpravy terénu, úpravy povrchov založením trávnika hydroosevom</t>
  </si>
  <si>
    <t>01080811</t>
  </si>
  <si>
    <t>Povrchové úpravy terénu, sadenie, presádzanie, ošetrovanie, ochrana trávnika</t>
  </si>
  <si>
    <t>45.11.24 - Výkopové práce</t>
  </si>
  <si>
    <t>45.11.24</t>
  </si>
  <si>
    <t>01020200</t>
  </si>
  <si>
    <t>Odkopávky a prekopávky nezapažené</t>
  </si>
  <si>
    <t>01030102</t>
  </si>
  <si>
    <t>Hĺbené vykopávky jám nezapažených</t>
  </si>
  <si>
    <t>01080102</t>
  </si>
  <si>
    <t>Povrchové úpravy terénu, úprava pláne so  zhutnením v násypoch</t>
  </si>
  <si>
    <t>01080300</t>
  </si>
  <si>
    <t>Povrchové úpravy terénu, úprava podložia</t>
  </si>
  <si>
    <t>45.11.25 - Presun zemín</t>
  </si>
  <si>
    <t>45.11.25</t>
  </si>
  <si>
    <t>Premiestnenie  vodorovné nad 5 000 m</t>
  </si>
  <si>
    <t>45.22.11 - Stavebné práce na mostoch</t>
  </si>
  <si>
    <t>45.22.11</t>
  </si>
  <si>
    <t>11010101</t>
  </si>
  <si>
    <t>Základy, pásy z betónu prostého</t>
  </si>
  <si>
    <t>11010201</t>
  </si>
  <si>
    <t>Základy, pätky z betónu prostého</t>
  </si>
  <si>
    <t>11050602</t>
  </si>
  <si>
    <t>Zvislé konštrukcie inžinierskych stavieb, rímsy z betónu železového</t>
  </si>
  <si>
    <t>11050612</t>
  </si>
  <si>
    <t>Zvislé konštrukcie inžinierskych stavieb, rímsy, debnenie z dielcov</t>
  </si>
  <si>
    <t>11050613</t>
  </si>
  <si>
    <t>Zvislé konštrukcie inžinierskych stavieb, rímsy, debnenie zabudované</t>
  </si>
  <si>
    <t>11050621</t>
  </si>
  <si>
    <t>Zvislé konštrukcie inžinierskych stavieb, rímsy, výstuž z betonárskej ocele</t>
  </si>
  <si>
    <t>11080102</t>
  </si>
  <si>
    <t>Vodorovné nosné konštrukcie inžinierskych stavieb, prechodové dosky z betónu železového</t>
  </si>
  <si>
    <t>11080121</t>
  </si>
  <si>
    <t>Vodorovné nosné konštrukcie inžinierskych stavieb, prechodové dosky, výstuž z betonárskej ocele</t>
  </si>
  <si>
    <t>11080202</t>
  </si>
  <si>
    <t>Vodorovné nosné konštrukcie inžinierskych stavieb, mostné dosky, klenby z betónu železového</t>
  </si>
  <si>
    <t>11080211</t>
  </si>
  <si>
    <t>Vodorovné nosné konštrukcie inžinierskych stavieb, mostné dosky, klenby, debnenie tradičné</t>
  </si>
  <si>
    <t>11080221</t>
  </si>
  <si>
    <t>Vodorovné nosné konštrukcie inžinierskych stavieb, mostné dosky, klenby, výstuž z betonárskej ocele</t>
  </si>
  <si>
    <t>11080302</t>
  </si>
  <si>
    <t>Vodorovné nosné konštrukcie inžinierskych stavieb, mostné trámy z betónu železového</t>
  </si>
  <si>
    <t>11080502</t>
  </si>
  <si>
    <t>Vodorovné nosné konštrukcie inžinierskych stavieb, mostné komorové z betónu železováho</t>
  </si>
  <si>
    <t>11080503</t>
  </si>
  <si>
    <t>Vodorovné nosné konštrukcie inžinierskych stavieb, mostné komorové z betónu predpätého</t>
  </si>
  <si>
    <t>11080511</t>
  </si>
  <si>
    <t>Vodorovné nosné konštrukcie inžinierskych stavieb, mostné komorové, debnenie tradičné</t>
  </si>
  <si>
    <t>11080521</t>
  </si>
  <si>
    <t>Vodorovné nosné konštrukcie inžinierskych stavieb, mostné komorové, výstuž z betonárskej ocele</t>
  </si>
  <si>
    <t>11080522</t>
  </si>
  <si>
    <t>Vodorovné nosné konštrukcie inžinierskych stavieb, mostné komorové, výstuž z predpínacej ocele</t>
  </si>
  <si>
    <t>15020404</t>
  </si>
  <si>
    <t>Múry, rímsy z dielcov polymércementových</t>
  </si>
  <si>
    <t>21030106</t>
  </si>
  <si>
    <t>Stĺpy, piliere, mostné podpery z ocele</t>
  </si>
  <si>
    <t>21200242</t>
  </si>
  <si>
    <t>Podkladné a vedľajšie konštrukcie pod mostnými ložiskami, modifikovaná malta</t>
  </si>
  <si>
    <t>21250106</t>
  </si>
  <si>
    <t>Doplňujúce konštrukcie, zvodidlá oceľové</t>
  </si>
  <si>
    <t>21250320</t>
  </si>
  <si>
    <t>Doplňujúce konštrukcie, odvodnenie mostov, odvodňovače</t>
  </si>
  <si>
    <t>21250321</t>
  </si>
  <si>
    <t>Doplňujúce konštrukcie, odvodnenie mostov, odvodňovacie potrubie</t>
  </si>
  <si>
    <t>21250422</t>
  </si>
  <si>
    <t>Doplňujúce konštrukcie, dilatačné zariadenia, výplň dilatačných škár</t>
  </si>
  <si>
    <t>21250424</t>
  </si>
  <si>
    <t>Doplňujúce konštrukcie, dilatačné zariadenia, tesnenie dilatačných škár</t>
  </si>
  <si>
    <t>21250426</t>
  </si>
  <si>
    <t xml:space="preserve">Doplňujúce konštrukcie, dilatačné zariadenia, mostné závery povrchové posun  </t>
  </si>
  <si>
    <t>21250833</t>
  </si>
  <si>
    <t>Doplňujúce konštrukcie, zaťažovacie skúšky statické</t>
  </si>
  <si>
    <t>21250906</t>
  </si>
  <si>
    <t>Doplňujúce konštrukcie, drobné zariadenia oceľové</t>
  </si>
  <si>
    <t>21250907</t>
  </si>
  <si>
    <t>Doplňujúce konštrukcie, dodatočné vlepovanie výstuže</t>
  </si>
  <si>
    <t>21250908</t>
  </si>
  <si>
    <t>Doplňujúce konštrukcie, drobné zariadenia oceľové, chemické kotvy ríms</t>
  </si>
  <si>
    <t>21251001</t>
  </si>
  <si>
    <t>Doplňujúce konštrukcie, podperné konštrukcie mostov z dreva</t>
  </si>
  <si>
    <t>21251006</t>
  </si>
  <si>
    <t>Doplňujúce konštrukcie, podperné konštrukcie mostov oceľové</t>
  </si>
  <si>
    <t>21251161</t>
  </si>
  <si>
    <t>Doplňujúce konštrukcie, špeciálne pomocné, ošetrenie betonárskej výstuže</t>
  </si>
  <si>
    <t>68060701</t>
  </si>
  <si>
    <t>Ostatné doplnkové konštrukcie, univerzálna krivka obtiažnosti 1</t>
  </si>
  <si>
    <t>45.22.38 - Kompletovanie a montáž prefabrikovaných konštrukcií</t>
  </si>
  <si>
    <t>45.22.38</t>
  </si>
  <si>
    <t>15010201</t>
  </si>
  <si>
    <t>Základové pásy, prahy z dielcov betónových</t>
  </si>
  <si>
    <t>45.23.13 - Práce na stavbe miestnych potrubných vedení vody a kanalizácie</t>
  </si>
  <si>
    <t>45.23.13</t>
  </si>
  <si>
    <t>27020421</t>
  </si>
  <si>
    <t>Vodovody, rúry plastové PE, PP</t>
  </si>
  <si>
    <t>45.23.32 - Práce na vrchnej stavbe diaľníc, ciest, ulíc, chodníkov a nekrytých parkovísk</t>
  </si>
  <si>
    <t>45.23.32</t>
  </si>
  <si>
    <t>22020417</t>
  </si>
  <si>
    <t>Podkladné a krycie vrstvy s hydraulickým spojivom, cementobetónové jednovrstvové, beton prostý</t>
  </si>
  <si>
    <t>22030330</t>
  </si>
  <si>
    <t>Podkladné a krycie vrstvy z asfaltových zmesí, bitúmenové postreky, nátery,posypy spojovací postrek</t>
  </si>
  <si>
    <t>22030334</t>
  </si>
  <si>
    <t>Podkladné a krycie vrstvy z asfaltových zmesí, bitúmenové postreky, nátery, posypy posyp podkladu al</t>
  </si>
  <si>
    <t>22030640</t>
  </si>
  <si>
    <t>Podkladné a krycie vrstvy z asfaltových zmesí, bitúmenové vrstvy, asfaltový betón</t>
  </si>
  <si>
    <t>22030641</t>
  </si>
  <si>
    <t>Podkladné a krycie vrstvy z asfaltových zmesí, bitúmenové vrstvy, asfaltový koberec mastixový</t>
  </si>
  <si>
    <t>22030643</t>
  </si>
  <si>
    <t>Podkladné a krycie vrstvy z asfaltových zmesí, bitúmenové vrstvy, asfaltový koberec drenážny</t>
  </si>
  <si>
    <t>22030744</t>
  </si>
  <si>
    <t>Podkladné a krycie vrstvy z asfaltových zmesí, liaty asfalt, cestný</t>
  </si>
  <si>
    <t>22030952</t>
  </si>
  <si>
    <t>Podkladné a krycie vrstvy z asfaltových zmesí úprava škár pri opravách, elastická zálievka</t>
  </si>
  <si>
    <t>22040752</t>
  </si>
  <si>
    <t>Kryty dláždené,chodníkov komunikácií,rigolov - vyplnenie škár elastickou zálievkou</t>
  </si>
  <si>
    <t>22040854</t>
  </si>
  <si>
    <t>Kryty dláždené,chodníkov komunikácií,rigolov - úprava škár pri opravách a vyplnenie škár maltou</t>
  </si>
  <si>
    <t>22250162</t>
  </si>
  <si>
    <t>Doplňujúce konštrukcie,  zábradlie kovové</t>
  </si>
  <si>
    <t>22250356</t>
  </si>
  <si>
    <t>Doplňujúce konštrukcie, zvodidlá prefabrikované</t>
  </si>
  <si>
    <t>22250357</t>
  </si>
  <si>
    <t>Doplňujúce konštrukcie, zvodidlá prefabrikované dočasné</t>
  </si>
  <si>
    <t>22250362</t>
  </si>
  <si>
    <t>Doplňujúce konštrukcie, zvodidlá oceľové , jednostranné, úroveň zachytenia min H1</t>
  </si>
  <si>
    <t>22250363</t>
  </si>
  <si>
    <t>Doplňujúce konštrukcie, zvodidlá oceľové , jednostranné, úroveň zachytenia min H2</t>
  </si>
  <si>
    <t>22250398</t>
  </si>
  <si>
    <t>Doplňujúce konštrukcie, zvodidlá oceľové , jednostranné, úroveň zachytenia min H2, prechodová zvodni</t>
  </si>
  <si>
    <t>22250403</t>
  </si>
  <si>
    <t>Doplňujúce konštrukcie, zvodidlá oceľové , obojstranné, úroveň zachytenia min H2, prechodová zvodnic</t>
  </si>
  <si>
    <t>22250463</t>
  </si>
  <si>
    <t>Doplňujúce konštrukcie,  ochranné zariadenia, odrazníky</t>
  </si>
  <si>
    <t>22250464</t>
  </si>
  <si>
    <t>Doplňujúce konštrukcie,  ochranné zariadenia, smerové stĺpiky, nádstavce na zvodidlá</t>
  </si>
  <si>
    <t>22250570</t>
  </si>
  <si>
    <t>Doplňujúce konštrukcie,  značky staničenia, nivelačné značky</t>
  </si>
  <si>
    <t>22250671</t>
  </si>
  <si>
    <t>Doplňujúce konštrukcie,  zvislé dopravné značky, normálny rozmer</t>
  </si>
  <si>
    <t>22250674</t>
  </si>
  <si>
    <t>Doplňujúce konštrukcie,  zvislé dopravné značky, stĺpiky</t>
  </si>
  <si>
    <t>22250980</t>
  </si>
  <si>
    <t>Doplňujúce konštrukcie,  obrubníky chodníkové</t>
  </si>
  <si>
    <t>22251489</t>
  </si>
  <si>
    <t>Doplňujúce konštrukcie,  pri stavbe krytov komunikácií, brúsenie,zdrsnenie</t>
  </si>
  <si>
    <t>45.23.33 - Práce spodnej stavby spodnej stavby diaľnic, ciest, ulíc a chodníkov</t>
  </si>
  <si>
    <t>45.23.33</t>
  </si>
  <si>
    <t>22010104</t>
  </si>
  <si>
    <t>Podkladné a krycie vrstvy bez spojiva nestmelené, štrkodrva</t>
  </si>
  <si>
    <t>22010201</t>
  </si>
  <si>
    <t>Podkladné a krycie vrstvy bez spojiva, spevnenie krajníc zo zeminy</t>
  </si>
  <si>
    <t>22010204</t>
  </si>
  <si>
    <t>Podkladné a krycie vrstvy bez spojiva, spevnenie krajníc, štrkodrva</t>
  </si>
  <si>
    <t>22020421</t>
  </si>
  <si>
    <t xml:space="preserve">Podkladné a krycie vrstvy s hydraulickým spojivom, cementobetónové jednovrstvové, kamenivo spevnené </t>
  </si>
  <si>
    <t>22030329</t>
  </si>
  <si>
    <t>Podkladné a krycie vrstvy z asfaltových zmesí, bitúmenové postreky, nátery,posypy infiltračný postre</t>
  </si>
  <si>
    <t>45.24.70 - Práce na hrubej stavbe úprav tokov, hrádzí, zavlažovacích kanálov a akvaduktov</t>
  </si>
  <si>
    <t>45.24.70</t>
  </si>
  <si>
    <t>11200101</t>
  </si>
  <si>
    <t>Podkladné konštrukcie, podkladné vrstvy, z betónu prostého</t>
  </si>
  <si>
    <t>45.26.14 - Izolačné práce proti vode</t>
  </si>
  <si>
    <t>45.26.14</t>
  </si>
  <si>
    <t>61010101</t>
  </si>
  <si>
    <t>Izolácie proti vode a zemnej vlhkosti, bežných konštrukcií náterivami a tmelmi</t>
  </si>
  <si>
    <t>61010501</t>
  </si>
  <si>
    <t>Izolácie proti vode a zemnej vlhkosti, mostoviek náterivami a tmelmi</t>
  </si>
  <si>
    <t>61010502</t>
  </si>
  <si>
    <t>Izolácie proti vode a zemnej vlhkosti, mostoviek pásmi</t>
  </si>
  <si>
    <t>61010503</t>
  </si>
  <si>
    <t>Izolácie proti vode a zemnej vlhkosti, mostoviek fóliami</t>
  </si>
  <si>
    <t>61010602</t>
  </si>
  <si>
    <t>Izolácie proti vode a zemnej vlhkosti, zhotovenie detailov pásmi</t>
  </si>
  <si>
    <t>45.26.22 - Základové práce a vŕtanie vodných studní</t>
  </si>
  <si>
    <t>45.26.22</t>
  </si>
  <si>
    <t>02010553</t>
  </si>
  <si>
    <t>Zlepšovanie základovej pôdy, drenážne vrstvy z geosyntetického materiálu</t>
  </si>
  <si>
    <t>02061090</t>
  </si>
  <si>
    <t>Čistenie muriva podpier, pilierov, krídiel od machu a inej vegetácie</t>
  </si>
  <si>
    <t>02061129</t>
  </si>
  <si>
    <t>Spevňovanie hornín a konštrukcií, škárovanie, zamurovanie aktivovanou maltou, suspenziou</t>
  </si>
  <si>
    <t>02061219</t>
  </si>
  <si>
    <t>Spevňovanie hornín a konštrukcií, zalievanie epoxidovou živicou</t>
  </si>
  <si>
    <t>45.26.23 - Betonárske práce</t>
  </si>
  <si>
    <t>45.26.23</t>
  </si>
  <si>
    <t>11010302</t>
  </si>
  <si>
    <t>Základy, dosky z betónu železového</t>
  </si>
  <si>
    <t>11010321</t>
  </si>
  <si>
    <t>Základy, dosky, výstuž z betonárskej ocele</t>
  </si>
  <si>
    <t>45.26.25 - Murovanie a murárske práce</t>
  </si>
  <si>
    <t>45.26.25</t>
  </si>
  <si>
    <t>12260123</t>
  </si>
  <si>
    <t>Dokončovacie práce, dilatačné škáry a zariadenia z izolačných dosiek</t>
  </si>
  <si>
    <t>12260328</t>
  </si>
  <si>
    <t>Dokončovacie práce, čistenie objektov kanálov, zásobníkov, vnútorných priestorov mostov</t>
  </si>
  <si>
    <t>12260520</t>
  </si>
  <si>
    <t>Dokončovacie práce, doplnky vonkajšie betónové</t>
  </si>
  <si>
    <t>45.31.12 - Elektroinštalačné práce v neobytných budovách</t>
  </si>
  <si>
    <t>45.31.12</t>
  </si>
  <si>
    <t>91220301</t>
  </si>
  <si>
    <t>Uzemňovacie a bleskozvodné vedenia - vodiče nadzemné, na povrchu FeZn</t>
  </si>
  <si>
    <t xml:space="preserve">45.32.12 </t>
  </si>
  <si>
    <t>61050505</t>
  </si>
  <si>
    <t>Izolácie proti chemickým vplyvom, technologických zariadení, ochrannými a podkladnými textíliami</t>
  </si>
  <si>
    <t>45.34.20 - Montáž oplotenia</t>
  </si>
  <si>
    <t>45.34.20</t>
  </si>
  <si>
    <t>67110108</t>
  </si>
  <si>
    <t>Oplotenie  z drôteného pletiva pozinkovaného</t>
  </si>
  <si>
    <t>45.41.10</t>
  </si>
  <si>
    <t>13071513</t>
  </si>
  <si>
    <t>Vonkajšie povrchy vodorovných konštrukcií, reprofilácia podhľadov maltou sanačnou</t>
  </si>
  <si>
    <t>13071613</t>
  </si>
  <si>
    <t>Vonkajšie povrchy vodorovných konštrukcií, reprofilácia vodorovných plôch maltou sanačnou</t>
  </si>
  <si>
    <t>13091808</t>
  </si>
  <si>
    <t>Vonkajšie povrchy stien, škárovanie z plastických maltovín</t>
  </si>
  <si>
    <t>13101513</t>
  </si>
  <si>
    <t>Vonkajšie povrchy stĺpov a pilierov, reprofilácia zvislých a šikmých plôch maltou sanačnou</t>
  </si>
  <si>
    <t>45.44.20 - Nanášanie ochranných vrstiev - maliarske a natieračské práce</t>
  </si>
  <si>
    <t>45.44.20</t>
  </si>
  <si>
    <t>84010207</t>
  </si>
  <si>
    <t>Náter kovových doplnkových konštr., farba epoxidová</t>
  </si>
  <si>
    <t>84010210</t>
  </si>
  <si>
    <t>Náter kovových doplnkových konštr., farba polyuretanová</t>
  </si>
  <si>
    <t>84010214</t>
  </si>
  <si>
    <t>Náter kovových doplnkových konštr., lak asfaltový</t>
  </si>
  <si>
    <t>84010807</t>
  </si>
  <si>
    <t>Náter omietok a betónových povrchov, farba epoxidová</t>
  </si>
  <si>
    <t>84010810</t>
  </si>
  <si>
    <t>Náter omietok a betónových povrchov, impregnačný polyuretánový náter</t>
  </si>
  <si>
    <t>84010818</t>
  </si>
  <si>
    <t>Náter betónových konštrukcií mostov zjednocujúci</t>
  </si>
  <si>
    <t>84010951</t>
  </si>
  <si>
    <t xml:space="preserve">Náter povrchov strojov a zariadení, otryskanie </t>
  </si>
  <si>
    <t>84010952</t>
  </si>
  <si>
    <t xml:space="preserve">Náter povrchov strojov a zariadení, metalizácia </t>
  </si>
  <si>
    <t>Časť stavby</t>
  </si>
  <si>
    <t>001-00 - Všeobecné položky</t>
  </si>
  <si>
    <t>Celkom za 001-00 - Všeobecné položky</t>
  </si>
  <si>
    <t>101-00 - Úprava cesty R1</t>
  </si>
  <si>
    <t>Celkom za 101-00 - Úprava cesty R1</t>
  </si>
  <si>
    <t>201-00 - Oprava mosta ev. č. R1-018</t>
  </si>
  <si>
    <t xml:space="preserve">Vybúranie konštrukcií a demontáže, vonkajších oceľových potrubí, rezanie potrubia </t>
  </si>
  <si>
    <t>Doplňujúce konštrukcie,  zvislé dopravné značky, normálny alebo zväčšený rozmer</t>
  </si>
  <si>
    <t>Celkom za 201-00 - Oprava mosta ev. č. R1-018</t>
  </si>
  <si>
    <t>45.32.12 - Ostatné izolačné práce</t>
  </si>
  <si>
    <t>45.41.10 - Omietkárske práce</t>
  </si>
  <si>
    <t xml:space="preserve">Názov stavby: </t>
  </si>
  <si>
    <t>Rekapitulácia stavby</t>
  </si>
  <si>
    <t>REKONŠTRUKCIA MOSTA EV. Č. R1-018 VÁHOVCE, ĽAVÝ MOST</t>
  </si>
  <si>
    <t>Súpis prác</t>
  </si>
  <si>
    <t>Jednotková cena v € bez DPH</t>
  </si>
  <si>
    <t>Cena v € bez DPH</t>
  </si>
  <si>
    <t>Časti stavby</t>
  </si>
  <si>
    <t>Odstránenie spevnených plôch vozoviek a doplňujúcich konštrukcií zvodidiel, zábradlia, stien, oplotení z dielcov prefabrikovaných</t>
  </si>
  <si>
    <t>Doplňujúce konštrukcie, zvodidlá oceľové , jednostranné, úroveň zachytenia min H2, prechodová zvodnica</t>
  </si>
  <si>
    <t>Doplňujúce konštrukcie, zvodidlá oceľové , obojstranné, úroveň zachytenia min H2, prechodová zvodnica</t>
  </si>
  <si>
    <t>Podkladné a krycie vrstvy z asfaltových zmesí, bitúmenové postreky, nátery,posypy infiltračný postrek</t>
  </si>
  <si>
    <t>Podkladné a krycie vrstvy z asfaltových zmesí, bitúmenové postreky, nátery, posypy posyp podkladu</t>
  </si>
  <si>
    <t>V ....................... dňa: ...............</t>
  </si>
  <si>
    <t>...........................................................</t>
  </si>
  <si>
    <t>meno, priezvisko a podpis osoby</t>
  </si>
  <si>
    <t>oprávnenej konať v mene uchádzača</t>
  </si>
  <si>
    <t>Cena spolu bez DPH</t>
  </si>
  <si>
    <t>Cena spolu s DPH</t>
  </si>
  <si>
    <t>Stavba:</t>
  </si>
  <si>
    <t xml:space="preserve">Rekonštrukcia mosta ev. č. R1- 018 Váhovce, ľavý most </t>
  </si>
  <si>
    <t>Objekt:</t>
  </si>
  <si>
    <t>VŠEOBECNÉ POLOŽKY</t>
  </si>
  <si>
    <t>C.P.</t>
  </si>
  <si>
    <t>POLOŽKA</t>
  </si>
  <si>
    <t>VÝKAZ VÝMER</t>
  </si>
  <si>
    <t>M. J.</t>
  </si>
  <si>
    <t>MNOŽSTVO</t>
  </si>
  <si>
    <t>KÓD KP</t>
  </si>
  <si>
    <t>KÓD PP</t>
  </si>
  <si>
    <t xml:space="preserve">VŠEOBECNÉ POLOŽKY V PROCESE OBSTARÁVANIA STAVIEB  </t>
  </si>
  <si>
    <t>3x tlačená forma, 1x digitálna forma</t>
  </si>
  <si>
    <t>3x Mostný zošit</t>
  </si>
  <si>
    <t>odvoz odpadu z SO 101-00</t>
  </si>
  <si>
    <t>odvoz odpadu z SO 201-00</t>
  </si>
  <si>
    <t>spolu</t>
  </si>
  <si>
    <t>odvoz zeminy z SO 101-00</t>
  </si>
  <si>
    <t>odvoz zeminy z SO 201-00</t>
  </si>
  <si>
    <t>100*0,1=</t>
  </si>
  <si>
    <t>výkon ekologického dozoru počas stavby</t>
  </si>
  <si>
    <t>pohyblivá plošina pre prístup pod NK DC1</t>
  </si>
  <si>
    <t>dokumentácia DVP pre monitorovanie napätí v kábloch</t>
  </si>
  <si>
    <t>diagnostika trhlín na povrchu nosnej konštrukcie DC1</t>
  </si>
  <si>
    <t>letmá betonáž DC1 vnútorný povrch</t>
  </si>
  <si>
    <t>letmá betonáž DC1 vonkajší povrch</t>
  </si>
  <si>
    <t>medzisúčet</t>
  </si>
  <si>
    <t>diagnostika polohy výstuže v trámoch a doskách NK DC1</t>
  </si>
  <si>
    <t>diagnostika polohy výstuže NK v okolí vrtov</t>
  </si>
  <si>
    <t>pri priečnikoch - zvislé vrty horný a dolný povrch NK</t>
  </si>
  <si>
    <t>(4*0.3+1.5*0.8)*2*2*2</t>
  </si>
  <si>
    <t>KB11 a KB43 trámy zvonku a zvnútra</t>
  </si>
  <si>
    <t>0.9*5*2*2*2</t>
  </si>
  <si>
    <t>KB11 a KB43 dosky zvonku a zvnútra</t>
  </si>
  <si>
    <t>(1.5*0.8*4+2.9*0.75*4)*2*2</t>
  </si>
  <si>
    <t>KB13,KB21,KB36 a KB41 trámy zvonku a zvnútra</t>
  </si>
  <si>
    <t>(3.5*1)*2*2*4</t>
  </si>
  <si>
    <t>KB13,KB21,KB36 a KB41 priečniky</t>
  </si>
  <si>
    <t>3.5*1.8*2*4</t>
  </si>
  <si>
    <t>DV23,DV24,DV33,DV34 trámy zvonku a zvnútra</t>
  </si>
  <si>
    <t>0.9*0.9*2*2*4</t>
  </si>
  <si>
    <t>DV23,DV24,DV33,DV34 dosky zvonku a zvnútra</t>
  </si>
  <si>
    <t>1.5*0.9*4*2*4</t>
  </si>
  <si>
    <t>DV26 a DV31 priečniky</t>
  </si>
  <si>
    <t>3.5*1.8*2*2</t>
  </si>
  <si>
    <t>Vrty pre betonáž  a odvzdušnenie horná doska</t>
  </si>
  <si>
    <t>0.6*0.6*2*(4*2*2+2*2*4+2*2*4+2*2*2)</t>
  </si>
  <si>
    <t>zameranie vnútorných priestorov nosnej konštrukcie DC1</t>
  </si>
  <si>
    <t>zameranie mosta pred búraním:    850,0*13,0=</t>
  </si>
  <si>
    <t>zameranie mosta po búraní:    850,0*13,0=</t>
  </si>
  <si>
    <t>zameranie mostovky po vybúraní</t>
  </si>
  <si>
    <t xml:space="preserve">ochranná konštrukcia po oboch stranách proti padaniu sutiny pri búraní ríms </t>
  </si>
  <si>
    <t>vytvorenie zásteny po celej dĺžke mosta počas trvania stavby 24/7</t>
  </si>
  <si>
    <t>snímače externého predpätia v predpínacích kábloch</t>
  </si>
  <si>
    <t>počet snímačov 12 kusov, počet meraní 3</t>
  </si>
  <si>
    <t>kabeláž, káblové skrinky, meracia jednotka, ostatné príslušenstvo, dodanie a inštalácia vrátane kotviaceho a spojovacieho materiálu, 1kpl</t>
  </si>
  <si>
    <t xml:space="preserve"> </t>
  </si>
  <si>
    <t>odovzdanie DMM- dokumentácie monitorovania mosta, 3x tlačená + 1x digitálna forma</t>
  </si>
  <si>
    <t>ÚPRAVA CESTY R1</t>
  </si>
  <si>
    <t>Demolačné práce</t>
  </si>
  <si>
    <t>rezanie elektr. uhlovou brúskou</t>
  </si>
  <si>
    <t>odpílenie 30 ks stĺpikov oceľového zvodidla:     3,14*0,14*30=</t>
  </si>
  <si>
    <t>demontáž smerových stĺpikov:    64+64=</t>
  </si>
  <si>
    <t>0503016603</t>
  </si>
  <si>
    <t>Odstránenie spevnených plôch vozoviek a doplňujúcich konštrukcií krytov dlaždených hr. nad 200 do 300 mm</t>
  </si>
  <si>
    <t>vybúranie betónového žľabu:     45*0,7=</t>
  </si>
  <si>
    <t>0503026102</t>
  </si>
  <si>
    <t>Odstránenie spevnených plôch vozoviek a doplňujúcich konštrukcií podkladov z betónu prostého hr. nad 100 do 200 mm</t>
  </si>
  <si>
    <t>typ vozovky A:</t>
  </si>
  <si>
    <t>podklad vozovky z cementovej stabilizácie</t>
  </si>
  <si>
    <t>0503026403</t>
  </si>
  <si>
    <t>Odstránenie spevnených plôch a vozoviek, podkladov z kameniva hrubého drveného hr. nad 200 do 300 mm</t>
  </si>
  <si>
    <t xml:space="preserve">podklad vozovky zo ŠD hr 220 mm   </t>
  </si>
  <si>
    <t xml:space="preserve">obojstranné bet zvodidlá výšky 1,0 (bez úrovne zachytenia)    </t>
  </si>
  <si>
    <t>zvodidlá budú odvzdané správcovi</t>
  </si>
  <si>
    <t>prejazd SDP pred mostom</t>
  </si>
  <si>
    <t>prejazd SDP za mostom</t>
  </si>
  <si>
    <t xml:space="preserve">zvodidlo oceľové </t>
  </si>
  <si>
    <t>demontované zvodidlá sa opätovne osadia, zvodnice sa použijú pôvodné, stĺpiky a spojovací materiál budú nové</t>
  </si>
  <si>
    <t>stĺpiky zvodidla budú odpílené</t>
  </si>
  <si>
    <t>jednostr. oceľ. zvod.  H1 - KB1 RH1 C (krajnica), vrátane prechodovej zvodnice na oceľové zvodidlo na mosta v počte 2 ks:    15,8+15,8=</t>
  </si>
  <si>
    <t>jednostr. oceľ. zvod H2 KB2 RH2 C (SDP), vrátane prechodovej zvodnice na oceľové zvodidlo na mosta v počte 4 ks a prechodovej zvodnice na betónové zvodidlo v počte 6 ks:     198,5+19,0+15,2=</t>
  </si>
  <si>
    <t>obojstr. oceľ. zvod H2 KB2 MH2 C (SDP), , vrátane prechodovej zvodnice na betónové zvodidlo v počte 2 ks</t>
  </si>
  <si>
    <t>zvislé dopravné značenie - spätne sa použije</t>
  </si>
  <si>
    <t>0508020003</t>
  </si>
  <si>
    <t>Doprava vybúraných hmôt vodorovná, nad 1 km</t>
  </si>
  <si>
    <t>odvoz do vzdialenosti 15 km (predpoklad skládka Pusté Sady) s naložením a vkládkou</t>
  </si>
  <si>
    <t>betón, recyklácia, odvoz na skládku:     480,0*0,44=</t>
  </si>
  <si>
    <t>kamenivo, recyklácia, odvoz na skládku:     450,0*0,4=</t>
  </si>
  <si>
    <t>bet. žľab, recyklácia, odvoz na skládku:     31,5*0,505=</t>
  </si>
  <si>
    <t>smerové stĺpiky:    128,0*0,0002=</t>
  </si>
  <si>
    <t>odvoz na skládku odpadu spolu</t>
  </si>
  <si>
    <t>asfalt do najbližšej obaľovačky</t>
  </si>
  <si>
    <t>4616,0*0,102+2034,0*0,153+510,0*0,267=</t>
  </si>
  <si>
    <t>Odvoz celkom</t>
  </si>
  <si>
    <t>0509036203</t>
  </si>
  <si>
    <t>Doplňujúce práce, frézovanie bitúmenového krytu, podkladu hr. 40 mm</t>
  </si>
  <si>
    <t>typ vozovky A:     75+75+125+40+195=</t>
  </si>
  <si>
    <t>typ vozovky B:    (242+331)+(195+226+530)=</t>
  </si>
  <si>
    <t>typ vozovky C:    (375+347+342+406+22+2+22+2+5+5)+(473+531)+50=</t>
  </si>
  <si>
    <t>0509036205</t>
  </si>
  <si>
    <t>Doplňujúce práce, frézovanie bitúmenového krytu, podkladu hr. 60 mm</t>
  </si>
  <si>
    <t xml:space="preserve">typ vozovky A:   75+75+125+40+195= </t>
  </si>
  <si>
    <t>0509036208</t>
  </si>
  <si>
    <t>Doplňujúce práce, frézovanie bitúmenového krytu, podkladu hr. 90 mm</t>
  </si>
  <si>
    <t>0509046104</t>
  </si>
  <si>
    <t>Doplňujúce práce, diamantové rezanie betónového krytu, podkladu hr. nad 200 do 250 mm</t>
  </si>
  <si>
    <t>zapílenie cementovej stabilizácie hr. 200 mm:     42*2+3+9*2+3+10*2+48*2+3=</t>
  </si>
  <si>
    <t>zapílenie jestvujúceho betónového žľabu (hrúbka 0,25 m)</t>
  </si>
  <si>
    <t>zapílenie nového betónového žľabu (1x priečne)</t>
  </si>
  <si>
    <t>0509046201</t>
  </si>
  <si>
    <t>Doplňujúce práce, diamantové rezanie bitúmenového krytu, podkladu hr. do 50 mm</t>
  </si>
  <si>
    <t>zapílenia vozovky pri pokládke obrusnej vrstvy</t>
  </si>
  <si>
    <t>zapílenie vozovky 40 mm- realizácia obrusu po poloviciach (ľavý JP pred mostom + pravý JP pred a za mostom):  112+113+101=</t>
  </si>
  <si>
    <t>zapílenie vozovky 40 mm - priečne na vozovku: 6*10=</t>
  </si>
  <si>
    <t>zapílenia vozovky v prejazdoch SDP</t>
  </si>
  <si>
    <t>zapílenie vozovky 40 mm - priečne na obrus v miestach napojenia na jestvujúcu vozovku - typ C:     90+26+104=</t>
  </si>
  <si>
    <t>zapílenie vozovky 40 mm v mieste úpravy odvodňovacieho žľabu</t>
  </si>
  <si>
    <t>0509046202</t>
  </si>
  <si>
    <t>Doplňujúce práce, diamantové rezanie bitúmenového krytu, podkladu hr nad 50 do 100 mm</t>
  </si>
  <si>
    <t>zapílenie vozovky 60 mm  - priečne na ložnú vrstvu vozovky B</t>
  </si>
  <si>
    <t>zapílenie vozovky 90 mm  - priečne na ložnú vrstvu vozovky A</t>
  </si>
  <si>
    <t>jadrové vŕtanie pre osadenie stĺpikov zvodidla do betónového žľabu:     30*0,3=</t>
  </si>
  <si>
    <t>Vyplňovanie a rekultivačné práce</t>
  </si>
  <si>
    <t>0106020201</t>
  </si>
  <si>
    <t>Premiestnenie  výkopku resp. rúbaniny, vodorovné do 1 000 m, tr. horniny 1-4</t>
  </si>
  <si>
    <t>dovoz ornice:     0,15*43,0=</t>
  </si>
  <si>
    <t>0106070007</t>
  </si>
  <si>
    <t>Premiestnenie  výkopku resp. rúbaniny - nakladanie, prekladanie, vykladanie,  tr. horniny 1-4</t>
  </si>
  <si>
    <t>0108050102</t>
  </si>
  <si>
    <t>Povrchové úpravy terénu, úpravy povrchov rozprestretím ornice na svahu</t>
  </si>
  <si>
    <t>zahumusovanie:     20+23=</t>
  </si>
  <si>
    <t>0108050301</t>
  </si>
  <si>
    <t>Povrchové úpravy terénu, úpravy povrchov založením trávnika hydroosevom na ornicu</t>
  </si>
  <si>
    <t>0108081102</t>
  </si>
  <si>
    <t>Povrchové úpravy terénu, sadenie, presádzanie, ošetrovanie, ochrana trávnika na svahu</t>
  </si>
  <si>
    <t>Výkopové práce</t>
  </si>
  <si>
    <t>0102020007</t>
  </si>
  <si>
    <t>Odkopávky a prekopávky nezapažené, tr. horniny 1-4</t>
  </si>
  <si>
    <t>výmena podložia:     0,5*450,0=</t>
  </si>
  <si>
    <t>výkop nespevnenej krajnice v strednom deliacom páse v mieste výmeny zvodidiel:     0,5*202,0=</t>
  </si>
  <si>
    <t>výkop nespevnenej krajnice na okrajoch R1 v mieste výmeny zvodidiel:     (55+85)*0,5=</t>
  </si>
  <si>
    <t>0108010201</t>
  </si>
  <si>
    <t>Povrchové úpravy terénu, úprava pláne so  zhutnením v násypoch, tr.horniny 1-4</t>
  </si>
  <si>
    <t xml:space="preserve">zhutnenie podložia pod vozovkou </t>
  </si>
  <si>
    <t>zhutnenie dosypávky po vrstvách v mieste výmeny zvodidiel v SDP</t>
  </si>
  <si>
    <t>zhutnenie dosypávky po vrstvách v mieste výmeny zvodidiel na okraji R1</t>
  </si>
  <si>
    <t>zhutnenie nespevnenej krajnice v strednom deliacom páse</t>
  </si>
  <si>
    <t>zhutnenie nespevnenej krajnice na okrajoch R1</t>
  </si>
  <si>
    <t>0108030001</t>
  </si>
  <si>
    <t>Povrchové úpravy terénu, úprava podložia,  tr.horniny 1-4</t>
  </si>
  <si>
    <t>zhutnenie pláne pod dosypávkou v  SDP</t>
  </si>
  <si>
    <t>zhutnenie pláne pod dosypávkou nespevnenej krajnice na okraji R1</t>
  </si>
  <si>
    <t>zhutnenie podložia pod žľabom</t>
  </si>
  <si>
    <t>PRESUN ZEMÍN</t>
  </si>
  <si>
    <t>0106020401</t>
  </si>
  <si>
    <t>Premiestnenie  výkopku resp. rúbaniny, vodorovné nad 5 000 m, tr. horniny 1-4</t>
  </si>
  <si>
    <t>výmena podložia</t>
  </si>
  <si>
    <t>výkop nespevnenej krajnice v strednom deliacom páse v mieste výmeny zvodidiel</t>
  </si>
  <si>
    <t>výkop nespevnenej krajnice na okrajoch R1 v mieste výmeny zvodidiel</t>
  </si>
  <si>
    <t>Kompletovanie a montáž prefabrikovaných konštrukcií</t>
  </si>
  <si>
    <t xml:space="preserve">  </t>
  </si>
  <si>
    <t>na konci prejazdu SDP za mostom, betón C30/37-XF4(SK) (STN EN 206-1)</t>
  </si>
  <si>
    <t xml:space="preserve">betónový pražec:      0,2*0,25*2,0*2= </t>
  </si>
  <si>
    <t>Práce na vrchnej stavbe diaľníc, ciest, ulíc, chodníkov a nekrytých parkovísk</t>
  </si>
  <si>
    <t>2202041705</t>
  </si>
  <si>
    <t>Podkladné a krycie vrstvy s hydraulickým spojivom, cementobetónové jednovrstvové, beton prostý tr. III C 25/30 (B 30)</t>
  </si>
  <si>
    <t>betónový monolitický žľab C 30/37 – XF4 (SK) (STN EN 206-1)</t>
  </si>
  <si>
    <t xml:space="preserve">zabetónovanie stĺpikov zvodidiel do predvŕtaných otvorov                                                         </t>
  </si>
  <si>
    <t>2203033001</t>
  </si>
  <si>
    <t>Podkladné a krycie vrstvy z asfaltových zmesí, bitúmenové postreky, nátery,posypy spojovací postrek z asfaltu</t>
  </si>
  <si>
    <t>spojovací postrek 0,5 kg/m2</t>
  </si>
  <si>
    <t>typ vozovky A:     510,0+510,0=</t>
  </si>
  <si>
    <t>typ vozovky B:     1524,0+1514,0=</t>
  </si>
  <si>
    <t xml:space="preserve">typ vozovky C:    </t>
  </si>
  <si>
    <t>2203064001</t>
  </si>
  <si>
    <t>Podkladné a krycie vrstvy z asfaltových zmesí, bitúmenové vrstvy, asfaltový betón  triedy I</t>
  </si>
  <si>
    <t xml:space="preserve">asfaltový betón AC 22P, I, hr. 90 mm:     </t>
  </si>
  <si>
    <t>typ vozovky A:     510,0*0,09=</t>
  </si>
  <si>
    <t>2203064004</t>
  </si>
  <si>
    <t>Podkladné a krycie vrstvy z asfaltových zmesí, bitúmenové vrstvy, asfaltový betón  triedy I modifikovaný</t>
  </si>
  <si>
    <t xml:space="preserve">asfaltový betón AC 22 L, I, PMB, hr. 60 alebo 90 mm:    </t>
  </si>
  <si>
    <t>typ vozovky A:     510,0*0,06=</t>
  </si>
  <si>
    <t>typ vozovky B:    1514*0,09=</t>
  </si>
  <si>
    <t>2203064101</t>
  </si>
  <si>
    <t>Podkladné a krycie vrstvy z asfaltových zmesí, bitúmenové vrstvy, asfaltový koberec mastixový triedy I</t>
  </si>
  <si>
    <t xml:space="preserve">SMA 11 O,I, PMB:    </t>
  </si>
  <si>
    <t>typ vozovky A:  510,0*0,04=</t>
  </si>
  <si>
    <t>typ vozovky B:     1524,0*0,04=</t>
  </si>
  <si>
    <t>typ vozovky C:   2582*0,04=</t>
  </si>
  <si>
    <t>2203095202</t>
  </si>
  <si>
    <t>Podkladné a krycie vrstvy z asfaltových zmesí úprava škár pri opravách, elastická zálievka bez predtesnenia</t>
  </si>
  <si>
    <t>trvale pružná zálievka - realizácia obrusu po poloviciach (ľavý JP pred mostom + pravý JP pred a za mostom)</t>
  </si>
  <si>
    <t>trvale pružná zálievka - priečne na vozovku</t>
  </si>
  <si>
    <t>trvale pružná zálievka - priečne na obrus v miestach napojenia na jestvujúcu vozovku - typ C</t>
  </si>
  <si>
    <t>trvale pružná zálievka v mieste úpravy odvodňovacieho žľabu</t>
  </si>
  <si>
    <t>2225035601</t>
  </si>
  <si>
    <t>Doplňujúce konštrukcie, zvodidlá prefabrikované spriahnuté</t>
  </si>
  <si>
    <t>obojstranné betónové zvodidlá H3</t>
  </si>
  <si>
    <t xml:space="preserve">  bežný dielec, s upravenou/zrezanou spodnou hranou zvodidla</t>
  </si>
  <si>
    <t xml:space="preserve">  prechodový dielec</t>
  </si>
  <si>
    <t xml:space="preserve">  bežný dielec</t>
  </si>
  <si>
    <t>montáž a demontáž zvodidiel úroveň zachytenia H3, budú použité definitívne zvodidlá</t>
  </si>
  <si>
    <t>prejazd SDP pred mostom, budú použité definitívne zvodidlá</t>
  </si>
  <si>
    <t xml:space="preserve">  koncový dielec  1 ks</t>
  </si>
  <si>
    <t xml:space="preserve">  napojenie na jednostranné oceľové zvodidlo     4 ks</t>
  </si>
  <si>
    <t>prejazd SDP za mostom, budú použité definitívne zvodidlá okrem koncového dielca</t>
  </si>
  <si>
    <t xml:space="preserve">  koncový dielec, nový dielec  2 ks</t>
  </si>
  <si>
    <t xml:space="preserve">  napojenie na jednostranné oceľové zvodidlo      2 ks</t>
  </si>
  <si>
    <t xml:space="preserve">  napojenie na obojstranné oceľové zvodidlo     2 ks</t>
  </si>
  <si>
    <t>jednostr. oceľ. zvod H1 (krajnica), spätné osadenie demontovaného zvodidla</t>
  </si>
  <si>
    <t>zvodnice sa použijú pôvodné, stĺpiky a spojovací materiál budú nové</t>
  </si>
  <si>
    <t>pred mostom</t>
  </si>
  <si>
    <t>za mostom</t>
  </si>
  <si>
    <t>jednostr. oceľ. zvodidlo H2 (SDP)</t>
  </si>
  <si>
    <t>spätné osadenie demontovaného oceľového zvodidla KB2 RH2 C,  použijú sa pôvodné zvodnice a nové stĺpiky a nový spojovací materiál</t>
  </si>
  <si>
    <t>nové stĺpiky pre zvodidlo KB1 RH2 C - 60 ks</t>
  </si>
  <si>
    <t xml:space="preserve">Doplňujúce konštrukcie, zvodidlá oceľové , jednostranné, úroveň zachytenia min H2, prechodová zvodnica </t>
  </si>
  <si>
    <t>prechodová zvodnica na oceľové zvodidlo na moste</t>
  </si>
  <si>
    <t>prechodová zvodnica na betónové zvodidlo</t>
  </si>
  <si>
    <t xml:space="preserve">Doplňujúce konštrukcie, zvodidlá oceľové , obojstranné, úroveň zachytenia min H2, prechodová zvodnica </t>
  </si>
  <si>
    <t>odrážače modré</t>
  </si>
  <si>
    <t>odrážače biele</t>
  </si>
  <si>
    <t>nadstavce biele [ks]</t>
  </si>
  <si>
    <t>nadstavce modré [ks]</t>
  </si>
  <si>
    <t>2225067106</t>
  </si>
  <si>
    <t>Doplňujúce konštrukcie,  zvislé dopravné značky, normálny rozmer hliníkové reflexné</t>
  </si>
  <si>
    <t>2225067401</t>
  </si>
  <si>
    <t>Doplňujúce konštrukcie,  zvislé dopravné značky, stĺpiky oceľové</t>
  </si>
  <si>
    <t>nové stĺpiky DZ, kotvenie na zvodidlo</t>
  </si>
  <si>
    <t>nové stĺpiky DZ, kotvenie do betónu, alebo na zábradlie</t>
  </si>
  <si>
    <t>nové stĺpiky DZ, kotvenie do terénu</t>
  </si>
  <si>
    <t>Práce na spodnej stavby diaľnic, ciest, ulíc a chodníkov a nekrytých parkovísk</t>
  </si>
  <si>
    <t>štrkodrvina 0/32</t>
  </si>
  <si>
    <t>pod odvodňovacím žľabom:     0,2*1=</t>
  </si>
  <si>
    <t xml:space="preserve">UM ŠD, 0/31,5, Gc  </t>
  </si>
  <si>
    <t>typ vozovky A:     450,0*0,22=</t>
  </si>
  <si>
    <t>2201020101</t>
  </si>
  <si>
    <t>Podkladné a krycie vrstvy bez spojiva, spevnenie krajníc zo zeminy so zhutnením</t>
  </si>
  <si>
    <t>dosypávka po výkope v SDP v mieste výmeny zvodidiel + zhutnenie:     (40+76+56+30)*0,4=</t>
  </si>
  <si>
    <t>dosypávka krajnice na okraji R1 + zhutnenie:     (55+85)*0,4=</t>
  </si>
  <si>
    <t>štrkodrvina fr. 16-32</t>
  </si>
  <si>
    <t>spevnenie v SDP:    0,1* (40+76+56+30)=</t>
  </si>
  <si>
    <t>spevnenie na okraji R1:     0,1*(55+85)=</t>
  </si>
  <si>
    <t>Podkladné a krycie vrstvy s hydraulickým spojivom, cementobetónové jednovrstvové, kamenivo spevnené cementom</t>
  </si>
  <si>
    <t>2202042101</t>
  </si>
  <si>
    <t>Podkladné a krycie vrstvy s hydraulickým spojivom, cementobetónové jednovrstvové, kamenivo spevnené cementom KZC I</t>
  </si>
  <si>
    <t>typ vozovky A, cementom stmelená zmes CBGM hr. 200 mm :     480,0*0,2=</t>
  </si>
  <si>
    <t>2203032901</t>
  </si>
  <si>
    <t>Podkladné a krycie vrstvy z asfaltových zmesí, bitúmenové postreky, nátery,posypy infiltračný postrek z asfaltu</t>
  </si>
  <si>
    <t>typ vozovky A, infiltračný postrek 0,8 kg/m2</t>
  </si>
  <si>
    <t>Základové práce a vŕtanie vodných studní</t>
  </si>
  <si>
    <t>0201055301</t>
  </si>
  <si>
    <t>Zlepšovanie základovej pôdy, drenážne vrstvy z geosyntetického materiálu - geotextílií</t>
  </si>
  <si>
    <t xml:space="preserve">spevnenie v SDP:     </t>
  </si>
  <si>
    <t>spevnenie na okraji R1</t>
  </si>
  <si>
    <t>201- 00</t>
  </si>
  <si>
    <t>OPRAVA MOSTA ev. č. R1- 018</t>
  </si>
  <si>
    <t>búranie podkladového betónu pod prechodovými doskami</t>
  </si>
  <si>
    <t>2*6,0*0,1*10,15=</t>
  </si>
  <si>
    <t>búranie poklesnutých a poškodených dosiek, spevnenie na svahovom kuželi pri opore O1</t>
  </si>
  <si>
    <t>odhad 10%: 0,1*53,59*1,215*0,2=</t>
  </si>
  <si>
    <t>búranie, betónové dosky na svahu pod mostom, opora O1</t>
  </si>
  <si>
    <t>odhad 10%: 0,1*(223,63+70,61+24,58)*1,08*0,2=</t>
  </si>
  <si>
    <t>búranie, betónové dosky na svahu pod mostom, opora O17</t>
  </si>
  <si>
    <t>odhad 10%: 0,1*78,4*1,08*0,2=</t>
  </si>
  <si>
    <t>búranie prechodových dosiek</t>
  </si>
  <si>
    <t>2*6,0*0,271*10,15=</t>
  </si>
  <si>
    <t>búranie otvorov v hornej doske nosnej konštrukcie DC1</t>
  </si>
  <si>
    <t>1,5*1,0*0,22*6*1,2=</t>
  </si>
  <si>
    <t>búranie horných povrchov krídiel opôr kvôli novým rímsam</t>
  </si>
  <si>
    <t>odhad</t>
  </si>
  <si>
    <t>búranie okolo odvodňovačov v dolných prírubách nosníkov</t>
  </si>
  <si>
    <t>24*0,12*(0,288*0,4-3,14*0,08*0,08)+0,288*0,4*0,12=</t>
  </si>
  <si>
    <t>búranie záverného múrika opora O17</t>
  </si>
  <si>
    <t>0,325*0,6*12,95=</t>
  </si>
  <si>
    <t>búranie rímsových prefabrikátov</t>
  </si>
  <si>
    <t>ĽR:      (640,939-1,012-1,202-1,202)*0,8*0,1=</t>
  </si>
  <si>
    <t>PR:      (637,517-1,012-1,202-1,202)*0,6*0,1=</t>
  </si>
  <si>
    <t>búranie monolitických ríms</t>
  </si>
  <si>
    <t>ĽR:      0,63*(640,939-1,012-1,2202-1,202)=</t>
  </si>
  <si>
    <t>PR:      0,17*(637,517-1,012-1,202-1,202)=</t>
  </si>
  <si>
    <t>Búranie konštrukcií trámov, nosníkov, prievlakov, konzolových prvkov železobetónových mechanické ručné</t>
  </si>
  <si>
    <t>mechanické búranie spádového betónu</t>
  </si>
  <si>
    <t>DC1:       0,564*271,3*2=</t>
  </si>
  <si>
    <t>DC2 okrem betónu nad bezdilatačnými stykmi:     0,564*(359,4-11*1,2)*2,0=</t>
  </si>
  <si>
    <t>ručné búranie ríms v oblasti bezdilatačných stykov:     0,564*1,2*11*2=</t>
  </si>
  <si>
    <t>ručné búranie bezdilatačných stykov</t>
  </si>
  <si>
    <t>1,5*(1,04*0,15*(1,15+2*0,288)+4*0,22*0,21*0,075)*69=</t>
  </si>
  <si>
    <t>odstránenie starého pôvodného debnenia v komôrkach DC1, z hornej dosky</t>
  </si>
  <si>
    <t>odhad 5% plochy hornej dosky DC1</t>
  </si>
  <si>
    <t>0,05*5,425*(2*43,7+2*87,3)=</t>
  </si>
  <si>
    <t>rezanie a odstránenie nenataveného presahu ochrany novej izolácie na nosnej konštrukcii</t>
  </si>
  <si>
    <t>pozdĺžny rez 271,3*2+359,4*2= 1261,4 m</t>
  </si>
  <si>
    <t>t.j. plocha 1261,4*0,2=</t>
  </si>
  <si>
    <t>frézovanie izolácie mostovky proti vode - Mastix 10 mm</t>
  </si>
  <si>
    <t>dc1:     10,97*271,3=</t>
  </si>
  <si>
    <t>dc2:     10,97*359,4=</t>
  </si>
  <si>
    <t>rezanie potrubia odvodňovačov dn=150 mm na pravom moste DC1</t>
  </si>
  <si>
    <t>3,14*0,16*21=</t>
  </si>
  <si>
    <t>rezanie pozdĺžnej výstuže v dilatačných škárach</t>
  </si>
  <si>
    <t>ĽR d12:      48*25=</t>
  </si>
  <si>
    <t>ĽR d16:      4*25=</t>
  </si>
  <si>
    <t>PR d12:      18*25=</t>
  </si>
  <si>
    <t>PR d16:      2*25=</t>
  </si>
  <si>
    <t>mostné odvodňovače s odpadovými rúrami</t>
  </si>
  <si>
    <t>vybúranie oceľových šachiet na pravej rímse, 1,0*1,0 m</t>
  </si>
  <si>
    <t>odstránenie oceľových poklopov na vstupoch do n.k.</t>
  </si>
  <si>
    <t>odstránenie oceľových sietí na bočných škárach medzi nosnou konštrukciou a závernými múrikm</t>
  </si>
  <si>
    <t>mostný záver povrchový opora O17, dĺžka 12,92 m</t>
  </si>
  <si>
    <t>odstránenenie pôvodných krycích plechov mostných záverov, opora O1 a podpera P5</t>
  </si>
  <si>
    <t>opora 1:     (1,5*(0,8+0,25)+1,5*(1,985+0,15)+1,5*(0,8+0,25)+1,5*(0,77+0,15))*0,006*7,87= 0,37 t</t>
  </si>
  <si>
    <t>podpera P5:      (1,5*(0,8+0,25)+1,5*(1,81+0,15)+1,5*(0,8+0,25)+1,5*(0,77+0,15))*0,006*7,87=0,35 t</t>
  </si>
  <si>
    <t>odstránenie zvislého potrubia d=150 mm aj s úchytmi na pravom moste</t>
  </si>
  <si>
    <t>0503016201</t>
  </si>
  <si>
    <t>Odstránenie spevnených plôch a vozoviek, krytov bitúmenových hr.do 100 mm</t>
  </si>
  <si>
    <t>kryt chodníka z liateho asfaltu hr. 30 mm</t>
  </si>
  <si>
    <t>DC1:       1,15*(271,3+3,45)=</t>
  </si>
  <si>
    <t xml:space="preserve">DC2:     1,15*(359,4+3,475)= </t>
  </si>
  <si>
    <t>0503026103</t>
  </si>
  <si>
    <t>Odstránenie spevnených plôch a vozoviek, podkladov z betónu prostého hr. nad 200 do 300 mm</t>
  </si>
  <si>
    <t>betónové plochy za rímsami hr. 200- 300 mm</t>
  </si>
  <si>
    <t xml:space="preserve">opora O1 </t>
  </si>
  <si>
    <t xml:space="preserve">opora O17 </t>
  </si>
  <si>
    <t>ľavá rímsa, šetrná demontáž a uskladnenie, zvodidlo jednoduché oceľové mostné</t>
  </si>
  <si>
    <t>pravá rímsa, šetrná demontáž a uskladnenie, zábradľové zvodidlo oceľové mostné</t>
  </si>
  <si>
    <t>oplotenie komunikácie pletivom</t>
  </si>
  <si>
    <t>odstránenie pletiva 20,0+21,8=</t>
  </si>
  <si>
    <t xml:space="preserve">zábradlie oceľové mostné </t>
  </si>
  <si>
    <t xml:space="preserve">spolu </t>
  </si>
  <si>
    <t>demontáž šetrná dopravnej značky</t>
  </si>
  <si>
    <t>evidenčné číslo mosta , šetrná demontáź</t>
  </si>
  <si>
    <t>betón, recyklácia, odvoz na skládku:     23,76*2,3=</t>
  </si>
  <si>
    <t>železobetón, recyklácia, odvoz na skládku:     (38,39+601,3+740,73+11,23+1089,65*0,02)*2,5=</t>
  </si>
  <si>
    <t>podkladný betón, recyklácia, odvoz na skládku:     23,48*0,66=</t>
  </si>
  <si>
    <t>frézovaný betón, recyklácia, odvoz na skládku:     1986,45*0,056+18,82*0,084+0,72*0,168=</t>
  </si>
  <si>
    <t xml:space="preserve">povlaková izolácia:     7171,06*0,0074=  </t>
  </si>
  <si>
    <t>bitúmeny na recykláciu:     733,27*0,076+6527,75*0,076+6527,75*0,102=</t>
  </si>
  <si>
    <t>odvoz do zberných surovín</t>
  </si>
  <si>
    <t>mostné odvodňovače: 44*0,15=</t>
  </si>
  <si>
    <t>poškodené zvodidlo a zábradľové zvodidlo pri demontáži:      0,10*(640,94*0,10+635,82*0,15)=</t>
  </si>
  <si>
    <t>oceľové poklopy na vstupoch do n.k.:12*0,02=</t>
  </si>
  <si>
    <t>pletivový nadstavec zábradľového zvodidla: 635,8*0,01=</t>
  </si>
  <si>
    <t>zábradlie:    640,94*0,1=</t>
  </si>
  <si>
    <t>oceľové šachty:     38*0,050=</t>
  </si>
  <si>
    <t>odstránenené pôvodné krycie plechy mostných záverov, opora O1 a podpera P5</t>
  </si>
  <si>
    <t>opora O1:      (1,5*(0,8+0,25)+1,5*(1,985+0,15)+1,5*(0,8+0,25)+1,5*(0,77+0,15))*0,006*7,87=</t>
  </si>
  <si>
    <t>podpera P5:      (1,5*(0,8+0,25)+1,5*(1,81+0,15)+1,5*(0,8+0,25)+1,5*(0,77+0,15))*0,006*7,87=</t>
  </si>
  <si>
    <t>odstránený mostný záver O17:    12,92*0,2=</t>
  </si>
  <si>
    <t>odvoz k správcovi, predpoklad na stredisko SSúRC Nebojsa</t>
  </si>
  <si>
    <t>doprava na uskladnenie a späť, 2*10,0 km</t>
  </si>
  <si>
    <t>zvodidlo vľavo:     640,94*0,1=</t>
  </si>
  <si>
    <t>zábradľové zvodidlo vpravo, vrátane pletiva:      635,82*0,15=</t>
  </si>
  <si>
    <t>odvoz oceľových dielcov spolu</t>
  </si>
  <si>
    <t>odvoz sute a vybúraných hmôt spolu</t>
  </si>
  <si>
    <t>0509020401</t>
  </si>
  <si>
    <t>Doplňujúce práce, úprava stavebných konštrukcií vysokotlakým vodným lúčom železobetónových, čistenie 20MPa</t>
  </si>
  <si>
    <t xml:space="preserve">dočistenie tlakovou vodou 20 MPa </t>
  </si>
  <si>
    <t>vnútorné priestory komôrky DC1</t>
  </si>
  <si>
    <t>zvislé plochy:      2*93,809+2*184,85+2*180,507+2*86,346+2*5,47+6*(19,04-1,28)+3*(2*1,6*2,6)=</t>
  </si>
  <si>
    <t xml:space="preserve">spodné plochy:     (43,786+87,578+87,775+43,858)*(5,35+4,95)*0,5+3*0,8*2,6= </t>
  </si>
  <si>
    <t>horné plochy :      (43,665+87,306+87,496+43,721)*(5,35+4,95)*0,5+3*0,8*2,6=</t>
  </si>
  <si>
    <t>sanácie povrchov spodnej stavby : 36,65+1529,722=</t>
  </si>
  <si>
    <t>sanácie povrchov nosnej konštrukcie DC1: 8596,3=</t>
  </si>
  <si>
    <t>sanácie povrchov nosnej konštrukcie DC2: 11102,3=</t>
  </si>
  <si>
    <t>0509020501</t>
  </si>
  <si>
    <t>Doplňujúce práce, úprava stavebných konštrukcií vysokotlakým vodným lúčom železobetónových, čistenie 100 Mpa</t>
  </si>
  <si>
    <t xml:space="preserve">čistenie tlakovou vodou 100 MPa </t>
  </si>
  <si>
    <t>0509020601</t>
  </si>
  <si>
    <t>búranie betónu vysokotlakým vodným lúčom 100 MPa, priečnik nosnej konštrukcie</t>
  </si>
  <si>
    <t>8*1,38*0,65+9*0,35*0,5*(0,404+0,154)+9*0,282*0,054=</t>
  </si>
  <si>
    <t>kapsy mostného záveru, opora O17</t>
  </si>
  <si>
    <t xml:space="preserve"> 0,3*0,4*12,65*2=</t>
  </si>
  <si>
    <t>šetrné ručné búranie na zdravé jadro malým ručným náradím</t>
  </si>
  <si>
    <t xml:space="preserve">odhad 5% celkovej sanovanej plochy betónu </t>
  </si>
  <si>
    <t>(1529,722+528,041+17,308+19,342+8596,3+11102,3)*0,05=</t>
  </si>
  <si>
    <t>0509036101</t>
  </si>
  <si>
    <t>Doplňujúce práce, frézovanie betónového krytu, podkladu hr. 20 mm</t>
  </si>
  <si>
    <t xml:space="preserve">spádový betón - vyrovnanie nerovností povrchu (odhad 25%) a obrokovanie </t>
  </si>
  <si>
    <t>DC1:     0,25*271,3*12,53=</t>
  </si>
  <si>
    <t>DC2:       0,25*359,4*12,65=</t>
  </si>
  <si>
    <t>0509036102</t>
  </si>
  <si>
    <t>Doplňujúce práce, frézovanie betónového krytu, podkladu hr. 30 mm</t>
  </si>
  <si>
    <t>brúsenie krycej vrstvy betónu pod kotvy tyčí hrúbky do 30 mm</t>
  </si>
  <si>
    <t>zvislé predpätie 0.16*0.2*8*2*2*2</t>
  </si>
  <si>
    <t>kozlíky 0.5*0.8*6*2*2+0.16*0.2*6*6*2*2</t>
  </si>
  <si>
    <t>tyče 32 mm KB typ1 a deviátor typ1</t>
  </si>
  <si>
    <t>0.16*0.2*(2*4*2*2+3*2*2*4)</t>
  </si>
  <si>
    <t>0509036105</t>
  </si>
  <si>
    <t>Doplňujúce práce, frézovanie betónového krytu, podkladu hr. 60 mm</t>
  </si>
  <si>
    <t>brúsenie krycej vrstvy betónu hrúbky do 60 mm - diagnostika polohy káblov v hornej doske</t>
  </si>
  <si>
    <t>0.6*.05*(2*2+3*2*2+1*2*4)</t>
  </si>
  <si>
    <t>0509036202</t>
  </si>
  <si>
    <t>Doplňujúce práce, frézovanie bitúmenového krytu, podkladu hr. 30 mm</t>
  </si>
  <si>
    <t>frézovanie vrstvy vozovky z liateho asfaltu, ochrana izolácie hr. 30 mm</t>
  </si>
  <si>
    <t>DC1:     10,35*271,3=</t>
  </si>
  <si>
    <t>DC2:     10,35*359,4=</t>
  </si>
  <si>
    <t>frézovanie krytu vozovky z afaltového betónu hr. 40 mm</t>
  </si>
  <si>
    <t>DC1:       10,35*271,3=</t>
  </si>
  <si>
    <t>0509046101</t>
  </si>
  <si>
    <t>Doplňujúce práce, diamantové rezanie betónového krytu, podkladu hr. do 100 mm</t>
  </si>
  <si>
    <t>zmrašťovacie škáry ríms, 20*5 mm, rez diamantovou pílou</t>
  </si>
  <si>
    <t>80*0,952+86*3,42=</t>
  </si>
  <si>
    <t>0509046102</t>
  </si>
  <si>
    <t>Doplňujúce práce, diamantové rezanie betónového krytu, podkladu hr. nad 100 mm do 150 mm</t>
  </si>
  <si>
    <t>rezanie obvodu montážnych otvorov v hornej doske n.k. (na 2x celá výška dosky):     1,5*1,0*6*2=</t>
  </si>
  <si>
    <t>rezanie bet. spevnenia svahov pod mostom, hr. 150 mm</t>
  </si>
  <si>
    <t>odhad pre poklesnuté betónové dosky</t>
  </si>
  <si>
    <t>rezy pre zálievky na stykoch rôznych krytov vozovky hr. 40 mm:     6*10,25=</t>
  </si>
  <si>
    <t>jadrové vrty d 52 mm pre tyče horizontálme</t>
  </si>
  <si>
    <t>(0,8*16*2*2*2+2,6*15*2*2+2,6*6*2+0,6*16*2*2+0,6*4*2*4)*1,2=</t>
  </si>
  <si>
    <t>jadrové vrty d 52 mm pre tyče vertikálne</t>
  </si>
  <si>
    <t>(1,65*8*2*2+1,65*6*6*2+(0,3+0,3)*6*6*2+(0,4+0,4)*4*2*2+(0,44+0,47)*1*2*4+(0,28+0,32)*1*2*4+(0,25+0,22)*1*2*4)*1,2=</t>
  </si>
  <si>
    <t>vrty pre odvodňovacie rúrky d 72 mm</t>
  </si>
  <si>
    <t>letmá betonáž 19*0,45=</t>
  </si>
  <si>
    <t>prefabrikované nosníky 25*0,37=</t>
  </si>
  <si>
    <t>jadrové vrty dn 72 mm pre odvodnenie v 1, ľavej dobetonávke:      12*0,12=</t>
  </si>
  <si>
    <t>jadrové vrty d 102 mm pre odvzdušnenie</t>
  </si>
  <si>
    <t>0,45*(3*2*2+1*2*2*2+1*2*2+1*2*4+1*2*2+1*2*4)*1,2=</t>
  </si>
  <si>
    <t>jadrové vrty d 132 mm pre voľné káble</t>
  </si>
  <si>
    <t xml:space="preserve"> 2,6*(6+4+6)*1,2=</t>
  </si>
  <si>
    <t>jadrové vrty pre rúry nových odvodňovačov d 200 mm</t>
  </si>
  <si>
    <t>letmá betonáž:      22*0,395=</t>
  </si>
  <si>
    <t>prefabrikované nosníky 24*(0,43+0,12)=</t>
  </si>
  <si>
    <t>jadrové vrty d 250 mm pre betonáž</t>
  </si>
  <si>
    <t>0509050302</t>
  </si>
  <si>
    <t>Doplňujúce práce, vŕtanie do železobetónu stropov</t>
  </si>
  <si>
    <t xml:space="preserve">vrty D30 na lepenie výstuže d25 mm pre vlepovanie kotvenia prechodových dosiek </t>
  </si>
  <si>
    <t>(21+21)*0,25=</t>
  </si>
  <si>
    <t>záverný múrik vrty d=20 mm, L= 0,3 m, 128 ks</t>
  </si>
  <si>
    <t>128*0,3=</t>
  </si>
  <si>
    <t>vrty d=20 mm na lepenie výstuže v otvoroch hornej dosky DC1, L=150 mm, 0,15*72=</t>
  </si>
  <si>
    <t>vrty d=25 mm na lepenie výstuže v otvoroch hornej dosky DC1, L=150 mm, 0,15*36=</t>
  </si>
  <si>
    <t>vrty D= 14 mm, pre kotvenie odvodňovacieho kotlíka pod mostným záverom O17:      2*0,11=</t>
  </si>
  <si>
    <t>vrty d= 12 mm, uchytenie zvislého potrubia z kotlíka pod MZ:      2*0,1=</t>
  </si>
  <si>
    <t>vrty pre vlepovanie výstuže d=16 mm -  úchyty:     0,14*(19*2*2*2+24*2*2*4)=</t>
  </si>
  <si>
    <t>mechanické očistenie vonkajšieho povrchu nosníkov:     2*0,6*40,6+12,98*(40,6-2*0,55)-2*0,9*13,5=</t>
  </si>
  <si>
    <t>opory: 14,1*1,2*2+8,1*2,6+5,5*2*2=</t>
  </si>
  <si>
    <t>podpery: 0,5*4*5,8*5+0,9*0,65*2+0,65*2*13,5+0,9*13,5-5*0,5*0,5+4*0,5*5*5,7+2*0,9*0,65+2*0,65*13,5+0,9*13,5-5*0,5*0,5=</t>
  </si>
  <si>
    <t xml:space="preserve">monolitická rímsa, metličkovanie vodorovnej hornej plochy </t>
  </si>
  <si>
    <t>ľavá rímsa, DC1:        1,810*(275,836-1,012)+(5,7+4,54-1,012)*0,175=</t>
  </si>
  <si>
    <t>ľavá rímsa, DC2:        1,810*(363,901-1,202)=</t>
  </si>
  <si>
    <t>pravá rímsa, DC1:     0,71*(273,286-1,012)=</t>
  </si>
  <si>
    <t>pravá rímsa, DC2:     0,71*(363,049-1,202)=</t>
  </si>
  <si>
    <t>Úprava staveniska a vyčisťovacie práce</t>
  </si>
  <si>
    <t>vyčistenie okolia mosta po dokončení opravy (okolie opôr O1 a O17)</t>
  </si>
  <si>
    <t>70*40+40*30=</t>
  </si>
  <si>
    <t>0101010401</t>
  </si>
  <si>
    <t>Pripravné práce, odstránenie porastov mačiny hr. do 100 mm</t>
  </si>
  <si>
    <t xml:space="preserve">betónové plochy  </t>
  </si>
  <si>
    <t>0106020408</t>
  </si>
  <si>
    <t>Premiestnenie   vodorovné nad 3 000 m, mačiny</t>
  </si>
  <si>
    <t>100,0*0,1=</t>
  </si>
  <si>
    <t>výkop pre základy pod ľavými rímsami</t>
  </si>
  <si>
    <t>1,0*1,347*(3,5+4,1)=</t>
  </si>
  <si>
    <t>výkop pre základy pod pravými rímsami</t>
  </si>
  <si>
    <t>1*0,76*1*2=</t>
  </si>
  <si>
    <t>odkop okolo podpery P2 kvôli sanácii:      0,3*0,5*21,3=</t>
  </si>
  <si>
    <t>0103010207</t>
  </si>
  <si>
    <t>Hĺbené vykopávky jám nezapažených, tr. horniny 1-4</t>
  </si>
  <si>
    <t>výkop pre stĺpiky oplotenia (12+15)*(0,25*0,25*0,5)=</t>
  </si>
  <si>
    <t>Presun zemín</t>
  </si>
  <si>
    <t>Premiestnenie  výkopku resp. rúbaniny, vodorovné nad 3 000 m, tr. horniny 1-4</t>
  </si>
  <si>
    <t>odvoz nevhodnej zeminy zo stavby:     14,96+0,84=</t>
  </si>
  <si>
    <t>Stavebné práce na mostoch</t>
  </si>
  <si>
    <t>1101010104</t>
  </si>
  <si>
    <t>Základy, pásy z betónu prostého, tr. C 16/20 (B 20)</t>
  </si>
  <si>
    <t>O1 obetónovanie obrubníkov:     8,8*0,3*0,3=</t>
  </si>
  <si>
    <t>O1 obetónovanie obrubníkov:    (8,8+2*2,0+5,4)*0,3*0,3=</t>
  </si>
  <si>
    <t>O17 obetónovanie obrubníkov:     3,6*0,3*0,3=</t>
  </si>
  <si>
    <t>O17 obetónovanie obrubníkov:      (3,6+2*1,8)*0,3*0,3=</t>
  </si>
  <si>
    <t>1101020104</t>
  </si>
  <si>
    <t>Základy, pätky z betónu prostého, tr. C 16/20 (B 20)</t>
  </si>
  <si>
    <t>základové pätky okolo stĺpikov oplotenia</t>
  </si>
  <si>
    <t>(12+15)*(0,25*0,25*0,5)=</t>
  </si>
  <si>
    <t>1101020106</t>
  </si>
  <si>
    <t>Základy, pätky z betónu prostého, tr. C 25/30 (B 30)</t>
  </si>
  <si>
    <t>základy pod ľavými rímsami: 2*0,76*1,0*1,0=</t>
  </si>
  <si>
    <t xml:space="preserve">základy pod pravými rímsami: 3,5*1,0*1,347+1,0*1,347*4,2=   </t>
  </si>
  <si>
    <t>1105060208</t>
  </si>
  <si>
    <t>Zvislé konštrukcie inžinierskych stavieb, rímsy z betónu železového, tr. C 35/45 (B 45)</t>
  </si>
  <si>
    <t>rímsy monolitické</t>
  </si>
  <si>
    <t>ľavá rímsa, DC1+DC2:   (641-1,01*2-1,2)*0,4+0,223*0,175=</t>
  </si>
  <si>
    <t>pravá rímsa, DC1+DC2:   (641-1,01*2-1,2)*0,175=</t>
  </si>
  <si>
    <t>1105061201</t>
  </si>
  <si>
    <t>Zvislé konštrukcie inžinierskych stavieb, rímsy, debnenie z dielcov drevených</t>
  </si>
  <si>
    <t>ľavá rímsa, DC1:        0,225*274,824+0,398*4=</t>
  </si>
  <si>
    <t>ľavá rímsa, DC2:       0,225*362,699+0,398*4=</t>
  </si>
  <si>
    <t>pravá rímsa, DC1:     0,242*272,274+0,174*4=</t>
  </si>
  <si>
    <t>pravá rímsa, DC2:     0,242*361,847+0,174*4=</t>
  </si>
  <si>
    <t>debnenie drenážnych kanálikov</t>
  </si>
  <si>
    <t>(10,0+269,09+358,25+10+10)*0,045*2=</t>
  </si>
  <si>
    <t>debnenie pre škáry pri rímsach, v kryte vozovky a ochrane izolácie</t>
  </si>
  <si>
    <t>debnenie v kryte hr. 20 mm, vložená lišta medzi kryt a monolitickú betónovú rímsu (na vytvorenie škáry pre tesnenie pri zhotovovaní krytu vozovky):    0,04*((640,939-1,012-1,202-1,202)+(637,517-1,012-1,202-1,202))=</t>
  </si>
  <si>
    <t>debnenie v ochrane izolácie hr. 20 mm:      0,045*((640,939-1,012-1,202-1,202)+(637,517-1,012-1,202-1,202))=</t>
  </si>
  <si>
    <t>debnenie pracovných škár ríms</t>
  </si>
  <si>
    <t>ľavá rímsa:      9*0,398=</t>
  </si>
  <si>
    <t>pravá rímsa:      9*0,174=</t>
  </si>
  <si>
    <t>debnenie základov pod pravé rímsy za oporami</t>
  </si>
  <si>
    <t xml:space="preserve">(2*1,0*1,0+1,0*0,76)*2=   </t>
  </si>
  <si>
    <t xml:space="preserve">debnenie základov pod ľavé rímsy za oporami </t>
  </si>
  <si>
    <t>3,5*1,0+1,347*1,0+1,0*4,2+1,347*1,0=</t>
  </si>
  <si>
    <t>1105061303</t>
  </si>
  <si>
    <t>Zvislé konštrukcie inžinierskych stavieb, rímsy, debnenie zabudované betónové</t>
  </si>
  <si>
    <t>debnenie na ľavej rímse, cementovláknité dosky hr. 16 mm</t>
  </si>
  <si>
    <t xml:space="preserve">(640,939-1,012-1,202-1,202)*0,25= </t>
  </si>
  <si>
    <t>debnenie na pravej rímse, cementovláknité dosky hr. 16 mm</t>
  </si>
  <si>
    <t xml:space="preserve">(637,517-1,012-1,202-1,202)*0,25= </t>
  </si>
  <si>
    <t>1105062106</t>
  </si>
  <si>
    <t>Zvislé konštrukcie inžinierskych stavieb, rímsy, výstuž z betonárskej ocele 10505</t>
  </si>
  <si>
    <t>výstuž B500 B</t>
  </si>
  <si>
    <t>DC1 ľavá rímsa</t>
  </si>
  <si>
    <t>DC1 pravá rímsa</t>
  </si>
  <si>
    <t>DC2 ľavá rímsa</t>
  </si>
  <si>
    <t>DC2 pravá rímsa</t>
  </si>
  <si>
    <t>1108010207</t>
  </si>
  <si>
    <t>Vodorovné nosné konštrukcie inžinierskych stavieb, prechodové dosky  z betónu železového, tr. C 30/37 (B 35)</t>
  </si>
  <si>
    <t>nová prechodová doska opora O1, C30/37</t>
  </si>
  <si>
    <t>10,21*(6,0*0,3+0,04)=</t>
  </si>
  <si>
    <t>nová prechodová doska opora O17, C30/37</t>
  </si>
  <si>
    <t>1108012106</t>
  </si>
  <si>
    <t>Vodorovné nosné konštrukcie inžinierskych stavieb, prechodové dosky, výstuž z betonárskej ocele 10505</t>
  </si>
  <si>
    <t>nová prechodová doska opora O1, B 500B</t>
  </si>
  <si>
    <t>nová prechodová doska opora O17, B 500B</t>
  </si>
  <si>
    <t>1108020207</t>
  </si>
  <si>
    <t>Vodorovné nosné konštrukcie inžinierskych stavieb, mostné dosky, klenby z betónu železového, tr. C 30/37 (B 35)</t>
  </si>
  <si>
    <t>spádový betón C30/37</t>
  </si>
  <si>
    <t>DC1:      0,962*271,3*2=</t>
  </si>
  <si>
    <t>DC2:   0,981*359,4*2=</t>
  </si>
  <si>
    <t>bezdilatačné styky</t>
  </si>
  <si>
    <t>((1,04*0,15*(1,15+2*0,288)+4*0,22*0,21*0,075)*69)*1,2=</t>
  </si>
  <si>
    <t>dobetónovanie okolo nových odvodňovačov v dolných prírubách nosníkov</t>
  </si>
  <si>
    <t>24*0,12*(0,288*0,4-3,14*0,08*0,08)+0,288*0,4*0,122=</t>
  </si>
  <si>
    <t>1108020208</t>
  </si>
  <si>
    <t>Vodorovné nosné konštrukcie inžinierskych stavieb, mostné dosky, klenby z betónu železového, tr. C 35/45 (B 45)</t>
  </si>
  <si>
    <t>dobetónovanie káps pre mostný záver</t>
  </si>
  <si>
    <t>dobetonávky otvorov v hornej doske nosnej konštrukcie DC1:     6*1,5*1,0*0,22*1,2=</t>
  </si>
  <si>
    <t>1108021101</t>
  </si>
  <si>
    <t>Vodorovné nosné konštrukcie inžinierskych stavieb, mostné dosky, klenby, debnenie tradičné drevené</t>
  </si>
  <si>
    <t>debnenie pre dobetónovanie okolo odvodňovačov na spodných prírubách nosníkov</t>
  </si>
  <si>
    <t>24*(0,288*0,4-3,14*0,08*0,08)+0,288*0,4=</t>
  </si>
  <si>
    <t>debnenie priečnika nosnej konštrukcie, opora O17</t>
  </si>
  <si>
    <t>16,74+1,312*8+0,2*12,65+2,03*0,6*2+1,86*2+0,31*0,6+0,14*0,6=</t>
  </si>
  <si>
    <t>debnenie záverného múrika opora O17</t>
  </si>
  <si>
    <t>0,325*0,68*2+0,325*12,75*2=</t>
  </si>
  <si>
    <t>debnenie otvorov v hornej doske nosnej konštrukcie DC1</t>
  </si>
  <si>
    <t>6*1,5*1,0=</t>
  </si>
  <si>
    <t>debnenie spádového betónu</t>
  </si>
  <si>
    <t>(2*0,2*271,3+2*0,2*359,4+0,15*12,65)*2=</t>
  </si>
  <si>
    <t>debnenie prechodových dosiek:      2*0,3*10,21+2*0,3*10,21+2*2*2*0,3=</t>
  </si>
  <si>
    <t>1108022106</t>
  </si>
  <si>
    <t>Vodorovné nosné konštrukcie inžinierskych stavieb, mostné dosky, klenby, výstuž z betonárskej ocele 10505</t>
  </si>
  <si>
    <t>B500 B spádového betónu okrem zváraných sietí</t>
  </si>
  <si>
    <t>B500 B, bezdilatačné styky 0,0487*69=</t>
  </si>
  <si>
    <t>B500 B, výstuž otvorov v hornej doske DC1</t>
  </si>
  <si>
    <t>B500 B, betonárska výstuž, priečnik nosnej konštrukcie opora O17</t>
  </si>
  <si>
    <t>B500 B, výstuž lôžka pre mostný záver O17</t>
  </si>
  <si>
    <t>B500 B, betonárska výstuž, záverný múrik opora O17</t>
  </si>
  <si>
    <t>1108022107</t>
  </si>
  <si>
    <t>Vodorovné nosné konštrukcie inžinierskych stavieb, mostné dosky, výstuž z betonárskej ocele zo zváraných sietí</t>
  </si>
  <si>
    <t>priečnik nosnej konštrukcie opora O17, KY14</t>
  </si>
  <si>
    <t xml:space="preserve">DC1+DC2, spádový betón siete KY14 </t>
  </si>
  <si>
    <t>1108030207</t>
  </si>
  <si>
    <t>Vodorovné nosné konštrukcie inžinierskych stavieb, mostné trámy  z betónu železového, tr. C 30/37 (B 35)</t>
  </si>
  <si>
    <t>opora O17, nový betón záverného múrika 0,202*12,95=</t>
  </si>
  <si>
    <t>1108030208</t>
  </si>
  <si>
    <t>Vodorovné nosné konštrukcie inžinierskych stavieb, mostné trámy  z betónu železového, tr. C 35/45 (B 45)</t>
  </si>
  <si>
    <t>nový priečnik opora O17, betón B35/45</t>
  </si>
  <si>
    <t>Odmerané z 3D telesa:   11,3+1,86*0,6=</t>
  </si>
  <si>
    <t>1108050208</t>
  </si>
  <si>
    <t>Vodorovné nosné konštrukcie inžinierskych stavieb, mostné komorové  z betónu železového, tr. C 35/45 (B 45)</t>
  </si>
  <si>
    <t>úchyty VK</t>
  </si>
  <si>
    <t>typ 1</t>
  </si>
  <si>
    <t>((1,564+2,107)/2*0,9+(1,665+2,172)/2*0,9)*0,3*1,15*2=</t>
  </si>
  <si>
    <t>typ 2</t>
  </si>
  <si>
    <t>(1,56*1,535+0,66*0,3+0,9*0,3/2+1,2*0,325/2+(0,325+0,332)/2*0,36+1,56*1,635+0,66*0,3+0,9*0,3/2+1,2*0,276/2+(0,276+0,27)/2*0,36)*0,3*4*1,15=</t>
  </si>
  <si>
    <t>1108050309</t>
  </si>
  <si>
    <t>Vodorovné nosné konštrukcie inžinierskych stavieb, mostné komorové z betónu predpätého, tr. C 40/50 (B 50)</t>
  </si>
  <si>
    <t>kotevné bloky a deviátory VK</t>
  </si>
  <si>
    <t>KB typ 1:     2 ks</t>
  </si>
  <si>
    <t>(((0,485+0,937)/2*0,75+(1,014+0,592)/2*0,75+(0,628+1,081)/2*0,75+(1,158+0,735)/2*0,75)/2*4+((2,175*(0,628+0,674)/2+2,175*(0,735+0,781)/2+2*1,275*0,3+2*0,9*0,3/2+1,2*0,324/2+(0,324+0,344)/2*0,975+1,2*0,275/2+(0,256+0,275)/2*0,975))*1,16)*2*1,15=</t>
  </si>
  <si>
    <t>KB typ 2:     4 ks</t>
  </si>
  <si>
    <t>((1,8*3,627+1,2*0,324/2+(0,324+0,336)/2*0,6+1,8*3,726+1,2*0,276/2+(0,276+0,264)/2*0,6)+(1,8*3,565+1,2*0,324/2+(0,324+0,336)/2*0,6+1,8*3,664+1,2*0,276/2+(0,276+0,264)/2*0,6))/2*0,95*4*1,15=</t>
  </si>
  <si>
    <t>deviátor:  typ 1: 4 ks</t>
  </si>
  <si>
    <t>(1,575*0,627+1,2*0,325/2+(0,325+0,332)/2*0,375+0,675*0,3+0,9*0,3/2+1,575*0,734+1,2*0,276/2+(0,276+0,269)/2*0,375+0,675*0,3+0,9*0,3/2)*0,9*4*1,15=</t>
  </si>
  <si>
    <t>deviátor:  typ 2: 2 ks</t>
  </si>
  <si>
    <t>((1,45*3,627+1,2*0,324/2+(0,324+0,329)/2*0,25+1,45*3,726+1,2*0,276/2+(0,276+0,271)/2*0,25)+(1,45*3,566+1,2*0,324/2+(0,324+0,329)/2*0,25+1,45*3,665+1,2*0,276/2+(0,276+0,271)/2*0,25))/2*0,95*2*1,15=</t>
  </si>
  <si>
    <t>1108051101</t>
  </si>
  <si>
    <t>Vodorovné nosné konštrukcie inžinierskych stavieb, mostné komorové, debnenie tradičné drevené</t>
  </si>
  <si>
    <t>((1,564+2,107)/2*0,9*2+(1,665+2,172)/2*0,9*2 +2,107*0,3+2,172*0,3)*1,15*2=</t>
  </si>
  <si>
    <t>((1,56*1,535+0,66*0,3+0,9*0,3/2+1,2*0,325/2+(0,325+0,332)/2*0,36+1,56*1,635+0,66*0,3+0,9*0,3/2+1,2*0,276/2+(0,276+0,27)/2*0,36)*2+2,166*0,3+2,205*0,3)*4*1,15=</t>
  </si>
  <si>
    <t>KB typ 1,  2 ks</t>
  </si>
  <si>
    <t>((0,485+0,937)/2*0,75+(0,592+1,014)/2*0,75+((0,937+1,081)/2+(1,014+1,158)/2)*4+2,175*0,628+1,275*0,3+0,9*0,3/2+1,2*0,324/2+(0,324+0,344)/2*0,975-(0,628+1,081)/2*0,75+2,175*0,674+1,275*0,3+0,9*0,3/2+1,2*0,324/2+(0,324+0,344)/2*0,975+(1,272+1,317)/2*1,16+2,175*0,735+1,275*0,3+0,9*0,3/2+1,2*0,275/2+(0,275+0,256)/2*0,975-(0,735+1,158)/2*0,75+2,175*0,781+1,275*0,3+0,9*0,3/2+1,2*0,276/2+(0,276+0,257)/2*0,975+(1,292+1,337)/2*1,16)*2*1,15=</t>
  </si>
  <si>
    <t xml:space="preserve">KB typ 2,  4 ks  </t>
  </si>
  <si>
    <t>(1,8*3,627+1,2*0,324/2+(0,324+0,336)/2*0,6+1,8*3,726+1,2*0,276/2+(0,276+0,264)/2*0,6+(3,963+3,99)*0,95)*4*1,15</t>
  </si>
  <si>
    <t>deviátor typ 1, 4 ks</t>
  </si>
  <si>
    <t>((1,575*0,627+1,2*0,325/2+(0,325+0,332)/2*0,375+0,675*0,3+0,9*0,3/2+1,575*0,734+1,2*0,276/2+(0,276+0,269)/2*0,375+0,675*0,3+0,9*0,3/2)*2+0,9*(1,26+1,303))*4*1,15=</t>
  </si>
  <si>
    <t>((1,45*3,627+1,2*0,324/2+(0,324+0,329)/2*0,25+1,45*3,726+1,2*0,276/2+(0,276+0,271)/2*0,25)+(3,956+3,997)*0,95)*2*1,15=</t>
  </si>
  <si>
    <t xml:space="preserve">debniaci blok v tvare kónického nátrubku zo silonu </t>
  </si>
  <si>
    <t>priemer 200 mm, dĺžka 500 mm</t>
  </si>
  <si>
    <t xml:space="preserve">KB typ 1, 2*2=4 ks, 0,073 t    </t>
  </si>
  <si>
    <t>KB typ 2, 2*(4+2)=12 ks:    0,22 t</t>
  </si>
  <si>
    <t>DV typ 1, 2*(4+4)=16 ks:     0,292 t</t>
  </si>
  <si>
    <t>DV typ 2, 4+4=8 ks:     0,146 t</t>
  </si>
  <si>
    <t>spolu 40 ks debniacich blokov, hmotnosľ 0,730 t</t>
  </si>
  <si>
    <t>1108052106</t>
  </si>
  <si>
    <t>Vodorovné nosné konštrukcie inžinierskych stavieb, mostné komorové, výstuž z betonárskej ocele 10505</t>
  </si>
  <si>
    <t>typ 1:     0,377*1,15=</t>
  </si>
  <si>
    <t>typ 2:     1,099*1,15=</t>
  </si>
  <si>
    <t>KB typ 1:     2,8*1,15=</t>
  </si>
  <si>
    <t>KB typ 2:     7,685*1,15=</t>
  </si>
  <si>
    <t>DV typ 1:     2,191*1,15=</t>
  </si>
  <si>
    <t>DV typ 2:     2,105*1,15=</t>
  </si>
  <si>
    <t>1108052203</t>
  </si>
  <si>
    <t>Vodorovné nosné konštrukcie inžinierskych stavieb, mostné komorové, výstuž z predpínacej ocele, tyčí</t>
  </si>
  <si>
    <t>tyče priemeru 36 mm, vrátane zainjektovania</t>
  </si>
  <si>
    <t>pozdĺžne predpätie</t>
  </si>
  <si>
    <t>KB typ 1:     2*0.593=</t>
  </si>
  <si>
    <t>KB typ 2:     2*2.877=</t>
  </si>
  <si>
    <t>deviátor typ1:     4*0.171=</t>
  </si>
  <si>
    <t>deviátor typ2:     1*0,479=</t>
  </si>
  <si>
    <t>kotevný materiál</t>
  </si>
  <si>
    <t>kotevné dosky štandardné:     24+128+376+64+24=616 ks</t>
  </si>
  <si>
    <t>spojky tyčí:     6+6=12 ks</t>
  </si>
  <si>
    <t>matice polguľové:     616 ks</t>
  </si>
  <si>
    <t>hrnce na kotevné dosky s gumovým tesnením:     616 ks</t>
  </si>
  <si>
    <t>tyče priemeru 32 mm, vrátane zainjektovania</t>
  </si>
  <si>
    <t xml:space="preserve">pozdĺžne predpätie - kozlíky:     </t>
  </si>
  <si>
    <t>zvislé predpätie:</t>
  </si>
  <si>
    <t>KB typ 1:     2*0,689=</t>
  </si>
  <si>
    <t>deviátor  typ 1:     4*0,091=</t>
  </si>
  <si>
    <t>kotevné dosky štandardné:    144+64+104+48=360 ks</t>
  </si>
  <si>
    <t>kotevné dosky atypické klinovité:     72 ks</t>
  </si>
  <si>
    <t>matice polguľové:     360+72=432 ks</t>
  </si>
  <si>
    <t>hrnce na kotevné dosky s gumovým tesnením:     32+4x36+16+24=216 ks</t>
  </si>
  <si>
    <t>1108052204</t>
  </si>
  <si>
    <t>Vodorovné nosné konštrukcie inžinierskych stavieb, mostné komorové, výstuž z predpínacej ocele, voľné káble</t>
  </si>
  <si>
    <t>pozdĺžne predpäté voľné káble 22 lán 15.7 mm, vrátane zainjektovania</t>
  </si>
  <si>
    <t>kotevné dosky + prechody - úprava pre VK:     16 ks</t>
  </si>
  <si>
    <t xml:space="preserve">hrnce na kotevné dosky:     16 ks </t>
  </si>
  <si>
    <t>polymérbetónové rímsové prefabrikáty na ľavej rímse</t>
  </si>
  <si>
    <t xml:space="preserve">(640,939-1,012-1,202-1,202)*0,8*0,04=  </t>
  </si>
  <si>
    <t>polymérbetónové rímsové prefabrikáty na pravej rímse</t>
  </si>
  <si>
    <t xml:space="preserve">(637,517-1,012-1,202-1,202)*0,8*0,04=  </t>
  </si>
  <si>
    <t>oceľové sedlá káblov - rúra 152x4.5 mm žiarovo zinkovaná</t>
  </si>
  <si>
    <t>(4.9*2*4+0.65*6*2+0.9*6*2+0.8*4*4+0.9*4*2)*16.4/1000</t>
  </si>
  <si>
    <t>krycie manžety na voľné káble</t>
  </si>
  <si>
    <t>(0.25*0.25*0.04*1.03*7850+0.06*20.1)*(6*2*2+4*2)/1000</t>
  </si>
  <si>
    <t>prechodky na kotvy tyčí - rúra 51x2.5x50 mm žiarovo zinkovaná</t>
  </si>
  <si>
    <t>0.05*3.0/1000*(16*3*2*2+4*3*2*2+18*3*2*2+18*2*2+16*3*2*2*2+15*4*2*2+4*3*2*4+3*3*2*4+12*4)</t>
  </si>
  <si>
    <t>kotevné kozlíky zvárané oceľové konštrukcie  - oceľ S355</t>
  </si>
  <si>
    <t>opora O17, vysokopevnostná malta, min. pevnosť v tlaku 45 MPa pod mostným záverom, hr.30 mm</t>
  </si>
  <si>
    <t>(0,5+0,5)*12,65=</t>
  </si>
  <si>
    <t>plastmalta pod kotvami zvodidiel, odhad hr. 10 mm</t>
  </si>
  <si>
    <t>ĽR:     507*0,084=</t>
  </si>
  <si>
    <t>PR:      340*0,099=</t>
  </si>
  <si>
    <t>pod príložné kotvy hr.do 10 mm:     (0.16*0.185*(360-6*6*2*2)+0.24*0.17*616)*1.2</t>
  </si>
  <si>
    <t>pod kotevné kozlíky hr.do 20 mm:     2*6*2*(0,44*0,8)*1,2=</t>
  </si>
  <si>
    <t>odvodňovacie zvislé nerezové rúrky dn 50 mm</t>
  </si>
  <si>
    <t>19*0,6+25*(1,34+0,46)=</t>
  </si>
  <si>
    <t>odvodňovacie zvislé nerezové rúrky dn 50 mm v dobetonávkach:       12*0,28=</t>
  </si>
  <si>
    <t>zvislé odvodňovacie potrubie HDPE d= 63 mm</t>
  </si>
  <si>
    <t>vrty d= 12 mm, uchytenie zvislého potrubia z kotlíka pod MZ, 2*0,1=0,2 m</t>
  </si>
  <si>
    <t>lepenie kotiev pre úchyty zvislého potrubia z kotlíka pod MZ, 2*0,1=0,2 m</t>
  </si>
  <si>
    <t>2,454+2,774+3,664+5,044+1,5+1,5+2,674+2,644+3,504+6,054+5,034+3,884+2,814+2,824+3,574+5,264+5,304+3,974+3,134+2,684+1,0+2*6,0=</t>
  </si>
  <si>
    <t>DC1, vodorovné potrubie dn= 150 mm k odvodňovačom O5 a O6</t>
  </si>
  <si>
    <t>prefabrikované nosníky šikmé potrubie dn= 150 mm:      24*(1,47+0,24+0,024)=</t>
  </si>
  <si>
    <t>lepenie kotiev pre úchyty zvislých a vodorovných potrubí odvodňovačov DC1, celkom (71,3+26,2)= 97,5 m potrubia</t>
  </si>
  <si>
    <t>(71,3+26,2)*4*0,1=39,0 m</t>
  </si>
  <si>
    <t>vrty D12 na lepenie kotiev úchytov zvislého potrubia odvodňovačov DC1, L=110 mm, celkom 71,3+26,0=97,3 m potrubia</t>
  </si>
  <si>
    <t>97,3*4*0,11=42,81 m</t>
  </si>
  <si>
    <t>2125042204</t>
  </si>
  <si>
    <t>Doplňujúce konštrukcie, dilatačné zariadenia, výplň dilatačných škár z polystyrénu</t>
  </si>
  <si>
    <t>škára medzi prechodovými doskami a oporami, EPS polystyrén hr. 20 mm</t>
  </si>
  <si>
    <t>(0,1+0,1+0,3)*(10,21+10,21)=</t>
  </si>
  <si>
    <t>škára, bezdilatačné styky EPS polystyrén hr. 30 mm</t>
  </si>
  <si>
    <t>(1,04+2*0,288)*0,945*69=</t>
  </si>
  <si>
    <t>2125042403</t>
  </si>
  <si>
    <t>Doplňujúce konštrukcie, dilatačné zariadenia, tesnenie dilatačných škár polyuretánovým tmelom</t>
  </si>
  <si>
    <t>dilatačné škáry ríms, trvale pružný tmel 5*15 mm</t>
  </si>
  <si>
    <t>25*0,972+25*3,48=</t>
  </si>
  <si>
    <t>pracovné škáry ríms, polyuretánový tesniaci tmel</t>
  </si>
  <si>
    <t>ľavá rímsa:      (0+9)*3,42=</t>
  </si>
  <si>
    <t>pravá rímsa:      (0+9)*0,952=</t>
  </si>
  <si>
    <t>tesnenie pozdĺžnej škáry medzi monolitickou rímsou a rímsovými prefabrikátmi 20*20 mm</t>
  </si>
  <si>
    <t>ĽR</t>
  </si>
  <si>
    <t>PR</t>
  </si>
  <si>
    <t>predtesnenie dilatačných škár ríms neoprénom</t>
  </si>
  <si>
    <t>25*0,972+25*3,48=111,3</t>
  </si>
  <si>
    <t>penetračný náter v pracovných škárach ríms</t>
  </si>
  <si>
    <t>ľavá rímsa:      (0+9)*3,42=30,78</t>
  </si>
  <si>
    <t>pravá rímsa:      (0+9)*0,952=8,57</t>
  </si>
  <si>
    <t>separácia na dne v pracovných škárach ríms, š=10 mm:     9*(0,952+3,420)=39,95</t>
  </si>
  <si>
    <t>2125042405</t>
  </si>
  <si>
    <t>Doplňujúce konštrukcie, dilatačné zariadenia, tesnenie dilatačných škár gumovým pásikom</t>
  </si>
  <si>
    <t>výplň škár medzi rímsovými prefabrikátmi, predtesnenie z mikroporéznej gumy pod polyuretánový tmel</t>
  </si>
  <si>
    <t>ĽR vodorovne: 641*0,04=</t>
  </si>
  <si>
    <t>ĽR zvisle: 641*0,25=</t>
  </si>
  <si>
    <t>PR vodorovne: 637*0,04=</t>
  </si>
  <si>
    <t>PR zvisle: 637*0,25=</t>
  </si>
  <si>
    <t>2125042605</t>
  </si>
  <si>
    <t>Doplňujúce konštrukcie, dilatačné zariadenia, mostné závery povrchové posun do 400 mm</t>
  </si>
  <si>
    <t xml:space="preserve">opora O17, mostný záver gumokovový s nízkou hladinou hluku </t>
  </si>
  <si>
    <t>2125083302</t>
  </si>
  <si>
    <t>Doplňujúce konštrukcie, zaťažovacie skúšky statické, 1.pole do 500 m2</t>
  </si>
  <si>
    <t>DC1, pole č.1</t>
  </si>
  <si>
    <t>2125083304</t>
  </si>
  <si>
    <t>Doplňujúce konštrukcie, zaťažovacie skúšky statické, 1.pole nad 800 m2</t>
  </si>
  <si>
    <t>DC1, pole č.2</t>
  </si>
  <si>
    <t>2125083306</t>
  </si>
  <si>
    <t>Doplňujúce konštrukcie, zaťažovacie skúšky statické, 2. a ďalšie pole do 500 m2</t>
  </si>
  <si>
    <t>DC1, pole č.4</t>
  </si>
  <si>
    <t>2125083308</t>
  </si>
  <si>
    <t>Doplňujúce konštrukcie, zaťažovacie skúšky statické, 2. a ďalšie pole nad 800 m2</t>
  </si>
  <si>
    <t>DC1, pole č.3</t>
  </si>
  <si>
    <t>uzamykateľné vstupné poklopy do n. k.</t>
  </si>
  <si>
    <t>lepenie kotiev d10 mm, rámy vstupných poklopov, L=100 mm</t>
  </si>
  <si>
    <t>12*6*0,1=7,2 m</t>
  </si>
  <si>
    <t>epoxidový náter poklopov na vstupoch:     (0,05*4*0,86*4+(2*0,05+2*0,005)*0,92*3+(2*0,02+2*0,005)*0,92+0,829*0,829*2+(2*0,07+2*0,005)*0,1*2)*12=29,3 m2</t>
  </si>
  <si>
    <t>polyuretánový náter poklopov na vstupoch:     (0,05*4*0,86*4+(2*0,05+2*0,005)*0,92*3+(2*0,02+2*0,005)*0,92+0,829*0,829*2+(2*0,07+2*0,005)*0,1*2)*12=29,3 m2</t>
  </si>
  <si>
    <t>poklopy na vstupoch do n.k.</t>
  </si>
  <si>
    <t>(0,05*4*0,86*4+(2*0,05+2*0,005)*0,92*3+(2*0,02+2*0,005)*0,92+0,829*0,829*2+(2*0,07+2*0,005)*0,1*2)*12=29,3 m2</t>
  </si>
  <si>
    <t>metalizácia poklopov na vstupoch</t>
  </si>
  <si>
    <t>vŕtanie D12 na lepenie rámov vstupných poklopov, L=100 mm</t>
  </si>
  <si>
    <t>12*6*0,1=7,02 m</t>
  </si>
  <si>
    <t>bezdilatačný styk - pásy 60x10x1170 mm, S235 JRG</t>
  </si>
  <si>
    <t>lepenie výstuže  d=16 mm do vrtov v otvoroch hornej dosky DC1, L=150 mm:      0,15*72=</t>
  </si>
  <si>
    <t>lepenie výstuže d=20 mm do vrtov v otvoroch hornej dosky DC1, L=150 mm:      0,15*36=</t>
  </si>
  <si>
    <t>lepenie záverný múrik, L= 0,3 m, 128 ks</t>
  </si>
  <si>
    <t>lepenie meračské značky d= 14 mm</t>
  </si>
  <si>
    <t>(2*(4+8+8+4+5)+2*37)*0,091=</t>
  </si>
  <si>
    <t>vlepovanie výstuže d 12 mm -  úchyty:     0,14*(19*2*2*2+24*2*2*4)=</t>
  </si>
  <si>
    <t xml:space="preserve">Doplňujúce konštrukcie, drobné zariadenia oceľové, chemické kotvy ríms  </t>
  </si>
  <si>
    <t>súbor lepených kotiev ríms, vrátane vŕtania, lepenia a ostatných potrebných činností pre kotvenie časti rímsy v dĺžke 1 m</t>
  </si>
  <si>
    <t xml:space="preserve">ĽR </t>
  </si>
  <si>
    <t>2125010601</t>
  </si>
  <si>
    <t>Doplňujúce konštrukcie, zvodidlá oceľové jednoduché</t>
  </si>
  <si>
    <t>pravá rímsa, spätná montáž pôvodného zvodidla KB2 RH2</t>
  </si>
  <si>
    <t>náhrada 10,0% naviac za poškodené stĺpiky a zvodnice</t>
  </si>
  <si>
    <t>0,1*640,94=</t>
  </si>
  <si>
    <t>náhrada 10,0% naviac za poškodený spojovací materiál</t>
  </si>
  <si>
    <t>náhrada 100,0% naviac za nové kotvenie zvodidla</t>
  </si>
  <si>
    <t>nové dilatačné zvodnice zvodidla vľavo pre posun +-200 mm:     3 ks</t>
  </si>
  <si>
    <t>2125010602</t>
  </si>
  <si>
    <t>Doplňujúce konštrukcie, zvodidlá oceľové zábradeľné</t>
  </si>
  <si>
    <t>ľavá rímsa, spätná montáž pôvodného zábradľ. zvodidla KB1 RH2 K</t>
  </si>
  <si>
    <t>0,1*635,82=</t>
  </si>
  <si>
    <t>náhrada 100,0% naviac za nové kotvenie zábradľového zvodidla</t>
  </si>
  <si>
    <t>nové dilatačné zvodnice zábradľového zvodidla vpravo, pre posun +-200 mm:     3 ks</t>
  </si>
  <si>
    <t>nové pomocné dilatačné zvodnice zábradľového zvodidla vpravo pre posun +-200 mm:     3 ks</t>
  </si>
  <si>
    <t>nové dilatačné tiahla tyčí zábradľového zvodidla vpravo pre posun +-200 mm:     3 ks</t>
  </si>
  <si>
    <t>spätná montáž pôvodného pletiva s novými plotovými sieťovými nadstavcami na zábradľovom zvodidle vpravo, vrátane nových oceľových úchytov:      (635,82+1,6+1,6)*0,5=319,51 m2</t>
  </si>
  <si>
    <t>podperná skruž drevená pod debnenie otvorov v hornej doske DC1</t>
  </si>
  <si>
    <t>(2*1,5*(1,31+3,98+3,94+2,24+1,09+2,31+2,21+1,05+2,21+3,88+3,86+1,12))*0,5=</t>
  </si>
  <si>
    <t>2125100601</t>
  </si>
  <si>
    <t>Doplňujúce konštrukcie, podperné konštrukcie mostov oceľové ľahké</t>
  </si>
  <si>
    <t>podperné zavesené dočasné lešenie pod nosnou konštrukciou DC1 a DC2 počas celého trvania stavby</t>
  </si>
  <si>
    <t>630,34*(12,65+2)*2,5=</t>
  </si>
  <si>
    <t>podperné zavesené dočasné lešenie okolo podpier P5-P16</t>
  </si>
  <si>
    <t>((1,0+1,8+1,0)*(1,0+13,0+1,0)-1,8*13,0)*(10,2-2,5+10,1-2,5+9,8-2,5+9,5-2,5+8*1)=</t>
  </si>
  <si>
    <t>podperné zavesené dočasné lešenie okolo podpier P2-P4</t>
  </si>
  <si>
    <t>((2,6+1,0+1,0)*(9,2+1,0+1,0)-2,6*9,2)*(6,0+7,3+6,7-3*2,5)=</t>
  </si>
  <si>
    <t xml:space="preserve">odhad 1 promile celkovej sanovanej plochy betónu </t>
  </si>
  <si>
    <t>(1529,722+528,041+17,308+19,342+8596,3+11102,3)*0,001=</t>
  </si>
  <si>
    <t>nové krycie plechy mostných záverov, opora O1 a podpera P5 vrátane povrchových úprav</t>
  </si>
  <si>
    <t>podpera P5:     (1,5*(0,8+0,25)+1,5*(1,81+0,15)+1,5*(0,8+0,25)+1,5*(0,77+0,15))*0,006*7,87=</t>
  </si>
  <si>
    <t>lepenie závitových tyčí d= 12 mm pre uchytenie odvodňovacieho kotlíka pod mostným záverom O17:      2*0,15=0,3 m</t>
  </si>
  <si>
    <t>atypický nerezový kotlík pod mostným záverom O17:      (0,2*0,3*2+0,3*0,6*2+0,2*0,6)*0,003*7,877=</t>
  </si>
  <si>
    <t>Práce na stavbe miestnych potrubných vedení vody a kanalizácie</t>
  </si>
  <si>
    <t>2702042103</t>
  </si>
  <si>
    <t>Vodovody, rúry plastové PE, PP nad D 50 mm do D 110 mm</t>
  </si>
  <si>
    <t>hdpe rúry pre voľné káble</t>
  </si>
  <si>
    <t>d   125x7,4 mm PE100</t>
  </si>
  <si>
    <t>d   63x5,8 mm PE100</t>
  </si>
  <si>
    <t>2203033002</t>
  </si>
  <si>
    <t>Podkladné a krycie vrstvy z asfaltových zmesí, bitúmenové postreky, nátery,posypy spojovací postrek z modifikovaného asfaltu</t>
  </si>
  <si>
    <t>spojovací postrek 1 vrstva na nosnej konštrukcii</t>
  </si>
  <si>
    <t xml:space="preserve">PS, CBP 0,3 kg/m2    </t>
  </si>
  <si>
    <t>DC1:     (271,3+1,0)*10,25=</t>
  </si>
  <si>
    <t>DC2:    (359,4+1,0)*10,25=</t>
  </si>
  <si>
    <t>Podkladné a krycie vrstvy z asfaltových zmesí, bitúmenové postreky, nátery, posypy posyp podkladu alebo krytu</t>
  </si>
  <si>
    <t>2203033402</t>
  </si>
  <si>
    <t>Podkladné a krycie vrstvy z asfaltových zmesí, bitúmenové postreky, nátery, posypy posyp podkladu alebo krytu predobalenou drvou</t>
  </si>
  <si>
    <t>zaklinenie, drva 4/8 - 2,0 kg/m2</t>
  </si>
  <si>
    <t>DC1    10,25*(271,3+1,0)=</t>
  </si>
  <si>
    <t>DC2    10,25*(359,4+1,0)=</t>
  </si>
  <si>
    <t>Podkladné a krycie vrstvy z asfaltových zmesí, bitúmenové vrstvy, asfaltový koberec mastixový triedy I.</t>
  </si>
  <si>
    <t>asfaltový koberec mastixový SMA 11,  PMB modifik.</t>
  </si>
  <si>
    <t>kryt vozovky na nosnej konštrukcii 40 mm</t>
  </si>
  <si>
    <t>DC1:      (271,3*10,25-271,3*0,02*2-10,21*1,0*2)*0,04=</t>
  </si>
  <si>
    <t>DC2:      (359,4*10,25-359,4*0,02*2-10,21*1,0*2)*0,04=</t>
  </si>
  <si>
    <t>2203064302</t>
  </si>
  <si>
    <t>Podkladné a krycie vrstvy z asfaltových zmesí, bitúmenové vrstvy, asfaltový koberec drenážny z plastbetónu</t>
  </si>
  <si>
    <t>drenážne kanáliky, š= 100 mm, h= 45 mm a okolie 45 odvodňovačov a 46 odvodňovacích rúrok,</t>
  </si>
  <si>
    <t>drenážny plastbetón 8/16 mm z ťaženého kameniva</t>
  </si>
  <si>
    <t>0,1*0,045*(10,0+10,0+10,0+269,09+358,25)+0,43*0,43*0,06*42+0,06*(0,53+2*0,165+2*0,33)*44=</t>
  </si>
  <si>
    <t>2203074405</t>
  </si>
  <si>
    <t>Podkladné a krycie vrstvy z asfaltových zmesí, liaty asfalt cestný strednozrnný modifikovaný</t>
  </si>
  <si>
    <t>liaty asfalt MA16 PMB modifik., hr. 45 mm</t>
  </si>
  <si>
    <t>DC1 (271,3*10,21-10,21*2)*0,045*1,1</t>
  </si>
  <si>
    <t>DC2 (359,4*10,21-10,21*2)*0,045*1,1</t>
  </si>
  <si>
    <t>ochrana izolácie MA16 PMB hr. 45 mm pod krytom MA16 PMB, t.j. v okolí mostných záverov</t>
  </si>
  <si>
    <t>DC1:      10,21*1,0*3*0,045*1,1=</t>
  </si>
  <si>
    <t>DC2:      10,21*1,0*3*0,045*1,1=</t>
  </si>
  <si>
    <t>liaty asfalt medzisúčet</t>
  </si>
  <si>
    <t>kryt vozovky MA16 PMB 40 mm</t>
  </si>
  <si>
    <t>DC1:      10,21*1,0*3*0,04=</t>
  </si>
  <si>
    <t>DC2:      10,21*1,0*3*0,04=</t>
  </si>
  <si>
    <t>2204075201</t>
  </si>
  <si>
    <t>Kryty dláždené,chodníkov komunikácií,rigolov - vyplnenie škár elastickou zálievkou s predtesnením</t>
  </si>
  <si>
    <t>styk krytu vozovky a monolitická časť rímsy 40*20 mm vrátane predtesnenia:       640,94+635,82=</t>
  </si>
  <si>
    <t xml:space="preserve">predtesnenie d=30 mm medzi prechodovými doskami, závernými múrikmi a krídlami:     10,21+10,21+4,0*2=  </t>
  </si>
  <si>
    <t>zálievky krytu vozovky okolo odvodňovačov 40*20 mm:     46*(2*0,53+2*0,33)=</t>
  </si>
  <si>
    <t>kotviaci impregnačný náter medzi rímsami a vozovkami hr. 40 mm:    635,82+640,94=1276,76</t>
  </si>
  <si>
    <t>kotviaci impregnačný náter ríms pri vozovke hr 40 mm</t>
  </si>
  <si>
    <t>640,94+635,82=1276,76</t>
  </si>
  <si>
    <t>2204075202</t>
  </si>
  <si>
    <t>Kryty dláždené,chodníkov komunikácií,rigolov - vyplnenie škár elastickou zálievkou bez predtesnenia</t>
  </si>
  <si>
    <t>styk krytu vozovky a mostného záveru 40*20 mm:     3*2*10,25=</t>
  </si>
  <si>
    <t xml:space="preserve">pružná zálievka 20*20 mm medzi prechodovými doskami, závernými múrikmi a krídlami:     10,21+10,21+4,0*2=  </t>
  </si>
  <si>
    <t>pružná vodotesná výplň vrtov v dobetonávke medzi nosníkmi okolo odvodňovacích rúrok, 120*15 mm</t>
  </si>
  <si>
    <t>12*3,14*0,072=</t>
  </si>
  <si>
    <t>styk ochrany izolácie a monolitickej časti rímsy 45*20 mm:     640,94+635,82=</t>
  </si>
  <si>
    <t xml:space="preserve">pružná zálievka pozdĺž prefabrikátov polymérbetónových, 20*20 mm:   640,94+635,82= </t>
  </si>
  <si>
    <t>pružná zálievka 40*10 mm v priečnych rezaných škárach na stykoch krytov vozovky 2*3*10,25=</t>
  </si>
  <si>
    <t>kotviaci impregnačný náter medzi rímsami a vozovkami hr. 45 mm:     635,82+640,94=1276,76</t>
  </si>
  <si>
    <t>kotviaci impregnačný náter ríms pri vozovke hr. 40 mm</t>
  </si>
  <si>
    <t>640,94+635,82=1276,6</t>
  </si>
  <si>
    <t xml:space="preserve">náter na zlepšenie priľnavosti zálievky medzi mostnými závermi a vozovkami hr. 40 mm  </t>
  </si>
  <si>
    <t>2*2*3*10,25=123,3</t>
  </si>
  <si>
    <t xml:space="preserve">náter na zlepšenie priľnavosti zálievky medzi mostnými závermi a vozovkami hr. 45 mm  </t>
  </si>
  <si>
    <t>2*2*3=12,0</t>
  </si>
  <si>
    <t>nové škárovanie, cementová malta MC25, svah a pod mostom, opora O1</t>
  </si>
  <si>
    <t>53,59*1,215+(223,63+70,61+24,58)*1,08=</t>
  </si>
  <si>
    <t>nové škárovanie, cementová malta MC25, opora O17</t>
  </si>
  <si>
    <t>78,4*1,08=</t>
  </si>
  <si>
    <t>2225016201</t>
  </si>
  <si>
    <t>Doplňujúce konštrukcie,  zábradlie kovové, mostov a múrov</t>
  </si>
  <si>
    <t>hliníkové zábradlie ľavá rímsa</t>
  </si>
  <si>
    <t>vrty pre kotvy zábradlia d14 mm, L= 100 mm, 2576 ks</t>
  </si>
  <si>
    <t>2576*0,10=257,6 m</t>
  </si>
  <si>
    <t>povrchová úprava zábradlia 640,94*1,1=705,03 m2</t>
  </si>
  <si>
    <t>-odmastenie a fosfátovanie alebo pasivácia povrchu zábradlia</t>
  </si>
  <si>
    <t>-polyesterová prášková farba</t>
  </si>
  <si>
    <t xml:space="preserve">-povrchová úprava  </t>
  </si>
  <si>
    <t>plastmalta pod kotvami zábradlia,odhad hr. 8 mm</t>
  </si>
  <si>
    <t>644*0,15*0,15=14,49 m2</t>
  </si>
  <si>
    <t>0,4*330=132 m</t>
  </si>
  <si>
    <t>lepenie  pre kotvy zábradlia d12 mm, L= 100 mm, 2576 ks</t>
  </si>
  <si>
    <t>257,6 m</t>
  </si>
  <si>
    <t>2225057001</t>
  </si>
  <si>
    <t>Doplňujúce konštrukcie,  značky staničenia, nivelačné značky osadené na objekte</t>
  </si>
  <si>
    <t>pozorované body - klincové značky s povrchovou úpravou</t>
  </si>
  <si>
    <t>klincové meračské značky 2*37=</t>
  </si>
  <si>
    <t>meračské značky pre vytýčenie NK na trámoch zvonku</t>
  </si>
  <si>
    <t>2*37+2*(4+8+8+4+5)</t>
  </si>
  <si>
    <t>vrty pre meračské značky d= 14 mm, 74*0,091=6,73 m</t>
  </si>
  <si>
    <t>lepenie meračské značky d= 14 mm, 2*37*0,091=6,730m</t>
  </si>
  <si>
    <t>2225067101</t>
  </si>
  <si>
    <t>Doplňujúce konštrukcie,  zvislé dopravné značky, normálny alebo zväčšený rozmer oceľové</t>
  </si>
  <si>
    <t xml:space="preserve">montáž dopravnej značky </t>
  </si>
  <si>
    <t>evidenčné číslo + identifikačné číslo mosta M3122</t>
  </si>
  <si>
    <t>2225098001</t>
  </si>
  <si>
    <t>Doplňujúce konštrukcie,  obrubníky chodníkové betónové</t>
  </si>
  <si>
    <t>opora O1, betónové obrubníky okolo spevnených plôch š=150 mm</t>
  </si>
  <si>
    <t>opora O1, betónové obrubníky okolo spevnených plôch š=100 mm:    8,8+2*2,0+5,4=</t>
  </si>
  <si>
    <t>opora O17, betónové obrubníky okolo spevnených plôch š=150 mm</t>
  </si>
  <si>
    <t>opora O17, betónové obrubníky okolo spevnených plôch š= 100 mm</t>
  </si>
  <si>
    <t>2*1,8+3,6=</t>
  </si>
  <si>
    <t>2225148901</t>
  </si>
  <si>
    <t>Doplňujúce konštrukcie,  pri stavbe krytov komunikácií, brúsenie,zdrsnenie cementobetónového krytu</t>
  </si>
  <si>
    <t>zdrsnenie povrchu betónu NK na styku s kotevnými blokmi, deviátormi a kozlíkmi</t>
  </si>
  <si>
    <t>(2,2*4+2,3*4+5,21*1,16+5,31*1,16)*2+(5,6*0,95+5,5*0,95)*2*2+(4*0,9+4,1*0,9)*4+2*6*2*(0,44*0,8)*1,2=</t>
  </si>
  <si>
    <t>Práce na hrubej stavbe úprav tokov, hrádzí, zavlažovacích kanálov a akvaduktov</t>
  </si>
  <si>
    <t>1120010103</t>
  </si>
  <si>
    <t>Podkladné konštrukcie, podkladné vrstvy z betónu prostého, tr, C 12/15 (B 15)</t>
  </si>
  <si>
    <t>podkladný betón pod PD, opora O1</t>
  </si>
  <si>
    <t>10,25*6,1*0,1=</t>
  </si>
  <si>
    <t>podkladný betón pod PD, opora O17</t>
  </si>
  <si>
    <t>1120010104</t>
  </si>
  <si>
    <t>Podkladné konštrukcie, podkladné vrstvy z betónu prostého, tr. C 16/20 (B 20)</t>
  </si>
  <si>
    <t>podkladový betón pod nové dosky O1, C15/20, hr.100 mm</t>
  </si>
  <si>
    <t>odhad 10%:     0,1*((223,63+70,61+24,58)*1,08+53,59*1,215)*0,100=</t>
  </si>
  <si>
    <t>podkladový betón pod nové dosky O17, C15/20, hr.100 mm</t>
  </si>
  <si>
    <t>odhad 10%:      0,1*78,4*1,08*0,10=</t>
  </si>
  <si>
    <t>Izolačné práce proti vode</t>
  </si>
  <si>
    <t>6101010102</t>
  </si>
  <si>
    <t>Izolácie proti vode a zemnej vlhkosti, bežných konštrukcií náterivami a tmelmi na ploche zvislej</t>
  </si>
  <si>
    <t>penetračný náter pod izoláciu na prechodových doskách:     1,3*(12,53+12,65)=</t>
  </si>
  <si>
    <t>6101050201</t>
  </si>
  <si>
    <t>Izolácie proti vode a zemnej vlhkosti, mostoviek pásmi na ploche vodorovnej</t>
  </si>
  <si>
    <t>izolácia nosnej konštrukcie NAIP</t>
  </si>
  <si>
    <t xml:space="preserve">DC1:      271,3*12,53=  </t>
  </si>
  <si>
    <t>DC2:      359,4*12,65=</t>
  </si>
  <si>
    <t>izolácia prechodové dosky a záverné múriky</t>
  </si>
  <si>
    <t>1,3*(12,53+12,65)=</t>
  </si>
  <si>
    <t>ochrana izolácie pod rímsami</t>
  </si>
  <si>
    <t>DC1:      271,3*(0,3+0,8-0,04-0,05)+271,3*(0,3+2,0-0,25)=</t>
  </si>
  <si>
    <t>DC2:      359,4*(0,3+0,8-0,04-0,05)+359,4*(0,3+2,0-0,25)=</t>
  </si>
  <si>
    <t>6101050101</t>
  </si>
  <si>
    <t>Izolácie proti vode a zemnej vlhkosti, mostoviek náterivami a tmelmi na ploche vodorovnej</t>
  </si>
  <si>
    <t>prechodové dosky, 1x penetračný náter+ 2x asfaltový náter za studena</t>
  </si>
  <si>
    <t>O1:      5,0*10,21+0,3*10,21+3*2*0,3=</t>
  </si>
  <si>
    <t>O17:      5,0*10,21+0,3*10,21+3*2*0,3=</t>
  </si>
  <si>
    <t>6101050302</t>
  </si>
  <si>
    <t>Izolácie proti vode a zemnej vlhkosti, mostoviek fóliami na ploche zvislej</t>
  </si>
  <si>
    <t>bezdilatačné styky - neoprén:     DC2 2*(0,12+0,05)*(1,15+0,288*2)*69=</t>
  </si>
  <si>
    <t>6101060206</t>
  </si>
  <si>
    <t>Izolácie proti vode a zemnej vlhkosti, zhotovenie detailov pásmi hydroizolačná prepážka</t>
  </si>
  <si>
    <t>separácia káblov v úchytoch - tvrdá guma hr. do 5 mm 2x</t>
  </si>
  <si>
    <t>3,14*0,135*2*0,3*(2*2+4*4)=</t>
  </si>
  <si>
    <t>spevnený svah opora O1 vrátane odvodňovacieho žľabu, vyčistenie</t>
  </si>
  <si>
    <t>53,59*1,215=</t>
  </si>
  <si>
    <t>očistenie prístupovej rampy, opora O1</t>
  </si>
  <si>
    <t>(38,63+63,14)*1,05=</t>
  </si>
  <si>
    <t>očistenie spevnenia pod mostom, opora O1 so škárovaním</t>
  </si>
  <si>
    <t>(223,63+70,61+24,58)*1,08=</t>
  </si>
  <si>
    <t>očistenie spevnenia a škárovania pod mostom vrátane odvodňovacieho žľabu, opora O17</t>
  </si>
  <si>
    <t>0206112901</t>
  </si>
  <si>
    <t>Spevňovanie hornín a konštrukcií, škárovanie, zamurovanie aktivovanou maltou, suspenziou skalnej steny, kamenného muriva</t>
  </si>
  <si>
    <t>injektáž cementovou maltou pri krajných priečnikoch nk, hr. 30 mm:     6*5,5*2=</t>
  </si>
  <si>
    <t>injektáž priestoru   nad kotevnými blokmi po zmrašťovaní betónu epoxidovou živicou</t>
  </si>
  <si>
    <t>KB typ 1:     (0,78*4*2+2,25*1,16*2)*0,01*2=</t>
  </si>
  <si>
    <t>deviátor typ 2:    1,65*0,9*0,01*2*4=</t>
  </si>
  <si>
    <t>Betonárske práce</t>
  </si>
  <si>
    <t>1101030207</t>
  </si>
  <si>
    <t xml:space="preserve">Základy, dosky z betónu železového, tr. C 30/37 </t>
  </si>
  <si>
    <t>nové betónové plochy za oporami C30/37</t>
  </si>
  <si>
    <t>nové betónové dosky na svahu pod mostom, opora O1</t>
  </si>
  <si>
    <t>odhad 10%:      0,1*((223,63+70,61+24,58)*1,08+53,59*1,215)*0,15=</t>
  </si>
  <si>
    <t>nové betónové dosky na svahu pod mostom, opora O17</t>
  </si>
  <si>
    <t>odhad 10%:      0,1*78,4*1,08*0,15=</t>
  </si>
  <si>
    <t>1101030208</t>
  </si>
  <si>
    <t>Základy, dosky z betónu železového, tr. C 35/45 (B 45)</t>
  </si>
  <si>
    <t>nové betónové plochy za oporami C35/45</t>
  </si>
  <si>
    <t>opora O1:     (17,24+1,88)*0,15=</t>
  </si>
  <si>
    <t>opora O17:     6,24*0,15=</t>
  </si>
  <si>
    <t>1101032106</t>
  </si>
  <si>
    <t>Základy, dosky, výstuž z betonárskej ocele 10505</t>
  </si>
  <si>
    <t>nové betónové plochy za oporami výstuž B500 B</t>
  </si>
  <si>
    <t>opora O1:     (17,24+1,88)*12,34*0,001=</t>
  </si>
  <si>
    <t>opora O17:     6,24*12,34*0,001=</t>
  </si>
  <si>
    <t>výstuž betónových dosiek, opora O17, B500 B</t>
  </si>
  <si>
    <t>odhad 10%:      0,1*78,4*1,08*12,34*0,001=</t>
  </si>
  <si>
    <t>doplnková výstuž betónové dosky, opora O1, B500 B</t>
  </si>
  <si>
    <t>doplnková výstuž betónové dosky, opora O17, B500 B</t>
  </si>
  <si>
    <t>1101032107</t>
  </si>
  <si>
    <t>Základy, dosky, výstuž z betonárskej ocele zo zváraných sietí</t>
  </si>
  <si>
    <t>výstuž betónových dosiek, opora O1, KY-49</t>
  </si>
  <si>
    <t>odhad 10%:       (0,1*(223,63+70,61+24,58)*1,08+0,1*53,59*1,215)*12,34*0,001=</t>
  </si>
  <si>
    <t>Murovanie a murárske práce</t>
  </si>
  <si>
    <t>heraklit v škárach betónových dosiek opora O1, O17, h= 105 mm, š= 25 mm</t>
  </si>
  <si>
    <t>odhad:      0,01*((223,63+70,61+24,58)*1,08+53,59*1,215)=</t>
  </si>
  <si>
    <t>heraklit v škárach betónových dosiek opora O17, h= 105 mm, š= 25 mm</t>
  </si>
  <si>
    <t>odhad:      0,01*78,4*1,08=</t>
  </si>
  <si>
    <t>mechanické čistenie, dezinfekcia  a odvoz odpadu s poplatkom za jeho likvidáciu z komôrky DC1</t>
  </si>
  <si>
    <t>plocha na čistenie</t>
  </si>
  <si>
    <t>spodné plochy komôrky DC1:     2*((43,786+87,578+87,775+43,858)*(5,35+4,95)*0,5+3*0,8*2,6)=</t>
  </si>
  <si>
    <t>plocha dezinfekcie:    vnútorné priestory komôrky DC1:     2466,97+2721,35+2713,02=7901,34 m2</t>
  </si>
  <si>
    <t>dezinfekcia, zvislé plochy:      2*(2*93,809+2*184,85+2*180,507+2*86,346+2*5,47+6*(19,04-1,28)+3*(2*1,6*2,6))=2466,97 m2</t>
  </si>
  <si>
    <t>dezinfekcia, spodné plochy:      2*((43,786+87,578+87,775+43,858)*(5,35+4,95)*0,5+3*0,8*2,6)=2721,35 m2</t>
  </si>
  <si>
    <t>dezinfekcia, horné plochy:      2*((43,665+87,306+87,496+43,721)*(5,35+4,95)*0,5+3*0,8*2,6)=2713,02 m2</t>
  </si>
  <si>
    <t>vtáčie hniezda na nosnej konštrukcii - trojhniezda</t>
  </si>
  <si>
    <t>Elektroinštalačné práce v neobytných budovách</t>
  </si>
  <si>
    <t>Uzemňovacie a bleskozvodné vedenia - vodiče nadzemné, na povrchu FeZn drôtové</t>
  </si>
  <si>
    <t>zábradlie - uzemnenie FeZn d= 10 mm2 vrátane uchytenia na kotevných platniach zábradlia</t>
  </si>
  <si>
    <t>0,4*330=</t>
  </si>
  <si>
    <t xml:space="preserve">Ostatné izolačné práce </t>
  </si>
  <si>
    <t>separačná vrstva z jutovej tkaniny - tiahla bezdilatačných stykov</t>
  </si>
  <si>
    <t>DC2:       (0,06*2+0,01*2)*1,04*2*69=</t>
  </si>
  <si>
    <t>Montáž oplotenia</t>
  </si>
  <si>
    <t>6711010802</t>
  </si>
  <si>
    <t>Oplotenie  z drôteného pletiva pozinkovaného, na stĺpiky oceľové</t>
  </si>
  <si>
    <t>uzamykateľné bránky 1,0*1,80 m v oplotení, 2 ks</t>
  </si>
  <si>
    <t>nové pletivo a stĺpiky, H=1,80 m</t>
  </si>
  <si>
    <t>O1:      1,8*20,0=</t>
  </si>
  <si>
    <t>O17:      1,8*25,0=</t>
  </si>
  <si>
    <t>Omietkárske práce</t>
  </si>
  <si>
    <t>NK DC1 60% z plochy stien</t>
  </si>
  <si>
    <t>(271*(0,94+1,07)+114*2*3)*0,6*1,05=774,9 m2</t>
  </si>
  <si>
    <t>NK DC2 100% okraj + 40% stred</t>
  </si>
  <si>
    <t>((2,6+0,66)*2*360+7,5*360*0,4)*1,05=3598,56 m2</t>
  </si>
  <si>
    <t>podpery P5-P16 úložné prahy 100%</t>
  </si>
  <si>
    <t>((3,55+3,58)*1,8+5,75*0,25*2)*1,05*12=197,93 m2</t>
  </si>
  <si>
    <t>spolu 774,9+3598,56+197,93=4570,58 m2</t>
  </si>
  <si>
    <t>jednovrstvový sanačný systém do 20 mm - odhad 60%:     4570,58*0,02*0,6=</t>
  </si>
  <si>
    <t>jednovrstvový sanačný systém do 50 mm - odhad 30% :     4570,58*0,05*0,3=</t>
  </si>
  <si>
    <t>viacvrstvový sanačný systém nad 50 mm - odhad 10%:     4570,58*0,07*0,1=</t>
  </si>
  <si>
    <t>NK DC1 horný povrch 35% celkovej plochy</t>
  </si>
  <si>
    <t>12,53*272*0,35*1,05=1252,50 m2</t>
  </si>
  <si>
    <t>NK DC2  horný povrch 35% celkovej plochy</t>
  </si>
  <si>
    <t>12,65*360*0,35*1,05=1673,60 m2</t>
  </si>
  <si>
    <t>Opory 1 a 17</t>
  </si>
  <si>
    <t>(1,15*3,0+(13+1,15)*0,2)*1,05*2=13,19 m2</t>
  </si>
  <si>
    <t>podpery P2, P3 a P5-P16 úložné prahy b=200 mm</t>
  </si>
  <si>
    <t>(21,3*0,2*2+(12,75+1,8)*2*0,2*12)*1,05=82,28 m2</t>
  </si>
  <si>
    <t>spolu 1252,50+1673,60+13,19+82,28=3021,56 m2</t>
  </si>
  <si>
    <t>jednovrstvový sanačný systém do 20 mm - odhad 60%:     3021,56*0,02*0,6=</t>
  </si>
  <si>
    <t>jednovrstvový sanačný systém do 50 mm - odhad 30% :     3021,56*0,05*0,3=</t>
  </si>
  <si>
    <t>viacvrstvový sanačný systém nad 50 mm - odhad 10%:     3021,56*0,07*0,1=</t>
  </si>
  <si>
    <t>injektáž trhlín epoxidovou živicou do hĺbky 100 mm</t>
  </si>
  <si>
    <t>NK DC1:      700*0,1=</t>
  </si>
  <si>
    <t>podpery P2-P4 drieky 50% celkovej plochy</t>
  </si>
  <si>
    <t>(21,3*6,3+21,3*7*2)*1,05*0,5=227,00 m2</t>
  </si>
  <si>
    <t>podpery P5-P8 drieky 100% celkovej plochy</t>
  </si>
  <si>
    <t>(5,75*2+3,14*1,3)*8,7*1,05*4=569,37 m2</t>
  </si>
  <si>
    <t>podpery P9-P16 drieky 20% celkovej plochy</t>
  </si>
  <si>
    <t>(5,75*2+3,14*1,3)*6,2*1,05*8*0,2=162,30 m2</t>
  </si>
  <si>
    <t>spolu 227,00+569,37+162,30=958,67 m2</t>
  </si>
  <si>
    <t>jednovrstvový sanačný systém do 20 mm - odhad 60%:    958,67*0,02*0,6=</t>
  </si>
  <si>
    <t>jednovrstvový sanačný systém do 50 mm - odhad 30% :     958,67*0,05*0,3=</t>
  </si>
  <si>
    <t>viacvrstvový sanačný systém nad 50 mm - odhad 10%:     958,67*0,07*0,1=</t>
  </si>
  <si>
    <t>Nanášanie ochranných vrstiev - maliarske a natieračské práce</t>
  </si>
  <si>
    <t>8401010701</t>
  </si>
  <si>
    <t>Náter oceľových konštrukcií, farba epoxidová, základný</t>
  </si>
  <si>
    <t>hrnce na kotvy tyčí:     0,045*616+0,03*216=</t>
  </si>
  <si>
    <t>kotvy tyčí na styku so vzduchom:     (0,106+0,42*0,35-0,22*0,15)*592+0,106*1,25*32+(0,42*0,35-0,22*0,15)*24+(0,067+0,34*0,365-0,14*0,165)*216+0,067*1,25*216+(0,34*0,365-0,14*0,165)*216=</t>
  </si>
  <si>
    <t>kotevné kozlíky:     2*6*(1,7-0,71*0,38)*1,1*2=</t>
  </si>
  <si>
    <t>sedlá káblov:     (4.9*2*4+0.65*6*2+0.9*6*2+0.8*4*4+0.9*4*2)*1,05*3,14*0,143</t>
  </si>
  <si>
    <t>8401020702</t>
  </si>
  <si>
    <t>Náter kovových doplnkových konštr., farba epoxidová, jednonásobný</t>
  </si>
  <si>
    <t>zmrašťovacie a pracovné škáry ríms, epoxidový náter 80 mikrónov</t>
  </si>
  <si>
    <t>ľavá rímsa:     (9+86)*(49*3,14*0,012*0,1+4*3,14*0,016*0,1)=</t>
  </si>
  <si>
    <t>pravá rímsa:    (9+80)*(18*3,14*0,012*0,1+2*3,14*0,016*0,1)=</t>
  </si>
  <si>
    <t>antikorózny náter- tiahla bezdilatačných stykov</t>
  </si>
  <si>
    <t>DC2:      (0,06*2+0,01*2)*1,17*2*69=</t>
  </si>
  <si>
    <t>epoxidový náter poklopov na vstupoch:    (0,05*4*0,86*4+(2*0,05+2*0,005)*0,92*3+(2*0,02+2*0,005)*0,92+0,829*0,829*2+(2*0,07+2*0,005)*0,1*2)*122=</t>
  </si>
  <si>
    <t>kotvenie prechodových dosiek</t>
  </si>
  <si>
    <t>(3,14*0,025*0,50+0,000491*2)*(21+21)=</t>
  </si>
  <si>
    <t>kotevné kozlíky:      2*6*(1,7-0,71*0,38)*1,1*2=</t>
  </si>
  <si>
    <t>sedlá káblov:     (4.9*2*4+0.65*6*2+0.9*6*2+0.8*4*4+0.9*4*2)*1,05*(3,14*0,143=</t>
  </si>
  <si>
    <t>8401010703</t>
  </si>
  <si>
    <t>Náter oceľových konštrukcií, farba epoxidová, dvojnásobný</t>
  </si>
  <si>
    <t>náter epoxidovou živicou  2 vrstvy</t>
  </si>
  <si>
    <t>kotvenie tyčí pod hrncom:      (0,22*0,15*616+0,14*0,165*216)*2=</t>
  </si>
  <si>
    <t>kotvenie tyčí v spádovom betóne:     ((0,14*0,165)+2*(0,14+0,165)*0,035)*1,2*(8*2*2+6*6*2*2+4*2*2+3*2*4)*2=</t>
  </si>
  <si>
    <t>kotvenie káblov pozdĺžneho predpätia:     (0,3*0,3+0,283)*16=</t>
  </si>
  <si>
    <t>8401021002</t>
  </si>
  <si>
    <t>Náter kovových doplnkových konštr., farba polyuretanová, jednonásobný</t>
  </si>
  <si>
    <t>polyuretánový náter poklopov na vstupoch:     (0,05*4*0,86*4+(2*0,05+2*0,005)*0,92*3+(2*0,02+2*0,005)*0,92+0,829*0,829*2+(2*0,07+2*0,005)*0,1*2)*12=</t>
  </si>
  <si>
    <t>8401021405</t>
  </si>
  <si>
    <t>Náter kovových doplnkových konštr., lak asfaltový. štvornásobný</t>
  </si>
  <si>
    <t>separačný náter- tiahla bezdilatačných stykov</t>
  </si>
  <si>
    <t>DC2     (0,06*2+0,01*2)*1,17*2*69=</t>
  </si>
  <si>
    <t>8401080703</t>
  </si>
  <si>
    <t>Náter omietok a betónových povrchov, farba epoxidová, mostoviek</t>
  </si>
  <si>
    <t>zapečatenie nosnej konštrukcie pod izoláciou</t>
  </si>
  <si>
    <t>DC1:     12,53*271,3=</t>
  </si>
  <si>
    <t>DC2:    12,65*359,4=</t>
  </si>
  <si>
    <t>8401081003</t>
  </si>
  <si>
    <t>Náter omietok a betónových povrchov, impregnačný polyuretánový náter mostoviek</t>
  </si>
  <si>
    <t>náter na zlepšenie priľnavosti zálievky medzi mostnými závermi a vozovkami</t>
  </si>
  <si>
    <t>0,04*2*2*3*10,25+0,045*2*2*3=</t>
  </si>
  <si>
    <t>8401081801</t>
  </si>
  <si>
    <t>Náter betónových konštrukcií mostov zjednocujúci stropov</t>
  </si>
  <si>
    <t>kompatibilný s použitým sanačným systémom</t>
  </si>
  <si>
    <t>vo farebnom odtieni pôvodného betónového povrchu</t>
  </si>
  <si>
    <t>vodorovný zjednocujúci a ochranný náter nosnej konštrukcie</t>
  </si>
  <si>
    <t>DC1:      8596,3-1438,3-3569,4=</t>
  </si>
  <si>
    <t>DC2:     493,9+5290,0=</t>
  </si>
  <si>
    <t>podpery P2 a P16:     70,302+289,17+44,415+129,73=</t>
  </si>
  <si>
    <t>8401081803</t>
  </si>
  <si>
    <t>Náter betónových konštrukcií mostov zjednocujúci stien</t>
  </si>
  <si>
    <t>zvislý a šikmý zjednocujúci a ochranný náter nosnej konštrukcie</t>
  </si>
  <si>
    <t>DC1 1438,7</t>
  </si>
  <si>
    <t>DC2 544,6=</t>
  </si>
  <si>
    <t>podpery P2 - P16: 528,041+1529,722-70,302-289,17-44,415-129,73=</t>
  </si>
  <si>
    <t>opory O1 a O17 19,342+17,308=</t>
  </si>
  <si>
    <t>8401095101</t>
  </si>
  <si>
    <t>Náter povrchov strojov a zariadení, otryskanie kremičitým pieskom</t>
  </si>
  <si>
    <t>mechanické očistenie povrchu ložísk</t>
  </si>
  <si>
    <t>(9+11*2*9+9+5*2)*0,2=</t>
  </si>
  <si>
    <t>opieskovanie prvkov zosilnenia</t>
  </si>
  <si>
    <t>sedlá káblov:     (4,9*2*4+0,65*6*2+0,9*6*2+0,8*4*4+0,9*4*2)*1,05*(3,14*0,143+3,14*0,152)=</t>
  </si>
  <si>
    <t>kotevné kozlíky:     2*6*1,7*1,2*2=</t>
  </si>
  <si>
    <t>kotvy tyčí:     0,106*592+0,106*1,25*24+0,067*216+0,067*1,25*216=</t>
  </si>
  <si>
    <t>prechodky na kotvy tyčí:     0,056*3,14*(0,051+0,046)*(16*3*2*2+4*3*2*2+18*3*2*2+18*2*2+16*3*2*2*2+15*4*2*2+4*3*2*4+3*3*2*4+12*4)=</t>
  </si>
  <si>
    <t>hrnce na kotvy tyčí.0,085*616+0,06*216=</t>
  </si>
  <si>
    <t>hrnce na kotvy káblov:     0,283*16=</t>
  </si>
  <si>
    <t>'8401095202</t>
  </si>
  <si>
    <t>Náter povrchov strojov a zariadení, metalizácia zinkom</t>
  </si>
  <si>
    <t>kotevné trny prechodových dosiek</t>
  </si>
  <si>
    <t>mostné odvodňovacie tvarovky dn 50 mm:     17+25+2(rezerva)=</t>
  </si>
  <si>
    <t>oceľové zvodnice:    30*0,05=</t>
  </si>
  <si>
    <t>odvoz do zberu</t>
  </si>
  <si>
    <r>
      <rPr>
        <i/>
        <sz val="10"/>
        <color rgb="FFFF0000"/>
        <rFont val="Arial"/>
        <family val="2"/>
        <charset val="238"/>
      </rPr>
      <t>betónové</t>
    </r>
    <r>
      <rPr>
        <i/>
        <sz val="10"/>
        <color indexed="12"/>
        <rFont val="Arial"/>
        <family val="2"/>
        <charset val="238"/>
      </rPr>
      <t xml:space="preserve"> zvodidlá budú odovzdané správcovi</t>
    </r>
  </si>
  <si>
    <r>
      <rPr>
        <i/>
        <sz val="10"/>
        <color rgb="FFFF0000"/>
        <rFont val="Arial"/>
        <family val="2"/>
        <charset val="238"/>
      </rPr>
      <t>betónové</t>
    </r>
    <r>
      <rPr>
        <i/>
        <sz val="10"/>
        <color indexed="12"/>
        <rFont val="Arial"/>
        <family val="2"/>
        <charset val="238"/>
      </rPr>
      <t xml:space="preserve"> zvodidlá:     80,0/4*</t>
    </r>
    <r>
      <rPr>
        <i/>
        <sz val="10"/>
        <color rgb="FFFF0000"/>
        <rFont val="Arial"/>
        <family val="2"/>
        <charset val="238"/>
      </rPr>
      <t>3,783</t>
    </r>
    <r>
      <rPr>
        <i/>
        <sz val="10"/>
        <color indexed="12"/>
        <rFont val="Arial"/>
        <family val="2"/>
        <charset val="238"/>
      </rPr>
      <t>=</t>
    </r>
  </si>
  <si>
    <r>
      <t>odvoz stĺpikov zvodidiel:     124*</t>
    </r>
    <r>
      <rPr>
        <i/>
        <sz val="10"/>
        <color rgb="FFFF0000"/>
        <rFont val="Arial"/>
        <family val="2"/>
        <charset val="238"/>
      </rPr>
      <t>0,015</t>
    </r>
    <r>
      <rPr>
        <i/>
        <sz val="10"/>
        <color indexed="12"/>
        <rFont val="Arial"/>
        <family val="2"/>
        <charset val="238"/>
      </rPr>
      <t>=</t>
    </r>
  </si>
  <si>
    <r>
      <t xml:space="preserve">náhrada </t>
    </r>
    <r>
      <rPr>
        <i/>
        <sz val="10"/>
        <color rgb="FFFF0000"/>
        <rFont val="Arial"/>
        <family val="2"/>
        <charset val="238"/>
      </rPr>
      <t>100,0%</t>
    </r>
    <r>
      <rPr>
        <i/>
        <sz val="10"/>
        <color indexed="12"/>
        <rFont val="Arial"/>
        <family val="2"/>
        <charset val="238"/>
      </rPr>
      <t xml:space="preserve"> naviac za poškodený spojovací materiál</t>
    </r>
  </si>
  <si>
    <r>
      <t xml:space="preserve">oceľové mostné odvodňovače:     </t>
    </r>
    <r>
      <rPr>
        <i/>
        <sz val="10"/>
        <color rgb="FFFF0000"/>
        <rFont val="Arial"/>
        <family val="2"/>
        <charset val="238"/>
      </rPr>
      <t>44+2 (rezerva)</t>
    </r>
  </si>
  <si>
    <r>
      <t xml:space="preserve">DC1, zvislé potrubie dn= 150 mm k odvodňovačom, </t>
    </r>
    <r>
      <rPr>
        <i/>
        <sz val="10"/>
        <color rgb="FFFF0000"/>
        <rFont val="Arial"/>
        <family val="2"/>
        <charset val="238"/>
      </rPr>
      <t>počet odvodňovačov 20+2(rezerva)</t>
    </r>
  </si>
  <si>
    <r>
      <t xml:space="preserve">nové potrubie odvodňovačov dn=150 mm na pravom moste DC1, </t>
    </r>
    <r>
      <rPr>
        <i/>
        <sz val="10"/>
        <color rgb="FFFF0000"/>
        <rFont val="Arial"/>
        <family val="2"/>
        <charset val="238"/>
      </rPr>
      <t>(počet odvodňovačov 22)</t>
    </r>
  </si>
  <si>
    <t>Príloha č. 1 Špecifikácia ceny k časti B.2 k SP (zároveň Príloha č. 2 k ZoD)</t>
  </si>
  <si>
    <t>Príloha č. 1 Špecifikácia ceny k časti B.2 k SP (zároveň Príloha č. 2 k ZoD)Časti stavby</t>
  </si>
  <si>
    <t xml:space="preserve">Príloha č. 1 Špecifikácia ceny k časti B.2 k SP (zároveň Príloha č. 2 k ZoD)
</t>
  </si>
  <si>
    <t>Príloha č. 1 Špecifikácia ceny k časti B.2 k SP 
(zároveň Príloha č. 2 k ZoD)</t>
  </si>
  <si>
    <t>01040202</t>
  </si>
  <si>
    <t>Konštrukcie z hornín - násypy so zhutnením</t>
  </si>
  <si>
    <t>0104020202</t>
  </si>
  <si>
    <t>Konštrukcie z hornín - násypy so zhutnením zo zemín nesúdržných</t>
  </si>
  <si>
    <t>výmena podložia – nespevnená vrstva zo štrkodrviny hr. 500 mm</t>
  </si>
  <si>
    <t>UM ŠD, 0/63, Gc:       0,5*450,0=</t>
  </si>
  <si>
    <t>zhutnenie podložia pod plochou výmeny podložia</t>
  </si>
  <si>
    <t>Jadrové vŕtanie smerom dole  od 100 mm do 150 mm</t>
  </si>
  <si>
    <t>05090511</t>
  </si>
  <si>
    <t>Jadrové vŕtanie do stropov a stien od 50 mm do 100 mm</t>
  </si>
  <si>
    <t>05090523</t>
  </si>
  <si>
    <t>05090513</t>
  </si>
  <si>
    <t>Jadrové vŕtanie do stropov a stien od 100 mm do 150 mm</t>
  </si>
  <si>
    <t>05090515</t>
  </si>
  <si>
    <t>Jadrové vŕtanie do stropov a stien od 200 mm do 250 mm</t>
  </si>
  <si>
    <t>05090516</t>
  </si>
  <si>
    <t>Jadrové vŕtanie do stropov a stien od 250 mm do 300 mm</t>
  </si>
  <si>
    <t>05090512</t>
  </si>
  <si>
    <t xml:space="preserve">zmenená výmera </t>
  </si>
  <si>
    <t>pridaná položka</t>
  </si>
  <si>
    <t>rozdelené jadrové vrty</t>
  </si>
  <si>
    <t>vložený vzorec</t>
  </si>
  <si>
    <t>Revízia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</si>
</sst>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0"/>
    <numFmt numFmtId="165" formatCode="0.000"/>
    <numFmt numFmtId="166" formatCode="00000000"/>
    <numFmt numFmtId="167" formatCode="0000000000"/>
  </numFmts>
  <fonts count="80">
    <font>
      <sz val="10"/>
      <name val="Arial CE"/>
      <charset val="238"/>
    </font>
    <font>
      <sz val="8"/>
      <name val="Trebuchet MS"/>
      <charset val="238"/>
    </font>
    <font>
      <b/>
      <sz val="8"/>
      <name val="Trebuchet MS"/>
      <charset val="238"/>
    </font>
    <font>
      <b/>
      <sz val="9"/>
      <color indexed="8"/>
      <name val="Ariel"/>
      <charset val="238"/>
    </font>
    <font>
      <b/>
      <sz val="8"/>
      <color indexed="8"/>
      <name val="Ariel"/>
      <charset val="238"/>
    </font>
    <font>
      <sz val="8"/>
      <name val="Trebuchet MS"/>
      <family val="2"/>
      <charset val="238"/>
    </font>
    <font>
      <sz val="11"/>
      <color rgb="FFFF0000"/>
      <name val="Aptos Narrow"/>
      <family val="2"/>
      <charset val="238"/>
      <scheme val="minor"/>
    </font>
    <font>
      <sz val="11"/>
      <name val="Aptos Narrow"/>
      <family val="2"/>
      <charset val="238"/>
      <scheme val="minor"/>
    </font>
    <font>
      <sz val="10"/>
      <color theme="1"/>
      <name val="Arial CE"/>
      <family val="2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 CE"/>
      <family val="2"/>
      <charset val="238"/>
    </font>
    <font>
      <b/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i/>
      <sz val="10"/>
      <color indexed="12"/>
      <name val="Arial"/>
      <family val="2"/>
      <charset val="238"/>
    </font>
    <font>
      <b/>
      <sz val="10"/>
      <color theme="1"/>
      <name val="Arial Narrow"/>
      <family val="2"/>
      <charset val="238"/>
    </font>
    <font>
      <b/>
      <sz val="12"/>
      <color theme="1"/>
      <name val="Arial CE"/>
      <family val="2"/>
      <charset val="238"/>
    </font>
    <font>
      <b/>
      <sz val="10"/>
      <color theme="1"/>
      <name val="Arial CE"/>
      <family val="2"/>
      <charset val="238"/>
    </font>
    <font>
      <i/>
      <sz val="10"/>
      <color indexed="12"/>
      <name val="Arial CE"/>
      <family val="2"/>
      <charset val="238"/>
    </font>
    <font>
      <i/>
      <sz val="10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2"/>
      <name val="Arial CE"/>
      <family val="2"/>
      <charset val="238"/>
    </font>
    <font>
      <b/>
      <sz val="10"/>
      <color rgb="FFFF0000"/>
      <name val="Arial CE"/>
      <family val="2"/>
      <charset val="238"/>
    </font>
    <font>
      <sz val="10"/>
      <color rgb="FFFF0000"/>
      <name val="Arial CE"/>
      <family val="2"/>
      <charset val="238"/>
    </font>
    <font>
      <b/>
      <sz val="10"/>
      <color indexed="12"/>
      <name val="Arial CE"/>
      <family val="2"/>
      <charset val="238"/>
    </font>
    <font>
      <b/>
      <sz val="10"/>
      <color rgb="FFFF0000"/>
      <name val="Arial Narrow"/>
      <family val="2"/>
      <charset val="238"/>
    </font>
    <font>
      <sz val="11"/>
      <color theme="1"/>
      <name val="Arial CE"/>
      <family val="2"/>
      <charset val="238"/>
    </font>
    <font>
      <b/>
      <sz val="11"/>
      <name val="Arial CE"/>
      <family val="2"/>
      <charset val="238"/>
    </font>
    <font>
      <sz val="10"/>
      <color theme="1"/>
      <name val="Arial Narrow"/>
      <family val="2"/>
      <charset val="238"/>
    </font>
    <font>
      <sz val="8"/>
      <color theme="1"/>
      <name val="Arial CE"/>
      <family val="2"/>
      <charset val="238"/>
    </font>
    <font>
      <b/>
      <sz val="10"/>
      <name val="Arial Narrow"/>
      <family val="2"/>
      <charset val="238"/>
    </font>
    <font>
      <i/>
      <sz val="10"/>
      <color rgb="FF00B050"/>
      <name val="Arial CE"/>
      <family val="2"/>
      <charset val="238"/>
    </font>
    <font>
      <sz val="10"/>
      <color rgb="FF7030A0"/>
      <name val="Arial CE"/>
      <family val="2"/>
      <charset val="238"/>
    </font>
    <font>
      <sz val="12"/>
      <color theme="1"/>
      <name val="Arial CE"/>
      <family val="2"/>
      <charset val="238"/>
    </font>
    <font>
      <i/>
      <sz val="10"/>
      <color rgb="FFFF0000"/>
      <name val="Arial CE"/>
      <family val="2"/>
      <charset val="238"/>
    </font>
    <font>
      <i/>
      <sz val="10"/>
      <color rgb="FFFF0000"/>
      <name val="Arial"/>
      <family val="2"/>
      <charset val="238"/>
    </font>
    <font>
      <i/>
      <sz val="10"/>
      <color rgb="FF7030A0"/>
      <name val="Arial CE"/>
      <family val="2"/>
      <charset val="238"/>
    </font>
    <font>
      <sz val="11"/>
      <name val="Arial CE"/>
      <family val="2"/>
      <charset val="238"/>
    </font>
    <font>
      <b/>
      <sz val="10"/>
      <color theme="5" tint="-0.249977111117893"/>
      <name val="Arial CE"/>
      <family val="2"/>
      <charset val="238"/>
    </font>
    <font>
      <i/>
      <sz val="10"/>
      <color theme="5"/>
      <name val="Arial"/>
      <family val="2"/>
      <charset val="238"/>
    </font>
    <font>
      <i/>
      <sz val="10"/>
      <color rgb="FF00B050"/>
      <name val="Arial"/>
      <family val="2"/>
      <charset val="238"/>
    </font>
    <font>
      <i/>
      <sz val="10"/>
      <name val="Arial CE"/>
      <family val="2"/>
      <charset val="238"/>
    </font>
    <font>
      <sz val="11"/>
      <name val="Arial Narrow"/>
      <family val="2"/>
      <charset val="238"/>
    </font>
    <font>
      <i/>
      <sz val="11"/>
      <color rgb="FFFF0000"/>
      <name val="Arial CE"/>
      <family val="2"/>
      <charset val="238"/>
    </font>
    <font>
      <i/>
      <sz val="11"/>
      <color theme="8" tint="-0.249977111117893"/>
      <name val="Arial CE"/>
      <family val="2"/>
      <charset val="238"/>
    </font>
    <font>
      <b/>
      <sz val="10"/>
      <color rgb="FF7030A0"/>
      <name val="Arial CE"/>
      <family val="2"/>
      <charset val="238"/>
    </font>
    <font>
      <i/>
      <sz val="11"/>
      <name val="Arial CE"/>
      <family val="2"/>
      <charset val="238"/>
    </font>
    <font>
      <sz val="10"/>
      <color theme="5" tint="-0.249977111117893"/>
      <name val="Arial CE"/>
      <family val="2"/>
      <charset val="238"/>
    </font>
    <font>
      <i/>
      <sz val="10"/>
      <name val="Arial Narrow"/>
      <family val="2"/>
      <charset val="238"/>
    </font>
    <font>
      <i/>
      <sz val="11"/>
      <name val="Arial Narrow"/>
      <family val="2"/>
      <charset val="238"/>
    </font>
    <font>
      <sz val="10"/>
      <name val="Arial"/>
      <family val="2"/>
    </font>
    <font>
      <i/>
      <sz val="10"/>
      <color theme="5" tint="-0.249977111117893"/>
      <name val="Arial"/>
      <family val="2"/>
      <charset val="238"/>
    </font>
    <font>
      <i/>
      <sz val="11"/>
      <name val="Aptos Narrow"/>
      <family val="2"/>
      <charset val="238"/>
      <scheme val="minor"/>
    </font>
    <font>
      <i/>
      <sz val="11"/>
      <color rgb="FF0070C0"/>
      <name val="Arial Narrow"/>
      <family val="2"/>
      <charset val="238"/>
    </font>
    <font>
      <i/>
      <sz val="9"/>
      <color rgb="FF00B050"/>
      <name val="Arial"/>
      <family val="2"/>
      <charset val="238"/>
    </font>
    <font>
      <i/>
      <u/>
      <sz val="10"/>
      <color rgb="FF7030A0"/>
      <name val="Arial CE"/>
      <family val="2"/>
      <charset val="238"/>
    </font>
    <font>
      <b/>
      <sz val="10"/>
      <color theme="8" tint="-0.249977111117893"/>
      <name val="Arial"/>
      <family val="2"/>
      <charset val="238"/>
    </font>
    <font>
      <sz val="10"/>
      <color theme="8" tint="-0.249977111117893"/>
      <name val="Arial"/>
      <family val="2"/>
      <charset val="238"/>
    </font>
    <font>
      <i/>
      <sz val="10"/>
      <color theme="8" tint="-0.249977111117893"/>
      <name val="Arial"/>
      <family val="2"/>
      <charset val="238"/>
    </font>
    <font>
      <i/>
      <sz val="11"/>
      <color theme="8" tint="-0.249977111117893"/>
      <name val="Aptos Narrow"/>
      <family val="2"/>
      <charset val="238"/>
      <scheme val="minor"/>
    </font>
    <font>
      <sz val="11"/>
      <color theme="8" tint="-0.249977111117893"/>
      <name val="Aptos Narrow"/>
      <family val="2"/>
      <charset val="238"/>
      <scheme val="minor"/>
    </font>
    <font>
      <sz val="10"/>
      <color theme="9" tint="-0.249977111117893"/>
      <name val="Arial"/>
      <family val="2"/>
      <charset val="238"/>
    </font>
    <font>
      <sz val="11"/>
      <color theme="9" tint="-0.249977111117893"/>
      <name val="Aptos Narrow"/>
      <family val="2"/>
      <charset val="238"/>
      <scheme val="minor"/>
    </font>
    <font>
      <i/>
      <u/>
      <sz val="10"/>
      <color indexed="12"/>
      <name val="Arial"/>
      <family val="2"/>
      <charset val="238"/>
    </font>
    <font>
      <sz val="9"/>
      <name val="Arial CE"/>
      <charset val="238"/>
    </font>
    <font>
      <sz val="9"/>
      <color theme="1"/>
      <name val="Arial CE"/>
      <family val="2"/>
      <charset val="238"/>
    </font>
    <font>
      <sz val="9"/>
      <color theme="1"/>
      <name val="Arial"/>
      <family val="2"/>
      <charset val="238"/>
    </font>
    <font>
      <sz val="9"/>
      <name val="Arial CE"/>
      <family val="2"/>
      <charset val="238"/>
    </font>
    <font>
      <b/>
      <sz val="12"/>
      <color rgb="FFFF0000"/>
      <name val="Arial"/>
      <family val="2"/>
      <charset val="238"/>
    </font>
    <font>
      <sz val="8"/>
      <color rgb="FFFF0000"/>
      <name val="Trebuchet MS"/>
      <family val="2"/>
      <charset val="238"/>
    </font>
    <font>
      <sz val="8"/>
      <color rgb="FFFF0000"/>
      <name val="Arial CE"/>
      <family val="2"/>
      <charset val="238"/>
    </font>
    <font>
      <sz val="11"/>
      <color rgb="FFFF0000"/>
      <name val="Arial CE"/>
      <family val="2"/>
      <charset val="238"/>
    </font>
    <font>
      <sz val="9"/>
      <color rgb="FFFF0000"/>
      <name val="Arial CE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rgb="FFFFFF00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3" fillId="2" borderId="0"/>
    <xf numFmtId="0" fontId="4" fillId="2" borderId="0"/>
  </cellStyleXfs>
  <cellXfs count="511">
    <xf numFmtId="0" fontId="0" fillId="0" borderId="0" xfId="0"/>
    <xf numFmtId="0" fontId="0" fillId="0" borderId="0" xfId="0" applyAlignment="1">
      <alignment vertical="center" wrapText="1"/>
    </xf>
    <xf numFmtId="4" fontId="1" fillId="3" borderId="6" xfId="0" applyNumberFormat="1" applyFont="1" applyFill="1" applyBorder="1" applyAlignment="1" applyProtection="1">
      <alignment horizontal="right" vertical="center"/>
      <protection locked="0"/>
    </xf>
    <xf numFmtId="0" fontId="4" fillId="2" borderId="2" xfId="2" applyBorder="1" applyAlignment="1">
      <alignment vertical="center" wrapText="1"/>
    </xf>
    <xf numFmtId="0" fontId="0" fillId="0" borderId="0" xfId="0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/>
    <xf numFmtId="0" fontId="7" fillId="0" borderId="0" xfId="0" applyFont="1" applyProtection="1">
      <protection locked="0"/>
    </xf>
    <xf numFmtId="0" fontId="7" fillId="0" borderId="0" xfId="0" applyFont="1" applyAlignment="1" applyProtection="1">
      <alignment vertical="center"/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wrapText="1"/>
      <protection locked="0"/>
    </xf>
    <xf numFmtId="49" fontId="16" fillId="0" borderId="0" xfId="0" applyNumberFormat="1" applyFont="1" applyAlignment="1">
      <alignment horizontal="left" vertical="top" wrapText="1"/>
    </xf>
    <xf numFmtId="49" fontId="17" fillId="0" borderId="0" xfId="0" applyNumberFormat="1" applyFont="1" applyAlignment="1">
      <alignment horizontal="left" vertical="top" wrapText="1"/>
    </xf>
    <xf numFmtId="49" fontId="18" fillId="0" borderId="0" xfId="0" applyNumberFormat="1" applyFont="1" applyAlignment="1">
      <alignment horizontal="left" vertical="top" wrapText="1"/>
    </xf>
    <xf numFmtId="0" fontId="0" fillId="0" borderId="0" xfId="0" applyAlignment="1">
      <alignment vertical="top"/>
    </xf>
    <xf numFmtId="4" fontId="0" fillId="0" borderId="0" xfId="0" applyNumberFormat="1" applyAlignment="1">
      <alignment horizontal="center" vertical="top"/>
    </xf>
    <xf numFmtId="49" fontId="17" fillId="0" borderId="0" xfId="0" applyNumberFormat="1" applyFont="1" applyAlignment="1">
      <alignment horizontal="left" vertical="top"/>
    </xf>
    <xf numFmtId="49" fontId="16" fillId="0" borderId="0" xfId="0" applyNumberFormat="1" applyFont="1" applyAlignment="1">
      <alignment horizontal="left" vertical="top"/>
    </xf>
    <xf numFmtId="49" fontId="17" fillId="0" borderId="1" xfId="0" applyNumberFormat="1" applyFont="1" applyBorder="1" applyAlignment="1">
      <alignment horizontal="left" vertical="top"/>
    </xf>
    <xf numFmtId="49" fontId="16" fillId="0" borderId="1" xfId="0" applyNumberFormat="1" applyFont="1" applyBorder="1" applyAlignment="1">
      <alignment horizontal="left" vertical="top"/>
    </xf>
    <xf numFmtId="49" fontId="17" fillId="0" borderId="1" xfId="0" applyNumberFormat="1" applyFont="1" applyBorder="1" applyAlignment="1">
      <alignment horizontal="center" vertical="top"/>
    </xf>
    <xf numFmtId="4" fontId="17" fillId="0" borderId="24" xfId="0" applyNumberFormat="1" applyFont="1" applyBorder="1" applyAlignment="1">
      <alignment horizontal="center" vertical="top"/>
    </xf>
    <xf numFmtId="49" fontId="18" fillId="0" borderId="25" xfId="0" applyNumberFormat="1" applyFont="1" applyBorder="1" applyAlignment="1">
      <alignment horizontal="left" vertical="top" wrapText="1"/>
    </xf>
    <xf numFmtId="49" fontId="17" fillId="0" borderId="26" xfId="0" applyNumberFormat="1" applyFont="1" applyBorder="1" applyAlignment="1">
      <alignment horizontal="left" vertical="top"/>
    </xf>
    <xf numFmtId="49" fontId="16" fillId="0" borderId="26" xfId="0" applyNumberFormat="1" applyFont="1" applyBorder="1" applyAlignment="1">
      <alignment horizontal="left" vertical="top"/>
    </xf>
    <xf numFmtId="49" fontId="17" fillId="0" borderId="26" xfId="0" applyNumberFormat="1" applyFont="1" applyBorder="1" applyAlignment="1">
      <alignment horizontal="center" vertical="top"/>
    </xf>
    <xf numFmtId="166" fontId="14" fillId="0" borderId="26" xfId="0" applyNumberFormat="1" applyFont="1" applyBorder="1" applyAlignment="1">
      <alignment horizontal="left" vertical="top" wrapText="1"/>
    </xf>
    <xf numFmtId="49" fontId="14" fillId="0" borderId="0" xfId="0" applyNumberFormat="1" applyFont="1" applyAlignment="1">
      <alignment horizontal="left" vertical="top" wrapText="1"/>
    </xf>
    <xf numFmtId="49" fontId="16" fillId="0" borderId="26" xfId="0" applyNumberFormat="1" applyFont="1" applyBorder="1" applyAlignment="1">
      <alignment horizontal="center" vertical="top"/>
    </xf>
    <xf numFmtId="4" fontId="16" fillId="0" borderId="24" xfId="0" applyNumberFormat="1" applyFont="1" applyBorder="1" applyAlignment="1">
      <alignment horizontal="center" vertical="top"/>
    </xf>
    <xf numFmtId="49" fontId="16" fillId="0" borderId="28" xfId="0" applyNumberFormat="1" applyFont="1" applyBorder="1" applyAlignment="1">
      <alignment horizontal="left" vertical="top"/>
    </xf>
    <xf numFmtId="49" fontId="20" fillId="0" borderId="0" xfId="0" applyNumberFormat="1" applyFont="1" applyAlignment="1">
      <alignment horizontal="left" vertical="top" wrapText="1"/>
    </xf>
    <xf numFmtId="0" fontId="14" fillId="0" borderId="26" xfId="0" applyFont="1" applyBorder="1" applyAlignment="1">
      <alignment vertical="top" wrapText="1"/>
    </xf>
    <xf numFmtId="4" fontId="14" fillId="0" borderId="0" xfId="0" applyNumberFormat="1" applyFont="1" applyAlignment="1">
      <alignment horizontal="center" vertical="center" wrapText="1"/>
    </xf>
    <xf numFmtId="49" fontId="14" fillId="0" borderId="26" xfId="0" applyNumberFormat="1" applyFont="1" applyBorder="1" applyAlignment="1">
      <alignment horizontal="center" vertical="top"/>
    </xf>
    <xf numFmtId="49" fontId="21" fillId="0" borderId="23" xfId="0" applyNumberFormat="1" applyFont="1" applyBorder="1" applyAlignment="1">
      <alignment horizontal="center" vertical="top" wrapText="1"/>
    </xf>
    <xf numFmtId="49" fontId="23" fillId="0" borderId="28" xfId="0" applyNumberFormat="1" applyFont="1" applyBorder="1" applyAlignment="1">
      <alignment horizontal="left" vertical="top"/>
    </xf>
    <xf numFmtId="49" fontId="8" fillId="0" borderId="26" xfId="0" applyNumberFormat="1" applyFont="1" applyBorder="1" applyAlignment="1">
      <alignment horizontal="left" vertical="top"/>
    </xf>
    <xf numFmtId="49" fontId="8" fillId="0" borderId="0" xfId="0" applyNumberFormat="1" applyFont="1" applyAlignment="1">
      <alignment horizontal="left" vertical="top" wrapText="1"/>
    </xf>
    <xf numFmtId="4" fontId="8" fillId="0" borderId="0" xfId="0" applyNumberFormat="1" applyFont="1" applyAlignment="1">
      <alignment horizontal="center" vertical="center"/>
    </xf>
    <xf numFmtId="49" fontId="8" fillId="0" borderId="26" xfId="0" applyNumberFormat="1" applyFont="1" applyBorder="1" applyAlignment="1">
      <alignment horizontal="center" vertical="top"/>
    </xf>
    <xf numFmtId="49" fontId="8" fillId="0" borderId="28" xfId="0" applyNumberFormat="1" applyFont="1" applyBorder="1" applyAlignment="1">
      <alignment horizontal="left" vertical="top"/>
    </xf>
    <xf numFmtId="4" fontId="24" fillId="0" borderId="0" xfId="0" applyNumberFormat="1" applyFont="1" applyAlignment="1">
      <alignment horizontal="center" vertical="center"/>
    </xf>
    <xf numFmtId="4" fontId="24" fillId="0" borderId="29" xfId="0" applyNumberFormat="1" applyFont="1" applyBorder="1" applyAlignment="1">
      <alignment horizontal="center" vertical="center"/>
    </xf>
    <xf numFmtId="49" fontId="20" fillId="0" borderId="0" xfId="0" applyNumberFormat="1" applyFont="1" applyAlignment="1">
      <alignment horizontal="right" vertical="top" wrapText="1"/>
    </xf>
    <xf numFmtId="49" fontId="21" fillId="0" borderId="23" xfId="0" applyNumberFormat="1" applyFont="1" applyBorder="1" applyAlignment="1">
      <alignment horizontal="center" vertical="center" wrapText="1"/>
    </xf>
    <xf numFmtId="49" fontId="22" fillId="0" borderId="26" xfId="0" applyNumberFormat="1" applyFont="1" applyBorder="1" applyAlignment="1">
      <alignment horizontal="left" vertical="center" wrapText="1"/>
    </xf>
    <xf numFmtId="49" fontId="8" fillId="0" borderId="0" xfId="0" applyNumberFormat="1" applyFont="1" applyAlignment="1">
      <alignment horizontal="left" vertical="center" wrapText="1"/>
    </xf>
    <xf numFmtId="49" fontId="24" fillId="0" borderId="0" xfId="0" applyNumberFormat="1" applyFont="1" applyAlignment="1">
      <alignment horizontal="left" vertical="top" wrapText="1"/>
    </xf>
    <xf numFmtId="4" fontId="9" fillId="0" borderId="24" xfId="0" applyNumberFormat="1" applyFont="1" applyBorder="1" applyAlignment="1">
      <alignment horizontal="center" vertical="top"/>
    </xf>
    <xf numFmtId="4" fontId="20" fillId="0" borderId="28" xfId="0" applyNumberFormat="1" applyFont="1" applyBorder="1" applyAlignment="1">
      <alignment horizontal="center" vertical="center"/>
    </xf>
    <xf numFmtId="49" fontId="14" fillId="0" borderId="26" xfId="0" quotePrefix="1" applyNumberFormat="1" applyFont="1" applyBorder="1" applyAlignment="1">
      <alignment horizontal="left" vertical="top"/>
    </xf>
    <xf numFmtId="49" fontId="14" fillId="0" borderId="26" xfId="0" applyNumberFormat="1" applyFont="1" applyBorder="1" applyAlignment="1">
      <alignment horizontal="left" vertical="top"/>
    </xf>
    <xf numFmtId="0" fontId="14" fillId="0" borderId="0" xfId="0" applyFont="1" applyAlignment="1">
      <alignment vertical="top" wrapText="1"/>
    </xf>
    <xf numFmtId="4" fontId="16" fillId="0" borderId="0" xfId="0" applyNumberFormat="1" applyFont="1" applyAlignment="1">
      <alignment horizontal="center" vertical="center"/>
    </xf>
    <xf numFmtId="4" fontId="20" fillId="0" borderId="29" xfId="0" applyNumberFormat="1" applyFont="1" applyBorder="1" applyAlignment="1">
      <alignment horizontal="center" vertical="center"/>
    </xf>
    <xf numFmtId="49" fontId="11" fillId="0" borderId="26" xfId="0" applyNumberFormat="1" applyFont="1" applyBorder="1" applyAlignment="1">
      <alignment horizontal="left" vertical="top"/>
    </xf>
    <xf numFmtId="49" fontId="14" fillId="0" borderId="28" xfId="0" applyNumberFormat="1" applyFont="1" applyBorder="1" applyAlignment="1">
      <alignment vertical="top" wrapText="1"/>
    </xf>
    <xf numFmtId="4" fontId="20" fillId="0" borderId="0" xfId="0" applyNumberFormat="1" applyFont="1" applyAlignment="1">
      <alignment horizontal="center" vertical="center"/>
    </xf>
    <xf numFmtId="49" fontId="10" fillId="0" borderId="26" xfId="0" applyNumberFormat="1" applyFont="1" applyBorder="1" applyAlignment="1">
      <alignment horizontal="left" vertical="top"/>
    </xf>
    <xf numFmtId="49" fontId="26" fillId="0" borderId="26" xfId="0" applyNumberFormat="1" applyFont="1" applyBorder="1" applyAlignment="1">
      <alignment horizontal="left" vertical="top"/>
    </xf>
    <xf numFmtId="49" fontId="27" fillId="0" borderId="28" xfId="0" applyNumberFormat="1" applyFont="1" applyBorder="1" applyAlignment="1">
      <alignment horizontal="left" vertical="top"/>
    </xf>
    <xf numFmtId="0" fontId="7" fillId="0" borderId="0" xfId="0" applyFont="1" applyAlignment="1">
      <alignment vertical="top"/>
    </xf>
    <xf numFmtId="49" fontId="16" fillId="0" borderId="34" xfId="0" applyNumberFormat="1" applyFont="1" applyBorder="1" applyAlignment="1">
      <alignment horizontal="left" vertical="top"/>
    </xf>
    <xf numFmtId="4" fontId="16" fillId="0" borderId="36" xfId="0" applyNumberFormat="1" applyFont="1" applyBorder="1" applyAlignment="1">
      <alignment horizontal="center" vertical="top"/>
    </xf>
    <xf numFmtId="49" fontId="17" fillId="0" borderId="0" xfId="0" applyNumberFormat="1" applyFont="1" applyAlignment="1">
      <alignment horizontal="center" vertical="top" wrapText="1"/>
    </xf>
    <xf numFmtId="0" fontId="0" fillId="0" borderId="0" xfId="0" applyAlignment="1">
      <alignment horizontal="center" vertical="top"/>
    </xf>
    <xf numFmtId="4" fontId="0" fillId="0" borderId="0" xfId="0" applyNumberFormat="1"/>
    <xf numFmtId="0" fontId="17" fillId="0" borderId="0" xfId="0" applyFont="1"/>
    <xf numFmtId="49" fontId="17" fillId="0" borderId="23" xfId="0" applyNumberFormat="1" applyFont="1" applyBorder="1" applyAlignment="1">
      <alignment horizontal="center" vertical="top" wrapText="1"/>
    </xf>
    <xf numFmtId="49" fontId="18" fillId="0" borderId="1" xfId="0" applyNumberFormat="1" applyFont="1" applyBorder="1" applyAlignment="1">
      <alignment horizontal="left" vertical="top" wrapText="1"/>
    </xf>
    <xf numFmtId="0" fontId="28" fillId="0" borderId="26" xfId="0" applyFont="1" applyBorder="1" applyAlignment="1">
      <alignment horizontal="left" vertical="top" wrapText="1"/>
    </xf>
    <xf numFmtId="49" fontId="27" fillId="0" borderId="26" xfId="0" applyNumberFormat="1" applyFont="1" applyBorder="1" applyAlignment="1">
      <alignment horizontal="left" vertical="top"/>
    </xf>
    <xf numFmtId="4" fontId="16" fillId="0" borderId="28" xfId="0" applyNumberFormat="1" applyFont="1" applyBorder="1" applyAlignment="1">
      <alignment horizontal="center" vertical="center"/>
    </xf>
    <xf numFmtId="49" fontId="17" fillId="0" borderId="28" xfId="0" applyNumberFormat="1" applyFont="1" applyBorder="1" applyAlignment="1">
      <alignment horizontal="center" vertical="top"/>
    </xf>
    <xf numFmtId="0" fontId="14" fillId="0" borderId="0" xfId="0" applyFont="1" applyAlignment="1">
      <alignment wrapText="1"/>
    </xf>
    <xf numFmtId="0" fontId="14" fillId="0" borderId="26" xfId="0" applyFont="1" applyBorder="1" applyAlignment="1">
      <alignment horizontal="center" vertical="top"/>
    </xf>
    <xf numFmtId="4" fontId="14" fillId="0" borderId="24" xfId="0" applyNumberFormat="1" applyFont="1" applyBorder="1" applyAlignment="1">
      <alignment horizontal="center" vertical="top"/>
    </xf>
    <xf numFmtId="0" fontId="9" fillId="0" borderId="26" xfId="0" applyFont="1" applyBorder="1" applyAlignment="1">
      <alignment vertical="top" wrapText="1"/>
    </xf>
    <xf numFmtId="49" fontId="9" fillId="0" borderId="26" xfId="0" quotePrefix="1" applyNumberFormat="1" applyFont="1" applyBorder="1" applyAlignment="1">
      <alignment horizontal="left" vertical="top"/>
    </xf>
    <xf numFmtId="49" fontId="9" fillId="0" borderId="28" xfId="0" applyNumberFormat="1" applyFont="1" applyBorder="1" applyAlignment="1">
      <alignment horizontal="left" vertical="top"/>
    </xf>
    <xf numFmtId="0" fontId="9" fillId="0" borderId="0" xfId="0" applyFont="1" applyAlignment="1">
      <alignment vertical="center" wrapText="1"/>
    </xf>
    <xf numFmtId="4" fontId="9" fillId="0" borderId="0" xfId="0" applyNumberFormat="1" applyFont="1" applyAlignment="1">
      <alignment horizontal="center" vertical="center" wrapText="1"/>
    </xf>
    <xf numFmtId="0" fontId="9" fillId="0" borderId="26" xfId="0" applyFont="1" applyBorder="1" applyAlignment="1">
      <alignment horizontal="center" vertical="top"/>
    </xf>
    <xf numFmtId="49" fontId="9" fillId="0" borderId="28" xfId="0" quotePrefix="1" applyNumberFormat="1" applyFont="1" applyBorder="1" applyAlignment="1">
      <alignment horizontal="left" vertical="top"/>
    </xf>
    <xf numFmtId="49" fontId="18" fillId="0" borderId="26" xfId="0" applyNumberFormat="1" applyFont="1" applyBorder="1" applyAlignment="1">
      <alignment horizontal="left" vertical="top" wrapText="1"/>
    </xf>
    <xf numFmtId="49" fontId="26" fillId="0" borderId="28" xfId="0" applyNumberFormat="1" applyFont="1" applyBorder="1" applyAlignment="1">
      <alignment horizontal="left" vertical="top"/>
    </xf>
    <xf numFmtId="49" fontId="17" fillId="0" borderId="26" xfId="0" applyNumberFormat="1" applyFont="1" applyBorder="1" applyAlignment="1">
      <alignment horizontal="left" vertical="top" wrapText="1"/>
    </xf>
    <xf numFmtId="49" fontId="14" fillId="0" borderId="28" xfId="0" applyNumberFormat="1" applyFont="1" applyBorder="1" applyAlignment="1">
      <alignment horizontal="left" vertical="top"/>
    </xf>
    <xf numFmtId="0" fontId="0" fillId="0" borderId="26" xfId="0" applyBorder="1"/>
    <xf numFmtId="49" fontId="10" fillId="0" borderId="26" xfId="0" quotePrefix="1" applyNumberFormat="1" applyFont="1" applyBorder="1" applyAlignment="1">
      <alignment horizontal="left" vertical="top"/>
    </xf>
    <xf numFmtId="0" fontId="9" fillId="0" borderId="0" xfId="0" applyFont="1" applyAlignment="1">
      <alignment vertical="top" wrapText="1"/>
    </xf>
    <xf numFmtId="0" fontId="9" fillId="0" borderId="0" xfId="0" applyFont="1" applyAlignment="1">
      <alignment wrapText="1"/>
    </xf>
    <xf numFmtId="49" fontId="11" fillId="0" borderId="28" xfId="0" quotePrefix="1" applyNumberFormat="1" applyFont="1" applyBorder="1" applyAlignment="1">
      <alignment horizontal="left" vertical="top"/>
    </xf>
    <xf numFmtId="49" fontId="16" fillId="0" borderId="28" xfId="0" applyNumberFormat="1" applyFont="1" applyBorder="1" applyAlignment="1">
      <alignment horizontal="center" vertical="top"/>
    </xf>
    <xf numFmtId="49" fontId="11" fillId="0" borderId="28" xfId="0" applyNumberFormat="1" applyFont="1" applyBorder="1" applyAlignment="1">
      <alignment horizontal="left" vertical="top"/>
    </xf>
    <xf numFmtId="0" fontId="9" fillId="0" borderId="28" xfId="0" applyFont="1" applyBorder="1" applyAlignment="1">
      <alignment horizontal="center" vertical="top"/>
    </xf>
    <xf numFmtId="49" fontId="26" fillId="0" borderId="28" xfId="0" quotePrefix="1" applyNumberFormat="1" applyFont="1" applyBorder="1" applyAlignment="1">
      <alignment horizontal="left" vertical="top"/>
    </xf>
    <xf numFmtId="0" fontId="9" fillId="0" borderId="0" xfId="0" applyFont="1"/>
    <xf numFmtId="49" fontId="29" fillId="0" borderId="28" xfId="0" applyNumberFormat="1" applyFont="1" applyBorder="1" applyAlignment="1">
      <alignment horizontal="left" vertical="top"/>
    </xf>
    <xf numFmtId="49" fontId="30" fillId="0" borderId="26" xfId="0" applyNumberFormat="1" applyFont="1" applyBorder="1" applyAlignment="1">
      <alignment horizontal="left" vertical="top"/>
    </xf>
    <xf numFmtId="49" fontId="30" fillId="0" borderId="28" xfId="0" quotePrefix="1" applyNumberFormat="1" applyFont="1" applyBorder="1" applyAlignment="1">
      <alignment horizontal="left" vertical="top"/>
    </xf>
    <xf numFmtId="49" fontId="9" fillId="0" borderId="26" xfId="0" applyNumberFormat="1" applyFont="1" applyBorder="1" applyAlignment="1">
      <alignment horizontal="left" vertical="top"/>
    </xf>
    <xf numFmtId="4" fontId="20" fillId="0" borderId="29" xfId="0" applyNumberFormat="1" applyFont="1" applyBorder="1" applyAlignment="1">
      <alignment horizontal="center" vertical="top"/>
    </xf>
    <xf numFmtId="49" fontId="10" fillId="0" borderId="28" xfId="0" applyNumberFormat="1" applyFont="1" applyBorder="1" applyAlignment="1">
      <alignment horizontal="left" vertical="top"/>
    </xf>
    <xf numFmtId="0" fontId="14" fillId="0" borderId="0" xfId="0" applyFont="1" applyAlignment="1">
      <alignment vertical="center" wrapText="1"/>
    </xf>
    <xf numFmtId="0" fontId="14" fillId="0" borderId="0" xfId="0" applyFont="1" applyAlignment="1">
      <alignment horizontal="center" vertical="center" wrapText="1"/>
    </xf>
    <xf numFmtId="49" fontId="11" fillId="0" borderId="26" xfId="0" quotePrefix="1" applyNumberFormat="1" applyFont="1" applyBorder="1" applyAlignment="1">
      <alignment horizontal="left" vertical="top"/>
    </xf>
    <xf numFmtId="0" fontId="9" fillId="0" borderId="28" xfId="0" applyFont="1" applyBorder="1" applyAlignment="1">
      <alignment vertical="top" wrapText="1"/>
    </xf>
    <xf numFmtId="4" fontId="20" fillId="0" borderId="28" xfId="0" applyNumberFormat="1" applyFont="1" applyBorder="1" applyAlignment="1">
      <alignment horizontal="center"/>
    </xf>
    <xf numFmtId="4" fontId="20" fillId="0" borderId="5" xfId="0" applyNumberFormat="1" applyFont="1" applyBorder="1" applyAlignment="1">
      <alignment horizontal="center"/>
    </xf>
    <xf numFmtId="49" fontId="20" fillId="0" borderId="0" xfId="0" applyNumberFormat="1" applyFont="1" applyAlignment="1">
      <alignment horizontal="left" wrapText="1"/>
    </xf>
    <xf numFmtId="4" fontId="20" fillId="0" borderId="29" xfId="0" applyNumberFormat="1" applyFont="1" applyBorder="1" applyAlignment="1">
      <alignment horizontal="center"/>
    </xf>
    <xf numFmtId="4" fontId="20" fillId="0" borderId="0" xfId="0" applyNumberFormat="1" applyFont="1" applyAlignment="1">
      <alignment horizontal="center"/>
    </xf>
    <xf numFmtId="0" fontId="14" fillId="0" borderId="26" xfId="0" applyFont="1" applyBorder="1" applyAlignment="1">
      <alignment horizontal="left" vertical="top" wrapText="1"/>
    </xf>
    <xf numFmtId="49" fontId="16" fillId="0" borderId="23" xfId="0" applyNumberFormat="1" applyFont="1" applyBorder="1" applyAlignment="1">
      <alignment horizontal="center" vertical="top" wrapText="1"/>
    </xf>
    <xf numFmtId="0" fontId="9" fillId="0" borderId="26" xfId="0" applyFont="1" applyBorder="1"/>
    <xf numFmtId="4" fontId="20" fillId="0" borderId="0" xfId="0" applyNumberFormat="1" applyFont="1" applyAlignment="1">
      <alignment horizontal="center" vertical="top"/>
    </xf>
    <xf numFmtId="0" fontId="14" fillId="0" borderId="28" xfId="0" applyFont="1" applyBorder="1" applyAlignment="1">
      <alignment vertical="top" wrapText="1"/>
    </xf>
    <xf numFmtId="0" fontId="14" fillId="0" borderId="28" xfId="0" applyFont="1" applyBorder="1" applyAlignment="1">
      <alignment horizontal="center" vertical="top"/>
    </xf>
    <xf numFmtId="49" fontId="31" fillId="0" borderId="26" xfId="0" applyNumberFormat="1" applyFont="1" applyBorder="1" applyAlignment="1">
      <alignment vertical="top"/>
    </xf>
    <xf numFmtId="49" fontId="17" fillId="0" borderId="31" xfId="0" applyNumberFormat="1" applyFont="1" applyBorder="1" applyAlignment="1">
      <alignment horizontal="center" vertical="top" wrapText="1"/>
    </xf>
    <xf numFmtId="49" fontId="18" fillId="0" borderId="33" xfId="0" applyNumberFormat="1" applyFont="1" applyBorder="1" applyAlignment="1">
      <alignment horizontal="left" vertical="top" wrapText="1"/>
    </xf>
    <xf numFmtId="49" fontId="17" fillId="0" borderId="34" xfId="0" applyNumberFormat="1" applyFont="1" applyBorder="1" applyAlignment="1">
      <alignment horizontal="left" vertical="top"/>
    </xf>
    <xf numFmtId="49" fontId="20" fillId="0" borderId="35" xfId="0" applyNumberFormat="1" applyFont="1" applyBorder="1" applyAlignment="1">
      <alignment horizontal="left" vertical="top" wrapText="1"/>
    </xf>
    <xf numFmtId="4" fontId="20" fillId="0" borderId="34" xfId="0" applyNumberFormat="1" applyFont="1" applyBorder="1" applyAlignment="1">
      <alignment horizontal="center" vertical="center"/>
    </xf>
    <xf numFmtId="49" fontId="16" fillId="0" borderId="34" xfId="0" applyNumberFormat="1" applyFont="1" applyBorder="1" applyAlignment="1">
      <alignment horizontal="center" vertical="top"/>
    </xf>
    <xf numFmtId="49" fontId="32" fillId="0" borderId="0" xfId="0" applyNumberFormat="1" applyFont="1" applyAlignment="1">
      <alignment horizontal="center" vertical="center" wrapText="1"/>
    </xf>
    <xf numFmtId="49" fontId="9" fillId="0" borderId="0" xfId="0" applyNumberFormat="1" applyFont="1" applyAlignment="1">
      <alignment horizontal="left" vertical="center" wrapText="1"/>
    </xf>
    <xf numFmtId="49" fontId="29" fillId="0" borderId="0" xfId="0" applyNumberFormat="1" applyFont="1" applyAlignment="1">
      <alignment horizontal="left" vertical="top" wrapText="1"/>
    </xf>
    <xf numFmtId="49" fontId="30" fillId="0" borderId="0" xfId="0" applyNumberFormat="1" applyFont="1" applyAlignment="1">
      <alignment horizontal="left" vertical="top" wrapText="1"/>
    </xf>
    <xf numFmtId="0" fontId="33" fillId="0" borderId="0" xfId="0" applyFont="1" applyAlignment="1">
      <alignment horizontal="left" vertical="top"/>
    </xf>
    <xf numFmtId="4" fontId="33" fillId="0" borderId="0" xfId="0" applyNumberFormat="1" applyFont="1" applyAlignment="1">
      <alignment horizontal="center" vertical="top"/>
    </xf>
    <xf numFmtId="49" fontId="29" fillId="0" borderId="0" xfId="0" applyNumberFormat="1" applyFont="1" applyAlignment="1">
      <alignment horizontal="left" vertical="center" wrapText="1"/>
    </xf>
    <xf numFmtId="4" fontId="33" fillId="0" borderId="0" xfId="0" applyNumberFormat="1" applyFont="1" applyAlignment="1">
      <alignment horizontal="center" vertical="center"/>
    </xf>
    <xf numFmtId="49" fontId="14" fillId="0" borderId="0" xfId="0" applyNumberFormat="1" applyFont="1" applyAlignment="1">
      <alignment horizontal="center" vertical="top" wrapText="1"/>
    </xf>
    <xf numFmtId="0" fontId="34" fillId="0" borderId="0" xfId="0" applyFont="1" applyAlignment="1">
      <alignment vertical="center"/>
    </xf>
    <xf numFmtId="49" fontId="21" fillId="0" borderId="0" xfId="0" applyNumberFormat="1" applyFont="1" applyAlignment="1">
      <alignment horizontal="center" vertical="center" wrapText="1"/>
    </xf>
    <xf numFmtId="49" fontId="28" fillId="0" borderId="0" xfId="0" applyNumberFormat="1" applyFont="1" applyAlignment="1">
      <alignment horizontal="left" vertical="center" wrapText="1"/>
    </xf>
    <xf numFmtId="49" fontId="23" fillId="0" borderId="0" xfId="0" applyNumberFormat="1" applyFont="1" applyAlignment="1">
      <alignment horizontal="left" vertical="top"/>
    </xf>
    <xf numFmtId="49" fontId="8" fillId="0" borderId="0" xfId="0" applyNumberFormat="1" applyFont="1" applyAlignment="1">
      <alignment horizontal="left" vertical="top"/>
    </xf>
    <xf numFmtId="49" fontId="36" fillId="0" borderId="2" xfId="0" applyNumberFormat="1" applyFont="1" applyBorder="1" applyAlignment="1">
      <alignment horizontal="center" vertical="top"/>
    </xf>
    <xf numFmtId="49" fontId="22" fillId="0" borderId="3" xfId="0" applyNumberFormat="1" applyFont="1" applyBorder="1" applyAlignment="1">
      <alignment horizontal="left" vertical="center" wrapText="1"/>
    </xf>
    <xf numFmtId="49" fontId="23" fillId="0" borderId="1" xfId="0" applyNumberFormat="1" applyFont="1" applyBorder="1" applyAlignment="1">
      <alignment horizontal="left" vertical="top"/>
    </xf>
    <xf numFmtId="49" fontId="8" fillId="0" borderId="1" xfId="0" applyNumberFormat="1" applyFont="1" applyBorder="1" applyAlignment="1">
      <alignment horizontal="left" vertical="top"/>
    </xf>
    <xf numFmtId="49" fontId="23" fillId="0" borderId="1" xfId="0" applyNumberFormat="1" applyFont="1" applyBorder="1" applyAlignment="1">
      <alignment horizontal="center" vertical="top"/>
    </xf>
    <xf numFmtId="4" fontId="23" fillId="0" borderId="24" xfId="0" applyNumberFormat="1" applyFont="1" applyBorder="1" applyAlignment="1">
      <alignment horizontal="center" vertical="top"/>
    </xf>
    <xf numFmtId="0" fontId="34" fillId="0" borderId="26" xfId="0" applyFont="1" applyBorder="1" applyAlignment="1">
      <alignment vertical="top" wrapText="1"/>
    </xf>
    <xf numFmtId="166" fontId="34" fillId="0" borderId="26" xfId="0" applyNumberFormat="1" applyFont="1" applyBorder="1" applyAlignment="1">
      <alignment horizontal="left" vertical="top" wrapText="1"/>
    </xf>
    <xf numFmtId="167" fontId="34" fillId="0" borderId="26" xfId="0" applyNumberFormat="1" applyFont="1" applyBorder="1" applyAlignment="1">
      <alignment horizontal="left" vertical="top" wrapText="1"/>
    </xf>
    <xf numFmtId="0" fontId="34" fillId="0" borderId="0" xfId="0" applyFont="1" applyAlignment="1">
      <alignment vertical="top" wrapText="1"/>
    </xf>
    <xf numFmtId="49" fontId="23" fillId="0" borderId="26" xfId="0" applyNumberFormat="1" applyFont="1" applyBorder="1" applyAlignment="1">
      <alignment horizontal="center" vertical="top"/>
    </xf>
    <xf numFmtId="49" fontId="37" fillId="0" borderId="23" xfId="0" applyNumberFormat="1" applyFont="1" applyBorder="1" applyAlignment="1">
      <alignment horizontal="center" vertical="top" wrapText="1"/>
    </xf>
    <xf numFmtId="49" fontId="28" fillId="0" borderId="25" xfId="0" applyNumberFormat="1" applyFont="1" applyBorder="1" applyAlignment="1">
      <alignment horizontal="left" vertical="top" wrapText="1"/>
    </xf>
    <xf numFmtId="49" fontId="9" fillId="0" borderId="0" xfId="0" applyNumberFormat="1" applyFont="1" applyAlignment="1">
      <alignment horizontal="left" vertical="top" wrapText="1"/>
    </xf>
    <xf numFmtId="4" fontId="9" fillId="0" borderId="0" xfId="0" applyNumberFormat="1" applyFont="1" applyAlignment="1">
      <alignment horizontal="center" vertical="center"/>
    </xf>
    <xf numFmtId="49" fontId="9" fillId="0" borderId="26" xfId="0" applyNumberFormat="1" applyFont="1" applyBorder="1" applyAlignment="1">
      <alignment horizontal="center" vertical="top"/>
    </xf>
    <xf numFmtId="49" fontId="14" fillId="0" borderId="25" xfId="0" quotePrefix="1" applyNumberFormat="1" applyFont="1" applyBorder="1" applyAlignment="1">
      <alignment horizontal="left" vertical="top"/>
    </xf>
    <xf numFmtId="49" fontId="14" fillId="0" borderId="0" xfId="0" applyNumberFormat="1" applyFont="1" applyAlignment="1">
      <alignment horizontal="left" vertical="top"/>
    </xf>
    <xf numFmtId="0" fontId="14" fillId="0" borderId="0" xfId="0" applyFont="1" applyAlignment="1">
      <alignment horizontal="left" vertical="top"/>
    </xf>
    <xf numFmtId="4" fontId="11" fillId="0" borderId="0" xfId="0" applyNumberFormat="1" applyFont="1" applyAlignment="1">
      <alignment horizontal="center" vertical="top"/>
    </xf>
    <xf numFmtId="49" fontId="22" fillId="0" borderId="25" xfId="0" applyNumberFormat="1" applyFont="1" applyBorder="1" applyAlignment="1">
      <alignment horizontal="left" vertical="center" wrapText="1"/>
    </xf>
    <xf numFmtId="49" fontId="29" fillId="0" borderId="26" xfId="0" applyNumberFormat="1" applyFont="1" applyBorder="1" applyAlignment="1">
      <alignment horizontal="left" vertical="top"/>
    </xf>
    <xf numFmtId="49" fontId="30" fillId="0" borderId="28" xfId="0" applyNumberFormat="1" applyFont="1" applyBorder="1" applyAlignment="1">
      <alignment horizontal="left" vertical="top"/>
    </xf>
    <xf numFmtId="4" fontId="38" fillId="0" borderId="0" xfId="0" applyNumberFormat="1" applyFont="1" applyAlignment="1">
      <alignment horizontal="center" vertical="center"/>
    </xf>
    <xf numFmtId="49" fontId="30" fillId="0" borderId="26" xfId="0" applyNumberFormat="1" applyFont="1" applyBorder="1" applyAlignment="1">
      <alignment horizontal="center" vertical="top"/>
    </xf>
    <xf numFmtId="2" fontId="30" fillId="0" borderId="24" xfId="0" applyNumberFormat="1" applyFont="1" applyBorder="1" applyAlignment="1">
      <alignment horizontal="center" vertical="top"/>
    </xf>
    <xf numFmtId="4" fontId="30" fillId="0" borderId="24" xfId="0" applyNumberFormat="1" applyFont="1" applyBorder="1" applyAlignment="1">
      <alignment horizontal="center" vertical="top"/>
    </xf>
    <xf numFmtId="49" fontId="23" fillId="0" borderId="26" xfId="0" applyNumberFormat="1" applyFont="1" applyBorder="1" applyAlignment="1">
      <alignment horizontal="left" vertical="top"/>
    </xf>
    <xf numFmtId="49" fontId="24" fillId="0" borderId="0" xfId="0" applyNumberFormat="1" applyFont="1" applyAlignment="1">
      <alignment horizontal="right" vertical="top" wrapText="1"/>
    </xf>
    <xf numFmtId="4" fontId="39" fillId="0" borderId="24" xfId="0" applyNumberFormat="1" applyFont="1" applyBorder="1" applyAlignment="1">
      <alignment horizontal="center" vertical="top"/>
    </xf>
    <xf numFmtId="49" fontId="28" fillId="0" borderId="26" xfId="0" applyNumberFormat="1" applyFont="1" applyBorder="1" applyAlignment="1">
      <alignment horizontal="left" vertical="top" wrapText="1"/>
    </xf>
    <xf numFmtId="4" fontId="8" fillId="0" borderId="24" xfId="0" applyNumberFormat="1" applyFont="1" applyBorder="1" applyAlignment="1">
      <alignment horizontal="center" vertical="top"/>
    </xf>
    <xf numFmtId="49" fontId="20" fillId="0" borderId="0" xfId="0" applyNumberFormat="1" applyFont="1" applyAlignment="1">
      <alignment horizontal="right" vertical="center" wrapText="1"/>
    </xf>
    <xf numFmtId="49" fontId="35" fillId="0" borderId="23" xfId="0" applyNumberFormat="1" applyFont="1" applyBorder="1" applyAlignment="1">
      <alignment horizontal="center" vertical="center" wrapText="1"/>
    </xf>
    <xf numFmtId="49" fontId="17" fillId="0" borderId="23" xfId="0" applyNumberFormat="1" applyFont="1" applyBorder="1" applyAlignment="1">
      <alignment horizontal="center" vertical="center" wrapText="1"/>
    </xf>
    <xf numFmtId="49" fontId="17" fillId="0" borderId="28" xfId="0" applyNumberFormat="1" applyFont="1" applyBorder="1" applyAlignment="1">
      <alignment horizontal="left" vertical="top"/>
    </xf>
    <xf numFmtId="49" fontId="24" fillId="0" borderId="0" xfId="0" applyNumberFormat="1" applyFont="1" applyAlignment="1">
      <alignment horizontal="left" wrapText="1"/>
    </xf>
    <xf numFmtId="49" fontId="40" fillId="0" borderId="26" xfId="0" applyNumberFormat="1" applyFont="1" applyBorder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49" fontId="37" fillId="0" borderId="23" xfId="0" applyNumberFormat="1" applyFont="1" applyBorder="1" applyAlignment="1">
      <alignment horizontal="center" vertical="center" wrapText="1"/>
    </xf>
    <xf numFmtId="49" fontId="28" fillId="0" borderId="26" xfId="0" applyNumberFormat="1" applyFont="1" applyBorder="1" applyAlignment="1">
      <alignment horizontal="left" vertical="center" wrapText="1"/>
    </xf>
    <xf numFmtId="166" fontId="14" fillId="0" borderId="41" xfId="0" applyNumberFormat="1" applyFont="1" applyBorder="1" applyAlignment="1">
      <alignment horizontal="left" vertical="top"/>
    </xf>
    <xf numFmtId="49" fontId="14" fillId="0" borderId="0" xfId="0" applyNumberFormat="1" applyFont="1" applyAlignment="1">
      <alignment horizontal="left" vertical="center" wrapText="1"/>
    </xf>
    <xf numFmtId="166" fontId="9" fillId="0" borderId="41" xfId="0" applyNumberFormat="1" applyFont="1" applyBorder="1" applyAlignment="1">
      <alignment horizontal="left" vertical="top"/>
    </xf>
    <xf numFmtId="167" fontId="9" fillId="0" borderId="26" xfId="0" applyNumberFormat="1" applyFont="1" applyBorder="1" applyAlignment="1">
      <alignment horizontal="left" vertical="top"/>
    </xf>
    <xf numFmtId="49" fontId="28" fillId="0" borderId="25" xfId="0" applyNumberFormat="1" applyFont="1" applyBorder="1" applyAlignment="1">
      <alignment horizontal="left" vertical="center" wrapText="1"/>
    </xf>
    <xf numFmtId="4" fontId="41" fillId="0" borderId="0" xfId="0" applyNumberFormat="1" applyFont="1" applyAlignment="1">
      <alignment horizontal="center" vertical="center"/>
    </xf>
    <xf numFmtId="0" fontId="30" fillId="0" borderId="26" xfId="0" applyFont="1" applyBorder="1" applyAlignment="1">
      <alignment horizontal="center" vertical="top"/>
    </xf>
    <xf numFmtId="49" fontId="42" fillId="0" borderId="0" xfId="0" applyNumberFormat="1" applyFont="1" applyAlignment="1">
      <alignment horizontal="left" vertical="top" wrapText="1"/>
    </xf>
    <xf numFmtId="4" fontId="42" fillId="0" borderId="0" xfId="0" applyNumberFormat="1" applyFont="1" applyAlignment="1">
      <alignment horizontal="right" vertical="center"/>
    </xf>
    <xf numFmtId="4" fontId="43" fillId="0" borderId="0" xfId="0" applyNumberFormat="1" applyFont="1" applyAlignment="1">
      <alignment horizontal="center" vertical="center"/>
    </xf>
    <xf numFmtId="0" fontId="6" fillId="0" borderId="0" xfId="0" applyFont="1"/>
    <xf numFmtId="0" fontId="44" fillId="0" borderId="26" xfId="0" applyFont="1" applyBorder="1" applyAlignment="1">
      <alignment horizontal="center" vertical="top"/>
    </xf>
    <xf numFmtId="49" fontId="45" fillId="0" borderId="28" xfId="0" applyNumberFormat="1" applyFont="1" applyBorder="1" applyAlignment="1">
      <alignment horizontal="left" vertical="top"/>
    </xf>
    <xf numFmtId="49" fontId="20" fillId="0" borderId="0" xfId="0" applyNumberFormat="1" applyFont="1" applyAlignment="1">
      <alignment horizontal="left" vertical="center" wrapText="1"/>
    </xf>
    <xf numFmtId="49" fontId="46" fillId="0" borderId="0" xfId="0" applyNumberFormat="1" applyFont="1" applyAlignment="1">
      <alignment horizontal="left" vertical="top" wrapText="1"/>
    </xf>
    <xf numFmtId="49" fontId="14" fillId="0" borderId="28" xfId="0" quotePrefix="1" applyNumberFormat="1" applyFont="1" applyBorder="1" applyAlignment="1">
      <alignment horizontal="left" vertical="top"/>
    </xf>
    <xf numFmtId="49" fontId="41" fillId="0" borderId="0" xfId="0" applyNumberFormat="1" applyFont="1" applyAlignment="1">
      <alignment horizontal="left" vertical="center" wrapText="1"/>
    </xf>
    <xf numFmtId="0" fontId="14" fillId="0" borderId="25" xfId="0" applyFont="1" applyBorder="1" applyAlignment="1">
      <alignment vertical="top" wrapText="1"/>
    </xf>
    <xf numFmtId="4" fontId="47" fillId="0" borderId="28" xfId="0" applyNumberFormat="1" applyFont="1" applyBorder="1" applyAlignment="1">
      <alignment horizontal="center" vertical="center"/>
    </xf>
    <xf numFmtId="0" fontId="44" fillId="0" borderId="25" xfId="0" applyFont="1" applyBorder="1" applyAlignment="1">
      <alignment vertical="center"/>
    </xf>
    <xf numFmtId="49" fontId="28" fillId="0" borderId="0" xfId="0" applyNumberFormat="1" applyFont="1" applyAlignment="1">
      <alignment horizontal="left" vertical="top" wrapText="1"/>
    </xf>
    <xf numFmtId="49" fontId="14" fillId="0" borderId="25" xfId="0" applyNumberFormat="1" applyFont="1" applyBorder="1" applyAlignment="1">
      <alignment horizontal="left" vertical="top" wrapText="1"/>
    </xf>
    <xf numFmtId="4" fontId="14" fillId="0" borderId="28" xfId="0" applyNumberFormat="1" applyFont="1" applyBorder="1" applyAlignment="1">
      <alignment horizontal="center" vertical="center" wrapText="1"/>
    </xf>
    <xf numFmtId="49" fontId="48" fillId="0" borderId="26" xfId="0" applyNumberFormat="1" applyFont="1" applyBorder="1" applyAlignment="1">
      <alignment horizontal="left" vertical="top"/>
    </xf>
    <xf numFmtId="4" fontId="48" fillId="0" borderId="24" xfId="0" applyNumberFormat="1" applyFont="1" applyBorder="1" applyAlignment="1">
      <alignment horizontal="center" vertical="top"/>
    </xf>
    <xf numFmtId="0" fontId="49" fillId="0" borderId="0" xfId="0" applyFont="1"/>
    <xf numFmtId="49" fontId="23" fillId="0" borderId="26" xfId="0" applyNumberFormat="1" applyFont="1" applyBorder="1" applyAlignment="1">
      <alignment horizontal="left" vertical="center" wrapText="1"/>
    </xf>
    <xf numFmtId="0" fontId="33" fillId="0" borderId="25" xfId="0" applyFont="1" applyBorder="1" applyAlignment="1">
      <alignment vertical="center"/>
    </xf>
    <xf numFmtId="0" fontId="50" fillId="0" borderId="26" xfId="0" applyFont="1" applyBorder="1" applyAlignment="1">
      <alignment horizontal="left" vertical="top"/>
    </xf>
    <xf numFmtId="0" fontId="22" fillId="0" borderId="26" xfId="0" applyFont="1" applyBorder="1" applyAlignment="1">
      <alignment vertical="top" wrapText="1"/>
    </xf>
    <xf numFmtId="0" fontId="9" fillId="0" borderId="26" xfId="0" applyFont="1" applyBorder="1" applyAlignment="1">
      <alignment horizontal="center" vertical="top" wrapText="1"/>
    </xf>
    <xf numFmtId="0" fontId="14" fillId="0" borderId="25" xfId="0" applyFont="1" applyBorder="1" applyAlignment="1">
      <alignment vertical="center" wrapText="1"/>
    </xf>
    <xf numFmtId="0" fontId="28" fillId="0" borderId="25" xfId="0" applyFont="1" applyBorder="1" applyAlignment="1">
      <alignment vertical="center" wrapText="1"/>
    </xf>
    <xf numFmtId="0" fontId="22" fillId="0" borderId="25" xfId="0" applyFont="1" applyBorder="1" applyAlignment="1">
      <alignment vertical="center" wrapText="1"/>
    </xf>
    <xf numFmtId="0" fontId="51" fillId="0" borderId="26" xfId="0" applyFont="1" applyBorder="1" applyAlignment="1">
      <alignment horizontal="left" vertical="top"/>
    </xf>
    <xf numFmtId="4" fontId="52" fillId="0" borderId="24" xfId="0" applyNumberFormat="1" applyFont="1" applyBorder="1" applyAlignment="1">
      <alignment horizontal="center" vertical="top"/>
    </xf>
    <xf numFmtId="0" fontId="14" fillId="0" borderId="0" xfId="0" applyFont="1" applyAlignment="1">
      <alignment horizontal="center" vertical="top" wrapText="1"/>
    </xf>
    <xf numFmtId="4" fontId="53" fillId="0" borderId="0" xfId="0" applyNumberFormat="1" applyFont="1" applyAlignment="1">
      <alignment horizontal="center" vertical="center"/>
    </xf>
    <xf numFmtId="49" fontId="23" fillId="0" borderId="25" xfId="0" applyNumberFormat="1" applyFont="1" applyBorder="1" applyAlignment="1">
      <alignment horizontal="left" vertical="center"/>
    </xf>
    <xf numFmtId="49" fontId="54" fillId="0" borderId="28" xfId="0" applyNumberFormat="1" applyFont="1" applyBorder="1" applyAlignment="1">
      <alignment horizontal="left" vertical="top"/>
    </xf>
    <xf numFmtId="49" fontId="54" fillId="0" borderId="26" xfId="0" applyNumberFormat="1" applyFont="1" applyBorder="1" applyAlignment="1">
      <alignment horizontal="left" vertical="top"/>
    </xf>
    <xf numFmtId="4" fontId="54" fillId="0" borderId="24" xfId="0" applyNumberFormat="1" applyFont="1" applyBorder="1" applyAlignment="1">
      <alignment horizontal="center" vertical="top"/>
    </xf>
    <xf numFmtId="0" fontId="28" fillId="0" borderId="26" xfId="0" applyFont="1" applyBorder="1" applyAlignment="1">
      <alignment vertical="top" wrapText="1"/>
    </xf>
    <xf numFmtId="49" fontId="55" fillId="0" borderId="0" xfId="0" applyNumberFormat="1" applyFont="1" applyAlignment="1">
      <alignment horizontal="left" vertical="center" wrapText="1"/>
    </xf>
    <xf numFmtId="4" fontId="56" fillId="0" borderId="0" xfId="0" applyNumberFormat="1" applyFont="1" applyAlignment="1">
      <alignment horizontal="right" vertical="center"/>
    </xf>
    <xf numFmtId="166" fontId="14" fillId="0" borderId="26" xfId="0" applyNumberFormat="1" applyFont="1" applyBorder="1" applyAlignment="1">
      <alignment horizontal="left" vertical="top"/>
    </xf>
    <xf numFmtId="167" fontId="14" fillId="0" borderId="28" xfId="0" applyNumberFormat="1" applyFont="1" applyBorder="1" applyAlignment="1">
      <alignment vertical="top"/>
    </xf>
    <xf numFmtId="4" fontId="14" fillId="0" borderId="0" xfId="0" applyNumberFormat="1" applyFont="1" applyAlignment="1">
      <alignment horizontal="center" vertical="center"/>
    </xf>
    <xf numFmtId="49" fontId="57" fillId="0" borderId="26" xfId="0" quotePrefix="1" applyNumberFormat="1" applyFont="1" applyBorder="1" applyAlignment="1">
      <alignment horizontal="left" vertical="top"/>
    </xf>
    <xf numFmtId="0" fontId="57" fillId="0" borderId="0" xfId="0" applyFont="1" applyAlignment="1">
      <alignment vertical="top" wrapText="1"/>
    </xf>
    <xf numFmtId="4" fontId="48" fillId="0" borderId="0" xfId="0" applyNumberFormat="1" applyFont="1" applyAlignment="1">
      <alignment horizontal="center" vertical="center"/>
    </xf>
    <xf numFmtId="49" fontId="9" fillId="0" borderId="28" xfId="0" applyNumberFormat="1" applyFont="1" applyBorder="1" applyAlignment="1">
      <alignment horizontal="left" vertical="top" wrapText="1"/>
    </xf>
    <xf numFmtId="0" fontId="57" fillId="0" borderId="0" xfId="0" applyFont="1" applyAlignment="1">
      <alignment wrapText="1"/>
    </xf>
    <xf numFmtId="49" fontId="20" fillId="0" borderId="25" xfId="0" applyNumberFormat="1" applyFont="1" applyBorder="1" applyAlignment="1">
      <alignment horizontal="left" vertical="top" wrapText="1"/>
    </xf>
    <xf numFmtId="0" fontId="30" fillId="0" borderId="0" xfId="0" applyFont="1"/>
    <xf numFmtId="4" fontId="58" fillId="0" borderId="0" xfId="0" applyNumberFormat="1" applyFont="1" applyAlignment="1">
      <alignment horizontal="center" vertical="center"/>
    </xf>
    <xf numFmtId="4" fontId="47" fillId="0" borderId="0" xfId="0" applyNumberFormat="1" applyFont="1" applyAlignment="1">
      <alignment horizontal="center" vertical="center"/>
    </xf>
    <xf numFmtId="4" fontId="9" fillId="0" borderId="0" xfId="0" applyNumberFormat="1" applyFont="1" applyAlignment="1">
      <alignment horizontal="center" vertical="top"/>
    </xf>
    <xf numFmtId="49" fontId="14" fillId="0" borderId="25" xfId="0" applyNumberFormat="1" applyFont="1" applyBorder="1" applyAlignment="1">
      <alignment horizontal="left" vertical="top"/>
    </xf>
    <xf numFmtId="49" fontId="9" fillId="0" borderId="25" xfId="0" quotePrefix="1" applyNumberFormat="1" applyFont="1" applyBorder="1" applyAlignment="1">
      <alignment horizontal="left" vertical="top"/>
    </xf>
    <xf numFmtId="0" fontId="9" fillId="0" borderId="25" xfId="0" applyFont="1" applyBorder="1" applyAlignment="1">
      <alignment vertical="center" wrapText="1"/>
    </xf>
    <xf numFmtId="49" fontId="9" fillId="0" borderId="0" xfId="0" quotePrefix="1" applyNumberFormat="1" applyFont="1" applyAlignment="1">
      <alignment horizontal="left" vertical="top"/>
    </xf>
    <xf numFmtId="0" fontId="28" fillId="0" borderId="26" xfId="0" applyFont="1" applyBorder="1" applyAlignment="1">
      <alignment horizontal="center" vertical="top"/>
    </xf>
    <xf numFmtId="49" fontId="28" fillId="0" borderId="26" xfId="0" applyNumberFormat="1" applyFont="1" applyBorder="1" applyAlignment="1">
      <alignment horizontal="left" vertical="top"/>
    </xf>
    <xf numFmtId="167" fontId="9" fillId="0" borderId="25" xfId="0" applyNumberFormat="1" applyFont="1" applyBorder="1" applyAlignment="1">
      <alignment horizontal="left" vertical="top"/>
    </xf>
    <xf numFmtId="49" fontId="9" fillId="0" borderId="25" xfId="0" applyNumberFormat="1" applyFont="1" applyBorder="1" applyAlignment="1">
      <alignment horizontal="left" vertical="top" wrapText="1"/>
    </xf>
    <xf numFmtId="0" fontId="22" fillId="0" borderId="25" xfId="0" applyFont="1" applyBorder="1" applyAlignment="1">
      <alignment vertical="top" wrapText="1"/>
    </xf>
    <xf numFmtId="49" fontId="20" fillId="0" borderId="25" xfId="0" applyNumberFormat="1" applyFont="1" applyBorder="1" applyAlignment="1">
      <alignment horizontal="right" vertical="top" wrapText="1"/>
    </xf>
    <xf numFmtId="49" fontId="28" fillId="0" borderId="0" xfId="0" applyNumberFormat="1" applyFont="1" applyAlignment="1">
      <alignment horizontal="left" vertical="top"/>
    </xf>
    <xf numFmtId="49" fontId="20" fillId="0" borderId="0" xfId="0" applyNumberFormat="1" applyFont="1" applyAlignment="1">
      <alignment horizontal="center" vertical="center" wrapText="1"/>
    </xf>
    <xf numFmtId="4" fontId="20" fillId="0" borderId="0" xfId="0" applyNumberFormat="1" applyFont="1" applyAlignment="1">
      <alignment horizontal="center" vertical="center" wrapText="1"/>
    </xf>
    <xf numFmtId="49" fontId="23" fillId="0" borderId="26" xfId="0" applyNumberFormat="1" applyFont="1" applyBorder="1" applyAlignment="1">
      <alignment horizontal="left" vertical="top" wrapText="1"/>
    </xf>
    <xf numFmtId="4" fontId="9" fillId="0" borderId="30" xfId="0" applyNumberFormat="1" applyFont="1" applyBorder="1" applyAlignment="1">
      <alignment vertical="top"/>
    </xf>
    <xf numFmtId="49" fontId="14" fillId="0" borderId="26" xfId="0" applyNumberFormat="1" applyFont="1" applyBorder="1" applyAlignment="1">
      <alignment horizontal="left" vertical="top" wrapText="1"/>
    </xf>
    <xf numFmtId="49" fontId="25" fillId="0" borderId="0" xfId="0" applyNumberFormat="1" applyFont="1" applyAlignment="1">
      <alignment horizontal="left" vertical="top" wrapText="1"/>
    </xf>
    <xf numFmtId="4" fontId="59" fillId="0" borderId="0" xfId="0" applyNumberFormat="1" applyFont="1"/>
    <xf numFmtId="0" fontId="59" fillId="0" borderId="0" xfId="0" applyFont="1" applyAlignment="1">
      <alignment horizontal="right" vertical="top"/>
    </xf>
    <xf numFmtId="49" fontId="14" fillId="0" borderId="28" xfId="0" applyNumberFormat="1" applyFont="1" applyBorder="1" applyAlignment="1">
      <alignment horizontal="left" vertical="top" wrapText="1"/>
    </xf>
    <xf numFmtId="49" fontId="9" fillId="0" borderId="26" xfId="0" applyNumberFormat="1" applyFont="1" applyBorder="1" applyAlignment="1">
      <alignment horizontal="left" vertical="top" wrapText="1"/>
    </xf>
    <xf numFmtId="167" fontId="14" fillId="0" borderId="42" xfId="0" applyNumberFormat="1" applyFont="1" applyBorder="1" applyAlignment="1">
      <alignment horizontal="left" vertical="top" wrapText="1"/>
    </xf>
    <xf numFmtId="0" fontId="14" fillId="0" borderId="25" xfId="0" applyFont="1" applyBorder="1" applyAlignment="1">
      <alignment horizontal="left" vertical="center" wrapText="1"/>
    </xf>
    <xf numFmtId="0" fontId="9" fillId="0" borderId="25" xfId="0" applyFont="1" applyBorder="1" applyAlignment="1">
      <alignment vertical="top" wrapText="1"/>
    </xf>
    <xf numFmtId="0" fontId="28" fillId="0" borderId="25" xfId="0" applyFont="1" applyBorder="1" applyAlignment="1">
      <alignment horizontal="center" vertical="top"/>
    </xf>
    <xf numFmtId="4" fontId="20" fillId="0" borderId="28" xfId="0" applyNumberFormat="1" applyFont="1" applyBorder="1" applyAlignment="1">
      <alignment horizontal="center" vertical="top"/>
    </xf>
    <xf numFmtId="0" fontId="37" fillId="0" borderId="27" xfId="0" applyFont="1" applyBorder="1" applyAlignment="1">
      <alignment horizontal="center" vertical="top"/>
    </xf>
    <xf numFmtId="0" fontId="37" fillId="0" borderId="23" xfId="0" applyFont="1" applyBorder="1" applyAlignment="1">
      <alignment horizontal="center" vertical="top"/>
    </xf>
    <xf numFmtId="2" fontId="14" fillId="0" borderId="0" xfId="0" applyNumberFormat="1" applyFont="1" applyAlignment="1">
      <alignment horizontal="center" vertical="center"/>
    </xf>
    <xf numFmtId="0" fontId="44" fillId="0" borderId="26" xfId="0" applyFont="1" applyBorder="1" applyAlignment="1">
      <alignment horizontal="center" vertical="center"/>
    </xf>
    <xf numFmtId="2" fontId="9" fillId="0" borderId="0" xfId="0" applyNumberFormat="1" applyFont="1" applyAlignment="1">
      <alignment horizontal="center" vertical="center"/>
    </xf>
    <xf numFmtId="49" fontId="9" fillId="0" borderId="25" xfId="0" applyNumberFormat="1" applyFont="1" applyBorder="1" applyAlignment="1">
      <alignment horizontal="left" vertical="top"/>
    </xf>
    <xf numFmtId="49" fontId="14" fillId="0" borderId="25" xfId="0" applyNumberFormat="1" applyFont="1" applyBorder="1" applyAlignment="1">
      <alignment horizontal="left" vertical="center" wrapText="1"/>
    </xf>
    <xf numFmtId="49" fontId="37" fillId="0" borderId="27" xfId="0" applyNumberFormat="1" applyFont="1" applyBorder="1" applyAlignment="1">
      <alignment horizontal="center" vertical="center" wrapText="1"/>
    </xf>
    <xf numFmtId="0" fontId="44" fillId="0" borderId="0" xfId="0" applyFont="1" applyAlignment="1">
      <alignment vertical="center"/>
    </xf>
    <xf numFmtId="49" fontId="9" fillId="0" borderId="25" xfId="0" applyNumberFormat="1" applyFont="1" applyBorder="1" applyAlignment="1">
      <alignment horizontal="left" vertical="center" wrapText="1"/>
    </xf>
    <xf numFmtId="49" fontId="14" fillId="0" borderId="26" xfId="0" applyNumberFormat="1" applyFont="1" applyBorder="1" applyAlignment="1">
      <alignment vertical="top"/>
    </xf>
    <xf numFmtId="49" fontId="9" fillId="0" borderId="41" xfId="0" applyNumberFormat="1" applyFont="1" applyBorder="1" applyAlignment="1">
      <alignment horizontal="left" vertical="top"/>
    </xf>
    <xf numFmtId="49" fontId="14" fillId="0" borderId="0" xfId="0" applyNumberFormat="1" applyFont="1" applyAlignment="1">
      <alignment horizontal="center" vertical="center" wrapText="1"/>
    </xf>
    <xf numFmtId="49" fontId="17" fillId="0" borderId="23" xfId="0" applyNumberFormat="1" applyFont="1" applyBorder="1" applyAlignment="1">
      <alignment horizontal="center" wrapText="1"/>
    </xf>
    <xf numFmtId="49" fontId="17" fillId="0" borderId="26" xfId="0" applyNumberFormat="1" applyFont="1" applyBorder="1" applyAlignment="1">
      <alignment horizontal="left" wrapText="1"/>
    </xf>
    <xf numFmtId="49" fontId="17" fillId="0" borderId="28" xfId="0" applyNumberFormat="1" applyFont="1" applyBorder="1" applyAlignment="1">
      <alignment horizontal="left"/>
    </xf>
    <xf numFmtId="49" fontId="16" fillId="0" borderId="26" xfId="0" applyNumberFormat="1" applyFont="1" applyBorder="1" applyAlignment="1">
      <alignment horizontal="left"/>
    </xf>
    <xf numFmtId="49" fontId="16" fillId="0" borderId="28" xfId="0" applyNumberFormat="1" applyFont="1" applyBorder="1" applyAlignment="1">
      <alignment horizontal="left"/>
    </xf>
    <xf numFmtId="4" fontId="8" fillId="0" borderId="24" xfId="0" applyNumberFormat="1" applyFont="1" applyBorder="1" applyAlignment="1">
      <alignment horizontal="center"/>
    </xf>
    <xf numFmtId="49" fontId="17" fillId="0" borderId="25" xfId="0" applyNumberFormat="1" applyFont="1" applyBorder="1" applyAlignment="1">
      <alignment horizontal="left" wrapText="1"/>
    </xf>
    <xf numFmtId="49" fontId="17" fillId="0" borderId="26" xfId="0" applyNumberFormat="1" applyFont="1" applyBorder="1" applyAlignment="1">
      <alignment horizontal="left"/>
    </xf>
    <xf numFmtId="49" fontId="60" fillId="0" borderId="0" xfId="0" applyNumberFormat="1" applyFont="1" applyAlignment="1">
      <alignment horizontal="left" vertical="center" wrapText="1"/>
    </xf>
    <xf numFmtId="0" fontId="9" fillId="0" borderId="0" xfId="0" applyFont="1" applyAlignment="1">
      <alignment horizontal="left" vertical="top" wrapText="1"/>
    </xf>
    <xf numFmtId="49" fontId="23" fillId="0" borderId="25" xfId="0" applyNumberFormat="1" applyFont="1" applyBorder="1" applyAlignment="1">
      <alignment horizontal="left" vertical="top" wrapText="1"/>
    </xf>
    <xf numFmtId="0" fontId="44" fillId="0" borderId="25" xfId="0" applyFont="1" applyBorder="1" applyAlignment="1">
      <alignment vertical="top"/>
    </xf>
    <xf numFmtId="4" fontId="48" fillId="0" borderId="0" xfId="0" applyNumberFormat="1" applyFont="1" applyAlignment="1">
      <alignment horizontal="center" vertical="top"/>
    </xf>
    <xf numFmtId="4" fontId="20" fillId="0" borderId="5" xfId="0" applyNumberFormat="1" applyFont="1" applyBorder="1" applyAlignment="1">
      <alignment horizontal="center" vertical="center"/>
    </xf>
    <xf numFmtId="49" fontId="14" fillId="0" borderId="26" xfId="0" quotePrefix="1" applyNumberFormat="1" applyFont="1" applyBorder="1" applyAlignment="1">
      <alignment horizontal="center" vertical="top"/>
    </xf>
    <xf numFmtId="49" fontId="14" fillId="0" borderId="25" xfId="0" applyNumberFormat="1" applyFont="1" applyBorder="1" applyAlignment="1">
      <alignment horizontal="center" vertical="top"/>
    </xf>
    <xf numFmtId="49" fontId="9" fillId="0" borderId="25" xfId="0" quotePrefix="1" applyNumberFormat="1" applyFont="1" applyBorder="1" applyAlignment="1">
      <alignment horizontal="center" vertical="top"/>
    </xf>
    <xf numFmtId="49" fontId="10" fillId="0" borderId="25" xfId="0" applyNumberFormat="1" applyFont="1" applyBorder="1" applyAlignment="1">
      <alignment horizontal="left"/>
    </xf>
    <xf numFmtId="49" fontId="20" fillId="0" borderId="25" xfId="0" applyNumberFormat="1" applyFont="1" applyBorder="1" applyAlignment="1">
      <alignment horizontal="left" vertical="center" wrapText="1"/>
    </xf>
    <xf numFmtId="4" fontId="25" fillId="0" borderId="28" xfId="0" applyNumberFormat="1" applyFont="1" applyBorder="1" applyAlignment="1">
      <alignment horizontal="center" vertical="center"/>
    </xf>
    <xf numFmtId="49" fontId="10" fillId="0" borderId="28" xfId="0" applyNumberFormat="1" applyFont="1" applyBorder="1" applyAlignment="1">
      <alignment horizontal="left"/>
    </xf>
    <xf numFmtId="4" fontId="9" fillId="0" borderId="24" xfId="0" applyNumberFormat="1" applyFont="1" applyBorder="1" applyAlignment="1">
      <alignment horizontal="center"/>
    </xf>
    <xf numFmtId="0" fontId="37" fillId="0" borderId="23" xfId="0" applyFont="1" applyBorder="1" applyAlignment="1">
      <alignment horizontal="center" vertical="center"/>
    </xf>
    <xf numFmtId="49" fontId="20" fillId="0" borderId="25" xfId="0" applyNumberFormat="1" applyFont="1" applyBorder="1" applyAlignment="1">
      <alignment horizontal="left" wrapText="1"/>
    </xf>
    <xf numFmtId="49" fontId="23" fillId="0" borderId="26" xfId="0" applyNumberFormat="1" applyFont="1" applyBorder="1" applyAlignment="1">
      <alignment horizontal="left" vertical="center"/>
    </xf>
    <xf numFmtId="49" fontId="54" fillId="0" borderId="28" xfId="0" applyNumberFormat="1" applyFont="1" applyBorder="1" applyAlignment="1">
      <alignment horizontal="left" vertical="center"/>
    </xf>
    <xf numFmtId="49" fontId="54" fillId="0" borderId="26" xfId="0" applyNumberFormat="1" applyFont="1" applyBorder="1" applyAlignment="1">
      <alignment horizontal="left" vertical="center"/>
    </xf>
    <xf numFmtId="4" fontId="54" fillId="0" borderId="24" xfId="0" applyNumberFormat="1" applyFont="1" applyBorder="1" applyAlignment="1">
      <alignment horizontal="center" vertical="center"/>
    </xf>
    <xf numFmtId="49" fontId="9" fillId="0" borderId="26" xfId="0" quotePrefix="1" applyNumberFormat="1" applyFont="1" applyBorder="1" applyAlignment="1">
      <alignment horizontal="center" vertical="top"/>
    </xf>
    <xf numFmtId="0" fontId="9" fillId="0" borderId="0" xfId="0" applyFont="1" applyAlignment="1">
      <alignment horizontal="center" vertical="top" wrapText="1"/>
    </xf>
    <xf numFmtId="2" fontId="48" fillId="0" borderId="0" xfId="0" applyNumberFormat="1" applyFont="1" applyAlignment="1">
      <alignment horizontal="center" vertical="center" wrapText="1"/>
    </xf>
    <xf numFmtId="166" fontId="9" fillId="0" borderId="25" xfId="0" applyNumberFormat="1" applyFont="1" applyBorder="1" applyAlignment="1">
      <alignment horizontal="left" vertical="top"/>
    </xf>
    <xf numFmtId="49" fontId="16" fillId="0" borderId="25" xfId="0" applyNumberFormat="1" applyFont="1" applyBorder="1" applyAlignment="1">
      <alignment horizontal="left"/>
    </xf>
    <xf numFmtId="49" fontId="20" fillId="0" borderId="25" xfId="0" applyNumberFormat="1" applyFont="1" applyBorder="1" applyAlignment="1">
      <alignment horizontal="right" vertical="center" wrapText="1"/>
    </xf>
    <xf numFmtId="0" fontId="9" fillId="0" borderId="28" xfId="0" applyFont="1" applyBorder="1" applyAlignment="1">
      <alignment horizontal="center" vertical="center" wrapText="1"/>
    </xf>
    <xf numFmtId="49" fontId="18" fillId="0" borderId="25" xfId="0" applyNumberFormat="1" applyFont="1" applyBorder="1" applyAlignment="1">
      <alignment horizontal="left" vertical="center" wrapText="1"/>
    </xf>
    <xf numFmtId="49" fontId="16" fillId="0" borderId="25" xfId="0" applyNumberFormat="1" applyFont="1" applyBorder="1" applyAlignment="1">
      <alignment horizontal="left" vertical="top"/>
    </xf>
    <xf numFmtId="49" fontId="17" fillId="0" borderId="0" xfId="0" applyNumberFormat="1" applyFont="1" applyAlignment="1">
      <alignment horizontal="left"/>
    </xf>
    <xf numFmtId="49" fontId="14" fillId="0" borderId="26" xfId="0" applyNumberFormat="1" applyFont="1" applyBorder="1" applyAlignment="1">
      <alignment horizontal="left" vertical="center" wrapText="1"/>
    </xf>
    <xf numFmtId="49" fontId="14" fillId="0" borderId="25" xfId="0" quotePrefix="1" applyNumberFormat="1" applyFont="1" applyBorder="1" applyAlignment="1">
      <alignment horizontal="center" vertical="top"/>
    </xf>
    <xf numFmtId="49" fontId="9" fillId="0" borderId="26" xfId="0" applyNumberFormat="1" applyFont="1" applyBorder="1" applyAlignment="1">
      <alignment horizontal="center" vertical="center"/>
    </xf>
    <xf numFmtId="49" fontId="9" fillId="0" borderId="25" xfId="0" quotePrefix="1" applyNumberFormat="1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4" fontId="9" fillId="0" borderId="24" xfId="0" applyNumberFormat="1" applyFont="1" applyBorder="1" applyAlignment="1">
      <alignment horizontal="center" vertical="center"/>
    </xf>
    <xf numFmtId="4" fontId="61" fillId="0" borderId="28" xfId="0" applyNumberFormat="1" applyFont="1" applyBorder="1" applyAlignment="1">
      <alignment horizontal="center" vertical="center"/>
    </xf>
    <xf numFmtId="49" fontId="20" fillId="0" borderId="23" xfId="0" applyNumberFormat="1" applyFont="1" applyBorder="1" applyAlignment="1">
      <alignment horizontal="left" vertical="center" wrapText="1"/>
    </xf>
    <xf numFmtId="49" fontId="54" fillId="0" borderId="25" xfId="0" applyNumberFormat="1" applyFont="1" applyBorder="1" applyAlignment="1">
      <alignment horizontal="left" vertical="center"/>
    </xf>
    <xf numFmtId="4" fontId="54" fillId="0" borderId="30" xfId="0" applyNumberFormat="1" applyFont="1" applyBorder="1" applyAlignment="1">
      <alignment horizontal="center" vertical="center"/>
    </xf>
    <xf numFmtId="0" fontId="14" fillId="0" borderId="25" xfId="0" applyFont="1" applyBorder="1" applyAlignment="1">
      <alignment horizontal="center" vertical="top"/>
    </xf>
    <xf numFmtId="4" fontId="14" fillId="0" borderId="30" xfId="0" applyNumberFormat="1" applyFont="1" applyBorder="1" applyAlignment="1">
      <alignment horizontal="center" vertical="top"/>
    </xf>
    <xf numFmtId="0" fontId="9" fillId="0" borderId="25" xfId="0" applyFont="1" applyBorder="1" applyAlignment="1">
      <alignment horizontal="center" vertical="top"/>
    </xf>
    <xf numFmtId="4" fontId="9" fillId="0" borderId="30" xfId="0" applyNumberFormat="1" applyFont="1" applyBorder="1" applyAlignment="1">
      <alignment horizontal="center" vertical="top"/>
    </xf>
    <xf numFmtId="0" fontId="9" fillId="0" borderId="28" xfId="0" applyFont="1" applyBorder="1" applyAlignment="1">
      <alignment horizontal="center" vertical="top" wrapText="1"/>
    </xf>
    <xf numFmtId="49" fontId="22" fillId="0" borderId="25" xfId="0" applyNumberFormat="1" applyFont="1" applyBorder="1" applyAlignment="1">
      <alignment horizontal="left" vertical="top" wrapText="1"/>
    </xf>
    <xf numFmtId="4" fontId="62" fillId="0" borderId="0" xfId="0" applyNumberFormat="1" applyFont="1" applyAlignment="1">
      <alignment horizontal="center" vertical="top"/>
    </xf>
    <xf numFmtId="49" fontId="21" fillId="0" borderId="31" xfId="0" applyNumberFormat="1" applyFont="1" applyBorder="1" applyAlignment="1">
      <alignment horizontal="center" vertical="center" wrapText="1"/>
    </xf>
    <xf numFmtId="49" fontId="22" fillId="0" borderId="32" xfId="0" applyNumberFormat="1" applyFont="1" applyBorder="1" applyAlignment="1">
      <alignment horizontal="left" vertical="center" wrapText="1"/>
    </xf>
    <xf numFmtId="49" fontId="23" fillId="0" borderId="33" xfId="0" applyNumberFormat="1" applyFont="1" applyBorder="1" applyAlignment="1">
      <alignment horizontal="left" vertical="top"/>
    </xf>
    <xf numFmtId="49" fontId="23" fillId="0" borderId="33" xfId="0" applyNumberFormat="1" applyFont="1" applyBorder="1" applyAlignment="1">
      <alignment horizontal="left" vertical="center"/>
    </xf>
    <xf numFmtId="49" fontId="23" fillId="0" borderId="33" xfId="0" applyNumberFormat="1" applyFont="1" applyBorder="1" applyAlignment="1">
      <alignment horizontal="center" vertical="center"/>
    </xf>
    <xf numFmtId="49" fontId="23" fillId="0" borderId="34" xfId="0" applyNumberFormat="1" applyFont="1" applyBorder="1" applyAlignment="1">
      <alignment horizontal="left" vertical="top"/>
    </xf>
    <xf numFmtId="4" fontId="23" fillId="0" borderId="36" xfId="0" applyNumberFormat="1" applyFont="1" applyBorder="1" applyAlignment="1">
      <alignment horizontal="center" vertical="top"/>
    </xf>
    <xf numFmtId="49" fontId="17" fillId="0" borderId="0" xfId="0" applyNumberFormat="1" applyFont="1" applyAlignment="1">
      <alignment horizontal="center" vertical="center" wrapText="1"/>
    </xf>
    <xf numFmtId="49" fontId="22" fillId="0" borderId="0" xfId="0" applyNumberFormat="1" applyFont="1" applyAlignment="1">
      <alignment horizontal="left" vertical="center" wrapText="1"/>
    </xf>
    <xf numFmtId="49" fontId="63" fillId="0" borderId="0" xfId="0" applyNumberFormat="1" applyFont="1" applyAlignment="1">
      <alignment horizontal="left" vertical="top"/>
    </xf>
    <xf numFmtId="49" fontId="64" fillId="0" borderId="0" xfId="0" applyNumberFormat="1" applyFont="1" applyAlignment="1">
      <alignment horizontal="left" vertical="top"/>
    </xf>
    <xf numFmtId="49" fontId="65" fillId="0" borderId="0" xfId="0" applyNumberFormat="1" applyFont="1" applyAlignment="1">
      <alignment horizontal="left" vertical="top" wrapText="1"/>
    </xf>
    <xf numFmtId="4" fontId="66" fillId="0" borderId="0" xfId="0" applyNumberFormat="1" applyFont="1" applyAlignment="1">
      <alignment horizontal="center" vertical="center"/>
    </xf>
    <xf numFmtId="0" fontId="66" fillId="0" borderId="0" xfId="0" applyFont="1" applyAlignment="1">
      <alignment horizontal="right" vertical="top"/>
    </xf>
    <xf numFmtId="4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top"/>
    </xf>
    <xf numFmtId="0" fontId="66" fillId="0" borderId="0" xfId="0" applyFont="1" applyAlignment="1">
      <alignment horizontal="left" vertical="top"/>
    </xf>
    <xf numFmtId="49" fontId="64" fillId="0" borderId="0" xfId="0" applyNumberFormat="1" applyFont="1" applyAlignment="1">
      <alignment horizontal="left" vertical="top" wrapText="1"/>
    </xf>
    <xf numFmtId="4" fontId="67" fillId="0" borderId="0" xfId="0" applyNumberFormat="1" applyFont="1" applyAlignment="1">
      <alignment horizontal="center" vertical="center"/>
    </xf>
    <xf numFmtId="0" fontId="67" fillId="0" borderId="0" xfId="0" applyFont="1" applyAlignment="1">
      <alignment horizontal="left" vertical="top"/>
    </xf>
    <xf numFmtId="49" fontId="68" fillId="0" borderId="0" xfId="0" applyNumberFormat="1" applyFont="1" applyAlignment="1">
      <alignment horizontal="left" vertical="top" wrapText="1"/>
    </xf>
    <xf numFmtId="4" fontId="69" fillId="0" borderId="0" xfId="0" applyNumberFormat="1" applyFont="1" applyAlignment="1">
      <alignment horizontal="center" vertical="center"/>
    </xf>
    <xf numFmtId="0" fontId="69" fillId="0" borderId="0" xfId="0" applyFont="1" applyAlignment="1">
      <alignment horizontal="left" vertical="top"/>
    </xf>
    <xf numFmtId="49" fontId="15" fillId="0" borderId="0" xfId="0" applyNumberFormat="1" applyFont="1" applyAlignment="1">
      <alignment horizontal="center" vertical="center" wrapText="1"/>
    </xf>
    <xf numFmtId="49" fontId="15" fillId="0" borderId="23" xfId="0" applyNumberFormat="1" applyFont="1" applyBorder="1" applyAlignment="1">
      <alignment horizontal="center" vertical="center" wrapText="1"/>
    </xf>
    <xf numFmtId="49" fontId="18" fillId="0" borderId="3" xfId="0" applyNumberFormat="1" applyFont="1" applyBorder="1" applyAlignment="1">
      <alignment horizontal="left" vertical="top" wrapText="1"/>
    </xf>
    <xf numFmtId="165" fontId="16" fillId="0" borderId="0" xfId="0" applyNumberFormat="1" applyFont="1" applyAlignment="1">
      <alignment horizontal="center" vertical="center"/>
    </xf>
    <xf numFmtId="0" fontId="11" fillId="0" borderId="27" xfId="0" applyFont="1" applyBorder="1" applyAlignment="1">
      <alignment horizontal="center" vertical="top"/>
    </xf>
    <xf numFmtId="49" fontId="17" fillId="0" borderId="25" xfId="0" applyNumberFormat="1" applyFont="1" applyBorder="1" applyAlignment="1">
      <alignment horizontal="left" vertical="top" wrapText="1"/>
    </xf>
    <xf numFmtId="167" fontId="14" fillId="0" borderId="28" xfId="0" applyNumberFormat="1" applyFont="1" applyBorder="1" applyAlignment="1">
      <alignment horizontal="left" vertical="top" wrapText="1"/>
    </xf>
    <xf numFmtId="0" fontId="14" fillId="0" borderId="0" xfId="0" applyFont="1" applyAlignment="1">
      <alignment horizontal="left" vertical="top" wrapText="1"/>
    </xf>
    <xf numFmtId="0" fontId="14" fillId="0" borderId="26" xfId="0" applyFont="1" applyBorder="1" applyAlignment="1">
      <alignment horizontal="center" vertical="top" wrapText="1"/>
    </xf>
    <xf numFmtId="49" fontId="15" fillId="0" borderId="27" xfId="0" applyNumberFormat="1" applyFont="1" applyBorder="1" applyAlignment="1">
      <alignment horizontal="center" vertical="center" wrapText="1"/>
    </xf>
    <xf numFmtId="49" fontId="22" fillId="0" borderId="26" xfId="0" applyNumberFormat="1" applyFont="1" applyBorder="1" applyAlignment="1">
      <alignment horizontal="left" vertical="top" wrapText="1"/>
    </xf>
    <xf numFmtId="4" fontId="25" fillId="0" borderId="28" xfId="0" applyNumberFormat="1" applyFont="1" applyBorder="1" applyAlignment="1">
      <alignment horizontal="right" vertical="top"/>
    </xf>
    <xf numFmtId="0" fontId="11" fillId="0" borderId="28" xfId="0" applyFont="1" applyBorder="1" applyAlignment="1">
      <alignment horizontal="center" vertical="top"/>
    </xf>
    <xf numFmtId="4" fontId="11" fillId="0" borderId="30" xfId="0" applyNumberFormat="1" applyFont="1" applyBorder="1" applyAlignment="1">
      <alignment horizontal="center" vertical="top"/>
    </xf>
    <xf numFmtId="4" fontId="14" fillId="0" borderId="28" xfId="0" applyNumberFormat="1" applyFont="1" applyBorder="1" applyAlignment="1">
      <alignment horizontal="right" wrapText="1"/>
    </xf>
    <xf numFmtId="49" fontId="11" fillId="0" borderId="26" xfId="0" applyNumberFormat="1" applyFont="1" applyBorder="1" applyAlignment="1">
      <alignment horizontal="center" vertical="top"/>
    </xf>
    <xf numFmtId="4" fontId="11" fillId="0" borderId="24" xfId="0" applyNumberFormat="1" applyFont="1" applyBorder="1" applyAlignment="1">
      <alignment horizontal="center" vertical="top"/>
    </xf>
    <xf numFmtId="49" fontId="10" fillId="0" borderId="0" xfId="0" applyNumberFormat="1" applyFont="1" applyAlignment="1">
      <alignment horizontal="left" vertical="top" wrapText="1"/>
    </xf>
    <xf numFmtId="4" fontId="10" fillId="0" borderId="0" xfId="0" applyNumberFormat="1" applyFont="1" applyAlignment="1">
      <alignment horizontal="center" vertical="center"/>
    </xf>
    <xf numFmtId="4" fontId="10" fillId="0" borderId="24" xfId="0" applyNumberFormat="1" applyFont="1" applyBorder="1" applyAlignment="1">
      <alignment horizontal="center" vertical="top"/>
    </xf>
    <xf numFmtId="49" fontId="27" fillId="0" borderId="26" xfId="0" applyNumberFormat="1" applyFont="1" applyBorder="1" applyAlignment="1">
      <alignment horizontal="center" vertical="top"/>
    </xf>
    <xf numFmtId="4" fontId="27" fillId="0" borderId="24" xfId="0" applyNumberFormat="1" applyFont="1" applyBorder="1" applyAlignment="1">
      <alignment horizontal="center" vertical="top"/>
    </xf>
    <xf numFmtId="49" fontId="15" fillId="0" borderId="31" xfId="0" applyNumberFormat="1" applyFont="1" applyBorder="1" applyAlignment="1">
      <alignment horizontal="center" vertical="center" wrapText="1"/>
    </xf>
    <xf numFmtId="49" fontId="18" fillId="0" borderId="32" xfId="0" applyNumberFormat="1" applyFont="1" applyBorder="1" applyAlignment="1">
      <alignment horizontal="left" vertical="top" wrapText="1"/>
    </xf>
    <xf numFmtId="49" fontId="17" fillId="0" borderId="33" xfId="0" applyNumberFormat="1" applyFont="1" applyBorder="1" applyAlignment="1">
      <alignment horizontal="left" vertical="top"/>
    </xf>
    <xf numFmtId="49" fontId="16" fillId="0" borderId="35" xfId="0" applyNumberFormat="1" applyFont="1" applyBorder="1" applyAlignment="1">
      <alignment horizontal="left" vertical="top" wrapText="1"/>
    </xf>
    <xf numFmtId="165" fontId="16" fillId="0" borderId="35" xfId="0" applyNumberFormat="1" applyFont="1" applyBorder="1" applyAlignment="1">
      <alignment horizontal="center" vertical="center"/>
    </xf>
    <xf numFmtId="49" fontId="16" fillId="0" borderId="33" xfId="0" applyNumberFormat="1" applyFont="1" applyBorder="1" applyAlignment="1">
      <alignment horizontal="center" vertical="top"/>
    </xf>
    <xf numFmtId="4" fontId="70" fillId="0" borderId="28" xfId="0" applyNumberFormat="1" applyFont="1" applyBorder="1" applyAlignment="1">
      <alignment horizontal="center" vertical="center"/>
    </xf>
    <xf numFmtId="0" fontId="71" fillId="0" borderId="0" xfId="0" applyFont="1" applyAlignment="1">
      <alignment horizontal="center" vertical="top"/>
    </xf>
    <xf numFmtId="4" fontId="72" fillId="0" borderId="0" xfId="0" applyNumberFormat="1" applyFont="1" applyAlignment="1">
      <alignment horizontal="center" vertical="top"/>
    </xf>
    <xf numFmtId="49" fontId="26" fillId="0" borderId="23" xfId="0" applyNumberFormat="1" applyFont="1" applyBorder="1" applyAlignment="1">
      <alignment horizontal="center" vertical="top" wrapText="1"/>
    </xf>
    <xf numFmtId="49" fontId="26" fillId="0" borderId="26" xfId="0" applyNumberFormat="1" applyFont="1" applyBorder="1" applyAlignment="1">
      <alignment horizontal="left" vertical="top" wrapText="1"/>
    </xf>
    <xf numFmtId="49" fontId="29" fillId="0" borderId="26" xfId="0" quotePrefix="1" applyNumberFormat="1" applyFont="1" applyBorder="1" applyAlignment="1">
      <alignment horizontal="left" vertical="top"/>
    </xf>
    <xf numFmtId="0" fontId="29" fillId="0" borderId="0" xfId="0" applyFont="1" applyAlignment="1">
      <alignment vertical="top" wrapText="1"/>
    </xf>
    <xf numFmtId="0" fontId="29" fillId="0" borderId="0" xfId="0" applyFont="1" applyAlignment="1">
      <alignment wrapText="1"/>
    </xf>
    <xf numFmtId="0" fontId="29" fillId="0" borderId="26" xfId="0" applyFont="1" applyBorder="1" applyAlignment="1">
      <alignment horizontal="center" vertical="top"/>
    </xf>
    <xf numFmtId="4" fontId="26" fillId="0" borderId="24" xfId="0" applyNumberFormat="1" applyFont="1" applyBorder="1" applyAlignment="1">
      <alignment horizontal="center" vertical="top"/>
    </xf>
    <xf numFmtId="49" fontId="75" fillId="0" borderId="26" xfId="0" applyNumberFormat="1" applyFont="1" applyBorder="1" applyAlignment="1">
      <alignment horizontal="left" vertical="top" wrapText="1"/>
    </xf>
    <xf numFmtId="49" fontId="30" fillId="0" borderId="26" xfId="0" quotePrefix="1" applyNumberFormat="1" applyFont="1" applyBorder="1" applyAlignment="1">
      <alignment horizontal="left" vertical="top"/>
    </xf>
    <xf numFmtId="0" fontId="30" fillId="0" borderId="0" xfId="0" applyFont="1" applyAlignment="1">
      <alignment vertical="top" wrapText="1"/>
    </xf>
    <xf numFmtId="0" fontId="30" fillId="0" borderId="0" xfId="0" applyFont="1" applyAlignment="1">
      <alignment wrapText="1"/>
    </xf>
    <xf numFmtId="4" fontId="42" fillId="0" borderId="0" xfId="0" applyNumberFormat="1" applyFont="1" applyAlignment="1">
      <alignment horizontal="center" vertical="center"/>
    </xf>
    <xf numFmtId="4" fontId="42" fillId="0" borderId="0" xfId="0" applyNumberFormat="1" applyFont="1" applyAlignment="1">
      <alignment horizontal="center"/>
    </xf>
    <xf numFmtId="0" fontId="30" fillId="0" borderId="0" xfId="0" applyFont="1" applyAlignment="1">
      <alignment vertical="center" wrapText="1"/>
    </xf>
    <xf numFmtId="4" fontId="29" fillId="0" borderId="24" xfId="0" applyNumberFormat="1" applyFont="1" applyBorder="1" applyAlignment="1">
      <alignment horizontal="center" vertical="top"/>
    </xf>
    <xf numFmtId="0" fontId="78" fillId="0" borderId="26" xfId="0" applyFont="1" applyBorder="1" applyAlignment="1">
      <alignment horizontal="center" vertical="top"/>
    </xf>
    <xf numFmtId="4" fontId="7" fillId="0" borderId="0" xfId="0" applyNumberFormat="1" applyFont="1"/>
    <xf numFmtId="4" fontId="71" fillId="0" borderId="0" xfId="0" applyNumberFormat="1" applyFont="1" applyAlignment="1">
      <alignment horizontal="center" vertical="top" wrapText="1"/>
    </xf>
    <xf numFmtId="0" fontId="0" fillId="0" borderId="0" xfId="0"/>
    <xf numFmtId="49" fontId="19" fillId="0" borderId="2" xfId="0" applyNumberFormat="1" applyFont="1" applyBorder="1" applyAlignment="1">
      <alignment horizontal="center" vertical="center"/>
    </xf>
    <xf numFmtId="0" fontId="0" fillId="0" borderId="0" xfId="0" applyProtection="1"/>
    <xf numFmtId="0" fontId="0" fillId="0" borderId="0" xfId="0" applyAlignment="1" applyProtection="1">
      <alignment wrapText="1"/>
    </xf>
    <xf numFmtId="0" fontId="74" fillId="0" borderId="0" xfId="0" applyFont="1" applyProtection="1"/>
    <xf numFmtId="0" fontId="0" fillId="0" borderId="0" xfId="0" applyAlignment="1" applyProtection="1">
      <alignment horizontal="right"/>
    </xf>
    <xf numFmtId="0" fontId="0" fillId="0" borderId="0" xfId="0" applyAlignment="1" applyProtection="1">
      <alignment vertical="center"/>
    </xf>
    <xf numFmtId="0" fontId="9" fillId="0" borderId="0" xfId="0" applyFont="1" applyAlignment="1" applyProtection="1">
      <alignment wrapText="1"/>
    </xf>
    <xf numFmtId="0" fontId="3" fillId="2" borderId="1" xfId="1" applyBorder="1" applyAlignment="1" applyProtection="1">
      <alignment vertical="center"/>
    </xf>
    <xf numFmtId="0" fontId="3" fillId="2" borderId="1" xfId="1" applyBorder="1" applyAlignment="1" applyProtection="1">
      <alignment vertical="center" wrapText="1"/>
    </xf>
    <xf numFmtId="0" fontId="3" fillId="2" borderId="1" xfId="1" applyBorder="1" applyAlignment="1" applyProtection="1">
      <alignment horizontal="center" vertical="center"/>
    </xf>
    <xf numFmtId="0" fontId="1" fillId="0" borderId="6" xfId="0" applyFont="1" applyBorder="1" applyAlignment="1" applyProtection="1">
      <alignment horizontal="left" vertical="center"/>
    </xf>
    <xf numFmtId="0" fontId="1" fillId="0" borderId="6" xfId="0" applyFont="1" applyBorder="1" applyAlignment="1" applyProtection="1">
      <alignment horizontal="left" vertical="center" wrapText="1"/>
    </xf>
    <xf numFmtId="4" fontId="1" fillId="0" borderId="6" xfId="0" applyNumberFormat="1" applyFont="1" applyBorder="1" applyAlignment="1" applyProtection="1">
      <alignment horizontal="right" vertical="center"/>
    </xf>
    <xf numFmtId="4" fontId="5" fillId="0" borderId="6" xfId="0" applyNumberFormat="1" applyFont="1" applyBorder="1" applyAlignment="1" applyProtection="1">
      <alignment horizontal="right" vertical="center"/>
    </xf>
    <xf numFmtId="0" fontId="1" fillId="0" borderId="0" xfId="0" applyFont="1" applyAlignment="1" applyProtection="1">
      <alignment vertical="center"/>
    </xf>
    <xf numFmtId="4" fontId="1" fillId="0" borderId="7" xfId="0" applyNumberFormat="1" applyFont="1" applyBorder="1" applyAlignment="1" applyProtection="1">
      <alignment horizontal="right" vertical="center"/>
    </xf>
    <xf numFmtId="0" fontId="2" fillId="0" borderId="6" xfId="0" applyFont="1" applyBorder="1" applyAlignment="1" applyProtection="1">
      <alignment vertical="center"/>
    </xf>
    <xf numFmtId="0" fontId="2" fillId="0" borderId="10" xfId="0" applyFont="1" applyBorder="1" applyAlignment="1" applyProtection="1">
      <alignment vertical="center" wrapText="1"/>
    </xf>
    <xf numFmtId="4" fontId="2" fillId="4" borderId="12" xfId="0" applyNumberFormat="1" applyFont="1" applyFill="1" applyBorder="1" applyAlignment="1" applyProtection="1">
      <alignment horizontal="right" vertical="center"/>
    </xf>
    <xf numFmtId="4" fontId="2" fillId="0" borderId="13" xfId="0" applyNumberFormat="1" applyFont="1" applyBorder="1" applyAlignment="1" applyProtection="1">
      <alignment horizontal="right" vertical="center"/>
    </xf>
    <xf numFmtId="4" fontId="2" fillId="0" borderId="6" xfId="0" applyNumberFormat="1" applyFont="1" applyBorder="1" applyAlignment="1" applyProtection="1">
      <alignment horizontal="right" vertical="center"/>
    </xf>
    <xf numFmtId="0" fontId="2" fillId="0" borderId="0" xfId="0" applyFont="1" applyAlignment="1" applyProtection="1">
      <alignment vertical="center"/>
    </xf>
    <xf numFmtId="4" fontId="0" fillId="0" borderId="0" xfId="0" applyNumberFormat="1" applyProtection="1"/>
    <xf numFmtId="0" fontId="7" fillId="0" borderId="0" xfId="0" applyFont="1" applyProtection="1"/>
    <xf numFmtId="0" fontId="71" fillId="0" borderId="0" xfId="0" applyFont="1" applyAlignment="1" applyProtection="1">
      <alignment wrapText="1"/>
    </xf>
    <xf numFmtId="0" fontId="71" fillId="0" borderId="0" xfId="0" applyFont="1" applyProtection="1"/>
    <xf numFmtId="0" fontId="71" fillId="0" borderId="0" xfId="0" applyFont="1" applyAlignment="1" applyProtection="1">
      <alignment horizontal="right" vertical="center"/>
    </xf>
    <xf numFmtId="0" fontId="0" fillId="0" borderId="0" xfId="0" applyAlignment="1" applyProtection="1">
      <alignment vertical="center" wrapText="1"/>
    </xf>
    <xf numFmtId="0" fontId="9" fillId="0" borderId="0" xfId="0" applyFont="1" applyAlignment="1" applyProtection="1">
      <alignment vertical="center" wrapText="1"/>
    </xf>
    <xf numFmtId="0" fontId="0" fillId="0" borderId="0" xfId="0" applyAlignment="1" applyProtection="1">
      <alignment horizontal="right" vertical="center" wrapText="1"/>
    </xf>
    <xf numFmtId="0" fontId="30" fillId="0" borderId="0" xfId="0" applyFont="1" applyProtection="1"/>
    <xf numFmtId="0" fontId="4" fillId="2" borderId="1" xfId="2" applyBorder="1" applyAlignment="1" applyProtection="1">
      <alignment vertical="center" wrapText="1"/>
    </xf>
    <xf numFmtId="0" fontId="4" fillId="2" borderId="1" xfId="2" applyBorder="1" applyAlignment="1" applyProtection="1">
      <alignment horizontal="center" vertical="center" wrapText="1"/>
    </xf>
    <xf numFmtId="0" fontId="1" fillId="0" borderId="7" xfId="0" applyFont="1" applyBorder="1" applyAlignment="1" applyProtection="1">
      <alignment horizontal="left" vertical="center" wrapText="1"/>
    </xf>
    <xf numFmtId="164" fontId="1" fillId="0" borderId="6" xfId="0" applyNumberFormat="1" applyFont="1" applyBorder="1" applyAlignment="1" applyProtection="1">
      <alignment horizontal="right" vertical="center"/>
    </xf>
    <xf numFmtId="0" fontId="1" fillId="0" borderId="8" xfId="0" applyFont="1" applyBorder="1" applyAlignment="1" applyProtection="1">
      <alignment vertical="center" wrapText="1"/>
    </xf>
    <xf numFmtId="0" fontId="1" fillId="0" borderId="9" xfId="0" applyFont="1" applyBorder="1" applyAlignment="1" applyProtection="1">
      <alignment vertical="center" wrapText="1"/>
    </xf>
    <xf numFmtId="0" fontId="76" fillId="0" borderId="6" xfId="0" applyFont="1" applyBorder="1" applyAlignment="1" applyProtection="1">
      <alignment horizontal="left" vertical="center"/>
    </xf>
    <xf numFmtId="0" fontId="76" fillId="0" borderId="6" xfId="0" applyFont="1" applyBorder="1" applyAlignment="1" applyProtection="1">
      <alignment horizontal="left" vertical="center" wrapText="1"/>
    </xf>
    <xf numFmtId="164" fontId="76" fillId="0" borderId="6" xfId="0" applyNumberFormat="1" applyFont="1" applyBorder="1" applyAlignment="1" applyProtection="1">
      <alignment horizontal="right" vertical="center"/>
    </xf>
    <xf numFmtId="0" fontId="5" fillId="0" borderId="0" xfId="0" applyFont="1" applyAlignment="1" applyProtection="1">
      <alignment vertical="center"/>
    </xf>
    <xf numFmtId="164" fontId="76" fillId="0" borderId="0" xfId="0" applyNumberFormat="1" applyFont="1" applyAlignment="1" applyProtection="1">
      <alignment horizontal="right" vertical="center"/>
    </xf>
    <xf numFmtId="49" fontId="77" fillId="0" borderId="26" xfId="0" quotePrefix="1" applyNumberFormat="1" applyFont="1" applyBorder="1" applyAlignment="1" applyProtection="1">
      <alignment horizontal="left" vertical="top"/>
    </xf>
    <xf numFmtId="0" fontId="77" fillId="0" borderId="0" xfId="0" applyFont="1" applyAlignment="1" applyProtection="1">
      <alignment vertical="top" wrapText="1"/>
    </xf>
    <xf numFmtId="0" fontId="71" fillId="0" borderId="0" xfId="0" applyFont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 wrapText="1"/>
    </xf>
    <xf numFmtId="0" fontId="1" fillId="0" borderId="7" xfId="0" applyFont="1" applyBorder="1" applyAlignment="1" applyProtection="1">
      <alignment vertical="center" wrapText="1"/>
    </xf>
    <xf numFmtId="0" fontId="2" fillId="0" borderId="11" xfId="0" applyFont="1" applyBorder="1" applyAlignment="1" applyProtection="1">
      <alignment vertical="center"/>
    </xf>
    <xf numFmtId="0" fontId="2" fillId="0" borderId="11" xfId="0" applyFont="1" applyBorder="1" applyAlignment="1" applyProtection="1">
      <alignment vertical="center" wrapText="1"/>
    </xf>
    <xf numFmtId="4" fontId="2" fillId="4" borderId="6" xfId="0" applyNumberFormat="1" applyFont="1" applyFill="1" applyBorder="1" applyAlignment="1" applyProtection="1">
      <alignment horizontal="right" vertical="center"/>
    </xf>
    <xf numFmtId="0" fontId="2" fillId="0" borderId="14" xfId="0" applyFont="1" applyBorder="1" applyAlignment="1" applyProtection="1">
      <alignment vertical="center"/>
    </xf>
    <xf numFmtId="4" fontId="2" fillId="4" borderId="7" xfId="0" applyNumberFormat="1" applyFont="1" applyFill="1" applyBorder="1" applyAlignment="1" applyProtection="1">
      <alignment horizontal="right" vertical="center"/>
    </xf>
    <xf numFmtId="4" fontId="13" fillId="5" borderId="2" xfId="0" applyNumberFormat="1" applyFont="1" applyFill="1" applyBorder="1" applyAlignment="1" applyProtection="1">
      <alignment vertical="center"/>
    </xf>
    <xf numFmtId="4" fontId="12" fillId="5" borderId="2" xfId="0" applyNumberFormat="1" applyFont="1" applyFill="1" applyBorder="1" applyAlignment="1" applyProtection="1">
      <alignment vertical="center"/>
    </xf>
    <xf numFmtId="0" fontId="0" fillId="6" borderId="0" xfId="0" applyFill="1" applyProtection="1"/>
    <xf numFmtId="0" fontId="4" fillId="2" borderId="1" xfId="2" applyBorder="1" applyAlignment="1" applyProtection="1">
      <alignment vertical="center" wrapText="1"/>
    </xf>
    <xf numFmtId="0" fontId="4" fillId="2" borderId="43" xfId="2" applyBorder="1" applyAlignment="1" applyProtection="1">
      <alignment horizontal="left" vertical="center" wrapText="1"/>
    </xf>
    <xf numFmtId="0" fontId="4" fillId="2" borderId="44" xfId="2" applyBorder="1" applyAlignment="1" applyProtection="1">
      <alignment horizontal="left" vertical="center" wrapText="1"/>
    </xf>
    <xf numFmtId="0" fontId="13" fillId="0" borderId="15" xfId="0" applyFont="1" applyBorder="1" applyAlignment="1" applyProtection="1">
      <alignment horizontal="left" vertical="center"/>
    </xf>
    <xf numFmtId="0" fontId="13" fillId="0" borderId="16" xfId="0" applyFont="1" applyBorder="1" applyAlignment="1" applyProtection="1">
      <alignment horizontal="left" vertical="center"/>
    </xf>
    <xf numFmtId="0" fontId="13" fillId="0" borderId="17" xfId="0" applyFont="1" applyBorder="1" applyAlignment="1" applyProtection="1">
      <alignment horizontal="left" vertical="center"/>
    </xf>
    <xf numFmtId="0" fontId="12" fillId="0" borderId="15" xfId="0" applyFont="1" applyBorder="1" applyAlignment="1" applyProtection="1">
      <alignment horizontal="left" vertical="center"/>
    </xf>
    <xf numFmtId="0" fontId="12" fillId="0" borderId="16" xfId="0" applyFont="1" applyBorder="1" applyAlignment="1" applyProtection="1">
      <alignment horizontal="left" vertical="center"/>
    </xf>
    <xf numFmtId="0" fontId="12" fillId="0" borderId="17" xfId="0" applyFont="1" applyBorder="1" applyAlignment="1" applyProtection="1">
      <alignment horizontal="left" vertical="center"/>
    </xf>
    <xf numFmtId="4" fontId="71" fillId="0" borderId="0" xfId="0" applyNumberFormat="1" applyFont="1" applyAlignment="1">
      <alignment horizontal="center" vertical="top" wrapText="1"/>
    </xf>
    <xf numFmtId="0" fontId="0" fillId="0" borderId="0" xfId="0"/>
    <xf numFmtId="49" fontId="19" fillId="0" borderId="18" xfId="0" applyNumberFormat="1" applyFont="1" applyBorder="1" applyAlignment="1">
      <alignment horizontal="center" vertical="center" wrapText="1"/>
    </xf>
    <xf numFmtId="49" fontId="19" fillId="0" borderId="21" xfId="0" applyNumberFormat="1" applyFont="1" applyBorder="1" applyAlignment="1">
      <alignment horizontal="center" vertical="center" wrapText="1"/>
    </xf>
    <xf numFmtId="49" fontId="19" fillId="0" borderId="19" xfId="0" applyNumberFormat="1" applyFont="1" applyBorder="1" applyAlignment="1">
      <alignment horizontal="center" vertical="center"/>
    </xf>
    <xf numFmtId="49" fontId="19" fillId="0" borderId="49" xfId="0" applyNumberFormat="1" applyFont="1" applyBorder="1" applyAlignment="1">
      <alignment horizontal="center" vertical="center"/>
    </xf>
    <xf numFmtId="49" fontId="19" fillId="0" borderId="50" xfId="0" applyNumberFormat="1" applyFont="1" applyBorder="1" applyAlignment="1">
      <alignment horizontal="center" vertical="center"/>
    </xf>
    <xf numFmtId="49" fontId="19" fillId="0" borderId="51" xfId="0" applyNumberFormat="1" applyFont="1" applyBorder="1" applyAlignment="1">
      <alignment horizontal="center" vertical="center"/>
    </xf>
    <xf numFmtId="49" fontId="19" fillId="0" borderId="29" xfId="0" applyNumberFormat="1" applyFont="1" applyBorder="1" applyAlignment="1">
      <alignment horizontal="center" vertical="center"/>
    </xf>
    <xf numFmtId="49" fontId="19" fillId="0" borderId="47" xfId="0" applyNumberFormat="1" applyFont="1" applyBorder="1" applyAlignment="1">
      <alignment horizontal="center" vertical="top"/>
    </xf>
    <xf numFmtId="49" fontId="19" fillId="0" borderId="48" xfId="0" applyNumberFormat="1" applyFont="1" applyBorder="1" applyAlignment="1">
      <alignment horizontal="center" vertical="top"/>
    </xf>
    <xf numFmtId="4" fontId="19" fillId="0" borderId="45" xfId="0" applyNumberFormat="1" applyFont="1" applyBorder="1" applyAlignment="1">
      <alignment horizontal="center" vertical="top"/>
    </xf>
    <xf numFmtId="4" fontId="19" fillId="0" borderId="46" xfId="0" applyNumberFormat="1" applyFont="1" applyBorder="1" applyAlignment="1">
      <alignment horizontal="center" vertical="top"/>
    </xf>
    <xf numFmtId="49" fontId="19" fillId="0" borderId="2" xfId="0" applyNumberFormat="1" applyFont="1" applyBorder="1" applyAlignment="1">
      <alignment horizontal="center" vertical="center"/>
    </xf>
    <xf numFmtId="49" fontId="73" fillId="0" borderId="0" xfId="0" applyNumberFormat="1" applyFont="1" applyAlignment="1">
      <alignment horizontal="center" vertical="top" wrapText="1"/>
    </xf>
    <xf numFmtId="0" fontId="74" fillId="0" borderId="0" xfId="0" applyFont="1" applyAlignment="1">
      <alignment horizontal="center" vertical="top"/>
    </xf>
    <xf numFmtId="49" fontId="16" fillId="0" borderId="37" xfId="0" applyNumberFormat="1" applyFont="1" applyBorder="1" applyAlignment="1">
      <alignment horizontal="center" vertical="top" wrapText="1"/>
    </xf>
    <xf numFmtId="49" fontId="16" fillId="0" borderId="38" xfId="0" applyNumberFormat="1" applyFont="1" applyBorder="1" applyAlignment="1">
      <alignment horizontal="center" vertical="top" wrapText="1"/>
    </xf>
    <xf numFmtId="49" fontId="19" fillId="0" borderId="19" xfId="0" applyNumberFormat="1" applyFont="1" applyBorder="1" applyAlignment="1">
      <alignment horizontal="center" vertical="top"/>
    </xf>
    <xf numFmtId="49" fontId="19" fillId="0" borderId="2" xfId="0" applyNumberFormat="1" applyFont="1" applyBorder="1" applyAlignment="1">
      <alignment horizontal="center" vertical="top"/>
    </xf>
    <xf numFmtId="4" fontId="19" fillId="0" borderId="20" xfId="0" applyNumberFormat="1" applyFont="1" applyBorder="1" applyAlignment="1">
      <alignment horizontal="center" vertical="top"/>
    </xf>
    <xf numFmtId="4" fontId="19" fillId="0" borderId="22" xfId="0" applyNumberFormat="1" applyFont="1" applyBorder="1" applyAlignment="1">
      <alignment horizontal="center" vertical="top"/>
    </xf>
    <xf numFmtId="49" fontId="73" fillId="0" borderId="0" xfId="0" applyNumberFormat="1" applyFont="1" applyAlignment="1">
      <alignment horizontal="center" vertical="center" wrapText="1"/>
    </xf>
    <xf numFmtId="0" fontId="74" fillId="0" borderId="0" xfId="0" applyFont="1"/>
    <xf numFmtId="49" fontId="35" fillId="0" borderId="18" xfId="0" applyNumberFormat="1" applyFont="1" applyBorder="1" applyAlignment="1">
      <alignment horizontal="center" vertical="center" wrapText="1"/>
    </xf>
    <xf numFmtId="49" fontId="35" fillId="0" borderId="21" xfId="0" applyNumberFormat="1" applyFont="1" applyBorder="1" applyAlignment="1">
      <alignment horizontal="center" vertical="center" wrapText="1"/>
    </xf>
    <xf numFmtId="49" fontId="36" fillId="0" borderId="19" xfId="0" applyNumberFormat="1" applyFont="1" applyBorder="1" applyAlignment="1">
      <alignment horizontal="center" vertical="center"/>
    </xf>
    <xf numFmtId="49" fontId="36" fillId="0" borderId="39" xfId="0" applyNumberFormat="1" applyFont="1" applyBorder="1" applyAlignment="1">
      <alignment horizontal="center" vertical="center"/>
    </xf>
    <xf numFmtId="49" fontId="36" fillId="0" borderId="2" xfId="0" applyNumberFormat="1" applyFont="1" applyBorder="1" applyAlignment="1">
      <alignment horizontal="center" vertical="center"/>
    </xf>
    <xf numFmtId="49" fontId="36" fillId="0" borderId="15" xfId="0" applyNumberFormat="1" applyFont="1" applyBorder="1" applyAlignment="1">
      <alignment horizontal="center" vertical="center"/>
    </xf>
    <xf numFmtId="49" fontId="36" fillId="0" borderId="19" xfId="0" applyNumberFormat="1" applyFont="1" applyBorder="1" applyAlignment="1">
      <alignment horizontal="left" vertical="top"/>
    </xf>
    <xf numFmtId="49" fontId="36" fillId="0" borderId="2" xfId="0" applyNumberFormat="1" applyFont="1" applyBorder="1" applyAlignment="1">
      <alignment horizontal="left" vertical="top"/>
    </xf>
    <xf numFmtId="4" fontId="36" fillId="0" borderId="40" xfId="0" applyNumberFormat="1" applyFont="1" applyBorder="1" applyAlignment="1">
      <alignment horizontal="center" vertical="top"/>
    </xf>
    <xf numFmtId="4" fontId="36" fillId="0" borderId="4" xfId="0" applyNumberFormat="1" applyFont="1" applyBorder="1" applyAlignment="1">
      <alignment horizontal="center" vertical="top"/>
    </xf>
    <xf numFmtId="0" fontId="4" fillId="2" borderId="2" xfId="2" applyBorder="1" applyAlignment="1">
      <alignment vertical="center" wrapText="1"/>
    </xf>
    <xf numFmtId="0" fontId="30" fillId="0" borderId="0" xfId="0" applyFont="1" applyAlignment="1" applyProtection="1">
      <alignment horizontal="right"/>
    </xf>
    <xf numFmtId="0" fontId="79" fillId="0" borderId="0" xfId="0" applyFont="1" applyAlignment="1" applyProtection="1">
      <alignment horizontal="right" vertical="center"/>
    </xf>
    <xf numFmtId="0" fontId="30" fillId="0" borderId="0" xfId="0" applyFont="1" applyAlignment="1" applyProtection="1">
      <alignment vertical="center" wrapText="1"/>
    </xf>
    <xf numFmtId="4" fontId="30" fillId="0" borderId="0" xfId="0" applyNumberFormat="1" applyFont="1" applyAlignment="1">
      <alignment horizontal="center" vertical="top"/>
    </xf>
    <xf numFmtId="4" fontId="78" fillId="0" borderId="0" xfId="0" applyNumberFormat="1" applyFont="1" applyAlignment="1">
      <alignment horizontal="center" vertical="top"/>
    </xf>
  </cellXfs>
  <cellStyles count="3">
    <cellStyle name="Font_Ariel_Normal_Bold_BG_Gray" xfId="1" xr:uid="{2A879E89-5497-4FE1-9837-24010B0803F4}"/>
    <cellStyle name="Font_Ariel_Small_Bold_BG_Gray" xfId="2" xr:uid="{9B0DF589-18A3-4A42-891B-0128D3DB1C43}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file01\cenari\5300\40000\40000\ODBOR%20MOSTOV\Rekon&#353;trukcia%20mosta%20ev&#269;_R1-018%20V&#225;hovce_prav&#253;%20most\S&#250;&#357;a&#382;_2025_priprava\Podklady_pr&#237;prava_2025\2625_VAHOVCE-LM_PSO_E1_2_PODROBNY_VYKAZ_VYMER.xls" TargetMode="External"/><Relationship Id="rId1" Type="http://schemas.openxmlformats.org/officeDocument/2006/relationships/externalLinkPath" Target="file:///\\file01\cenari\5300\40000\40000\ODBOR%20MOSTOV\Rekon&#353;trukcia%20mosta%20ev&#269;_R1-018%20V&#225;hovce_prav&#253;%20most\S&#250;&#357;a&#382;_2025_priprava\Podklady_pr&#237;prava_2025\2625_VAHOVCE-LM_PSO_E1_2_PODROBNY_VYKAZ_VYME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001-00"/>
      <sheetName val="101-00"/>
      <sheetName val="201-00"/>
      <sheetName val="PopisPoloziek"/>
    </sheetNames>
    <sheetDataSet>
      <sheetData sheetId="0"/>
      <sheetData sheetId="1">
        <row r="54">
          <cell r="F54">
            <v>407.14</v>
          </cell>
        </row>
        <row r="139">
          <cell r="F139">
            <v>396</v>
          </cell>
        </row>
      </sheetData>
      <sheetData sheetId="2">
        <row r="131">
          <cell r="F131">
            <v>3769.77</v>
          </cell>
        </row>
        <row r="305">
          <cell r="F305">
            <v>15.8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  <a:ln w="2540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5E6FE4-18CB-4ED2-B12F-A038EF5BBE84}">
  <sheetPr>
    <pageSetUpPr fitToPage="1"/>
  </sheetPr>
  <dimension ref="B1:G17"/>
  <sheetViews>
    <sheetView showGridLines="0" tabSelected="1" topLeftCell="B1" zoomScaleNormal="100" workbookViewId="0">
      <selection activeCell="B15" sqref="B15:D17"/>
    </sheetView>
  </sheetViews>
  <sheetFormatPr defaultColWidth="8.7109375" defaultRowHeight="12.75"/>
  <cols>
    <col min="1" max="1" width="2.140625" style="408" customWidth="1"/>
    <col min="2" max="2" width="17.5703125" style="408" customWidth="1"/>
    <col min="3" max="3" width="19" style="408" customWidth="1"/>
    <col min="4" max="4" width="55.5703125" style="409" customWidth="1"/>
    <col min="5" max="5" width="17.42578125" style="408" customWidth="1"/>
    <col min="6" max="6" width="17.140625" style="408" customWidth="1"/>
    <col min="7" max="7" width="17.7109375" style="408" customWidth="1"/>
    <col min="8" max="16384" width="8.7109375" style="408"/>
  </cols>
  <sheetData>
    <row r="1" spans="2:7">
      <c r="E1" s="410"/>
      <c r="G1" s="411" t="s">
        <v>1487</v>
      </c>
    </row>
    <row r="2" spans="2:7">
      <c r="E2" s="410"/>
      <c r="G2" s="506" t="s">
        <v>1513</v>
      </c>
    </row>
    <row r="3" spans="2:7" ht="25.5">
      <c r="B3" s="412" t="s">
        <v>377</v>
      </c>
      <c r="D3" s="413" t="s">
        <v>379</v>
      </c>
      <c r="G3" s="411" t="s">
        <v>378</v>
      </c>
    </row>
    <row r="5" spans="2:7" ht="15" customHeight="1">
      <c r="B5" s="414" t="s">
        <v>0</v>
      </c>
      <c r="C5" s="414" t="s">
        <v>1</v>
      </c>
      <c r="D5" s="415" t="s">
        <v>2</v>
      </c>
      <c r="E5" s="416" t="s">
        <v>3</v>
      </c>
      <c r="F5" s="416" t="s">
        <v>4</v>
      </c>
      <c r="G5" s="416" t="s">
        <v>5</v>
      </c>
    </row>
    <row r="6" spans="2:7" s="421" customFormat="1" ht="15" customHeight="1">
      <c r="B6" s="417" t="s">
        <v>6</v>
      </c>
      <c r="C6" s="417" t="s">
        <v>7</v>
      </c>
      <c r="D6" s="418" t="s">
        <v>8</v>
      </c>
      <c r="E6" s="419">
        <f>CastiStavby!J17</f>
        <v>0</v>
      </c>
      <c r="F6" s="420">
        <f>ROUND(E6*0.23,2)</f>
        <v>0</v>
      </c>
      <c r="G6" s="420">
        <f>ROUND(E6+F6,2)</f>
        <v>0</v>
      </c>
    </row>
    <row r="7" spans="2:7" s="421" customFormat="1" ht="15" customHeight="1">
      <c r="B7" s="417" t="s">
        <v>9</v>
      </c>
      <c r="C7" s="417" t="s">
        <v>7</v>
      </c>
      <c r="D7" s="418" t="s">
        <v>10</v>
      </c>
      <c r="E7" s="419">
        <f>CastiStavby!J63</f>
        <v>0</v>
      </c>
      <c r="F7" s="420">
        <f>ROUND(E7*0.23,2)</f>
        <v>0</v>
      </c>
      <c r="G7" s="420">
        <f>ROUND(E7+F7,2)</f>
        <v>0</v>
      </c>
    </row>
    <row r="8" spans="2:7" s="421" customFormat="1" ht="15" customHeight="1" thickBot="1">
      <c r="B8" s="417" t="s">
        <v>11</v>
      </c>
      <c r="C8" s="417" t="s">
        <v>7</v>
      </c>
      <c r="D8" s="418" t="s">
        <v>12</v>
      </c>
      <c r="E8" s="422">
        <f>CastiStavby!J175</f>
        <v>0</v>
      </c>
      <c r="F8" s="420">
        <f>ROUND(E8*0.23,2)</f>
        <v>0</v>
      </c>
      <c r="G8" s="420">
        <f>ROUND(E8+F8,2)</f>
        <v>0</v>
      </c>
    </row>
    <row r="9" spans="2:7" s="428" customFormat="1" ht="15" customHeight="1" thickBot="1">
      <c r="B9" s="423" t="s">
        <v>13</v>
      </c>
      <c r="C9" s="423"/>
      <c r="D9" s="424"/>
      <c r="E9" s="425">
        <f>SUM(E6:E8)</f>
        <v>0</v>
      </c>
      <c r="F9" s="426">
        <f>SUM(F6:F8)</f>
        <v>0</v>
      </c>
      <c r="G9" s="427">
        <f>SUM(G6:G8)</f>
        <v>0</v>
      </c>
    </row>
    <row r="10" spans="2:7">
      <c r="F10" s="429"/>
      <c r="G10" s="429"/>
    </row>
    <row r="11" spans="2:7">
      <c r="G11" s="429"/>
    </row>
    <row r="12" spans="2:7">
      <c r="F12" s="429"/>
      <c r="G12" s="429"/>
    </row>
    <row r="15" spans="2:7" ht="15">
      <c r="B15" s="8" t="s">
        <v>389</v>
      </c>
      <c r="C15" s="9"/>
      <c r="D15" s="8" t="s">
        <v>390</v>
      </c>
      <c r="E15" s="430"/>
    </row>
    <row r="16" spans="2:7" ht="15">
      <c r="B16" s="9"/>
      <c r="C16" s="9"/>
      <c r="D16" s="8" t="s">
        <v>391</v>
      </c>
      <c r="E16" s="430"/>
    </row>
    <row r="17" spans="2:5" ht="15">
      <c r="B17" s="9"/>
      <c r="C17" s="9"/>
      <c r="D17" s="8" t="s">
        <v>392</v>
      </c>
      <c r="E17" s="430"/>
    </row>
  </sheetData>
  <sheetProtection algorithmName="SHA-512" hashValue="JE8FF27dQn9jI8V6R3pSi/bfUnOFRoSeN+gE5XHTKlBVppNxFtr5xFwG39BOtZzTx6TGATG3mb36X2BPIFhy3g==" saltValue="Iri6w2R1K8yFcZjfLmrhYg==" spinCount="100000" sheet="1" objects="1" scenarios="1"/>
  <pageMargins left="0.7" right="0.7" top="0.75" bottom="0.75" header="0.3" footer="0.3"/>
  <pageSetup paperSize="9" scale="90" orientation="landscape" errors="blank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B60907-B69F-45BE-8382-F10AFA9D6374}">
  <sheetPr>
    <tabColor theme="0"/>
    <pageSetUpPr fitToPage="1"/>
  </sheetPr>
  <dimension ref="A1:P169"/>
  <sheetViews>
    <sheetView showGridLines="0" zoomScaleNormal="100" workbookViewId="0">
      <selection activeCell="F16" sqref="F16"/>
    </sheetView>
  </sheetViews>
  <sheetFormatPr defaultColWidth="8.7109375" defaultRowHeight="12.75"/>
  <cols>
    <col min="1" max="1" width="2.140625" style="408" customWidth="1"/>
    <col min="2" max="2" width="24.85546875" style="409" customWidth="1"/>
    <col min="3" max="3" width="12.28515625" style="408" customWidth="1"/>
    <col min="4" max="4" width="12.140625" style="408" customWidth="1"/>
    <col min="5" max="5" width="48.140625" style="409" customWidth="1"/>
    <col min="6" max="6" width="4.5703125" style="408" customWidth="1"/>
    <col min="7" max="7" width="11.85546875" style="408" customWidth="1"/>
    <col min="8" max="8" width="0.7109375" style="408" customWidth="1"/>
    <col min="9" max="9" width="19.7109375" style="408" customWidth="1"/>
    <col min="10" max="10" width="15.28515625" style="408" hidden="1" customWidth="1"/>
    <col min="11" max="11" width="15.140625" style="408" hidden="1" customWidth="1"/>
    <col min="12" max="16384" width="8.7109375" style="408"/>
  </cols>
  <sheetData>
    <row r="1" spans="1:13" ht="22.15" customHeight="1">
      <c r="E1" s="431"/>
      <c r="F1" s="432"/>
      <c r="G1" s="432"/>
      <c r="H1" s="432"/>
      <c r="I1" s="433" t="s">
        <v>1487</v>
      </c>
    </row>
    <row r="2" spans="1:13" ht="22.15" customHeight="1">
      <c r="E2" s="431"/>
      <c r="F2" s="432"/>
      <c r="G2" s="432"/>
      <c r="H2" s="432"/>
      <c r="I2" s="507" t="s">
        <v>1513</v>
      </c>
    </row>
    <row r="3" spans="1:13" ht="29.65" customHeight="1">
      <c r="A3" s="434"/>
      <c r="B3" s="412" t="s">
        <v>377</v>
      </c>
      <c r="C3" s="434"/>
      <c r="D3" s="434"/>
      <c r="E3" s="435" t="s">
        <v>379</v>
      </c>
      <c r="F3" s="434"/>
      <c r="G3" s="434"/>
      <c r="H3" s="434"/>
      <c r="I3" s="436" t="s">
        <v>380</v>
      </c>
      <c r="J3" s="434"/>
      <c r="K3" s="434"/>
      <c r="M3" s="437"/>
    </row>
    <row r="4" spans="1:13">
      <c r="A4" s="434"/>
      <c r="B4" s="434"/>
      <c r="C4" s="434"/>
      <c r="D4" s="434"/>
      <c r="E4" s="434"/>
      <c r="F4" s="434"/>
      <c r="G4" s="434"/>
      <c r="H4" s="434"/>
      <c r="I4" s="434"/>
      <c r="J4" s="434"/>
      <c r="K4" s="434"/>
    </row>
    <row r="5" spans="1:13">
      <c r="A5" s="434"/>
      <c r="B5" s="438" t="s">
        <v>14</v>
      </c>
      <c r="C5" s="462" t="s">
        <v>15</v>
      </c>
      <c r="D5" s="462"/>
      <c r="E5" s="438" t="s">
        <v>16</v>
      </c>
      <c r="F5" s="438" t="s">
        <v>17</v>
      </c>
      <c r="G5" s="438" t="s">
        <v>18</v>
      </c>
      <c r="H5" s="434"/>
      <c r="I5" s="439" t="s">
        <v>19</v>
      </c>
      <c r="J5" s="439" t="s">
        <v>4</v>
      </c>
      <c r="K5" s="439" t="s">
        <v>20</v>
      </c>
    </row>
    <row r="6" spans="1:13" s="421" customFormat="1" ht="27">
      <c r="B6" s="440" t="s">
        <v>21</v>
      </c>
      <c r="C6" s="417" t="s">
        <v>22</v>
      </c>
      <c r="D6" s="417" t="s">
        <v>23</v>
      </c>
      <c r="E6" s="418" t="s">
        <v>24</v>
      </c>
      <c r="F6" s="417" t="s">
        <v>25</v>
      </c>
      <c r="G6" s="441">
        <v>1</v>
      </c>
      <c r="I6" s="2"/>
      <c r="J6" s="419">
        <f t="shared" ref="J6:J37" si="0">I6*0.23</f>
        <v>0</v>
      </c>
      <c r="K6" s="419">
        <f t="shared" ref="K6:K37" si="1">I6+J6</f>
        <v>0</v>
      </c>
    </row>
    <row r="7" spans="1:13" s="421" customFormat="1" ht="13.5">
      <c r="B7" s="442"/>
      <c r="C7" s="417" t="s">
        <v>22</v>
      </c>
      <c r="D7" s="417" t="s">
        <v>26</v>
      </c>
      <c r="E7" s="418" t="s">
        <v>27</v>
      </c>
      <c r="F7" s="417" t="s">
        <v>25</v>
      </c>
      <c r="G7" s="441">
        <v>1</v>
      </c>
      <c r="I7" s="2"/>
      <c r="J7" s="419">
        <f t="shared" si="0"/>
        <v>0</v>
      </c>
      <c r="K7" s="419">
        <f t="shared" si="1"/>
        <v>0</v>
      </c>
    </row>
    <row r="8" spans="1:13" s="421" customFormat="1" ht="27">
      <c r="B8" s="442"/>
      <c r="C8" s="417" t="s">
        <v>22</v>
      </c>
      <c r="D8" s="417" t="s">
        <v>28</v>
      </c>
      <c r="E8" s="418" t="s">
        <v>29</v>
      </c>
      <c r="F8" s="417" t="s">
        <v>30</v>
      </c>
      <c r="G8" s="441">
        <v>4176.91</v>
      </c>
      <c r="I8" s="2"/>
      <c r="J8" s="419">
        <f t="shared" si="0"/>
        <v>0</v>
      </c>
      <c r="K8" s="419">
        <f t="shared" si="1"/>
        <v>0</v>
      </c>
    </row>
    <row r="9" spans="1:13" s="421" customFormat="1" ht="13.5">
      <c r="B9" s="442"/>
      <c r="C9" s="417" t="s">
        <v>22</v>
      </c>
      <c r="D9" s="417" t="s">
        <v>31</v>
      </c>
      <c r="E9" s="418" t="s">
        <v>32</v>
      </c>
      <c r="F9" s="417" t="s">
        <v>33</v>
      </c>
      <c r="G9" s="441">
        <v>411.8</v>
      </c>
      <c r="I9" s="2"/>
      <c r="J9" s="419">
        <f t="shared" si="0"/>
        <v>0</v>
      </c>
      <c r="K9" s="419">
        <f t="shared" si="1"/>
        <v>0</v>
      </c>
    </row>
    <row r="10" spans="1:13" s="421" customFormat="1" ht="27">
      <c r="B10" s="442"/>
      <c r="C10" s="417" t="s">
        <v>22</v>
      </c>
      <c r="D10" s="417" t="s">
        <v>34</v>
      </c>
      <c r="E10" s="418" t="s">
        <v>35</v>
      </c>
      <c r="F10" s="417" t="s">
        <v>33</v>
      </c>
      <c r="G10" s="441">
        <v>10</v>
      </c>
      <c r="I10" s="2"/>
      <c r="J10" s="419">
        <f t="shared" si="0"/>
        <v>0</v>
      </c>
      <c r="K10" s="419">
        <f t="shared" si="1"/>
        <v>0</v>
      </c>
    </row>
    <row r="11" spans="1:13" s="421" customFormat="1" ht="13.5">
      <c r="B11" s="442"/>
      <c r="C11" s="417" t="s">
        <v>22</v>
      </c>
      <c r="D11" s="417" t="s">
        <v>36</v>
      </c>
      <c r="E11" s="418" t="s">
        <v>37</v>
      </c>
      <c r="F11" s="417" t="s">
        <v>25</v>
      </c>
      <c r="G11" s="441">
        <v>1</v>
      </c>
      <c r="I11" s="2"/>
      <c r="J11" s="419">
        <f t="shared" si="0"/>
        <v>0</v>
      </c>
      <c r="K11" s="419">
        <f t="shared" si="1"/>
        <v>0</v>
      </c>
    </row>
    <row r="12" spans="1:13" s="421" customFormat="1" ht="27">
      <c r="B12" s="442"/>
      <c r="C12" s="417" t="s">
        <v>22</v>
      </c>
      <c r="D12" s="417" t="s">
        <v>38</v>
      </c>
      <c r="E12" s="418" t="s">
        <v>39</v>
      </c>
      <c r="F12" s="417" t="s">
        <v>25</v>
      </c>
      <c r="G12" s="441">
        <v>1</v>
      </c>
      <c r="I12" s="2"/>
      <c r="J12" s="419">
        <f t="shared" si="0"/>
        <v>0</v>
      </c>
      <c r="K12" s="419">
        <f t="shared" si="1"/>
        <v>0</v>
      </c>
    </row>
    <row r="13" spans="1:13" s="421" customFormat="1" ht="27">
      <c r="B13" s="442"/>
      <c r="C13" s="417" t="s">
        <v>22</v>
      </c>
      <c r="D13" s="417" t="s">
        <v>40</v>
      </c>
      <c r="E13" s="418" t="s">
        <v>41</v>
      </c>
      <c r="F13" s="417" t="s">
        <v>25</v>
      </c>
      <c r="G13" s="441">
        <v>1</v>
      </c>
      <c r="I13" s="2"/>
      <c r="J13" s="419">
        <f t="shared" si="0"/>
        <v>0</v>
      </c>
      <c r="K13" s="419">
        <f t="shared" si="1"/>
        <v>0</v>
      </c>
    </row>
    <row r="14" spans="1:13" s="421" customFormat="1" ht="27">
      <c r="B14" s="442"/>
      <c r="C14" s="417" t="s">
        <v>22</v>
      </c>
      <c r="D14" s="417" t="s">
        <v>42</v>
      </c>
      <c r="E14" s="418" t="s">
        <v>43</v>
      </c>
      <c r="F14" s="417" t="s">
        <v>44</v>
      </c>
      <c r="G14" s="441">
        <v>10536.67</v>
      </c>
      <c r="I14" s="2"/>
      <c r="J14" s="419">
        <f t="shared" si="0"/>
        <v>0</v>
      </c>
      <c r="K14" s="419">
        <f t="shared" si="1"/>
        <v>0</v>
      </c>
    </row>
    <row r="15" spans="1:13" s="421" customFormat="1" ht="27">
      <c r="B15" s="442"/>
      <c r="C15" s="417" t="s">
        <v>22</v>
      </c>
      <c r="D15" s="417" t="s">
        <v>45</v>
      </c>
      <c r="E15" s="418" t="s">
        <v>46</v>
      </c>
      <c r="F15" s="417" t="s">
        <v>44</v>
      </c>
      <c r="G15" s="441">
        <v>34659</v>
      </c>
      <c r="I15" s="2"/>
      <c r="J15" s="419">
        <f t="shared" si="0"/>
        <v>0</v>
      </c>
      <c r="K15" s="419">
        <f t="shared" si="1"/>
        <v>0</v>
      </c>
    </row>
    <row r="16" spans="1:13" s="421" customFormat="1" ht="27">
      <c r="B16" s="442"/>
      <c r="C16" s="417" t="s">
        <v>22</v>
      </c>
      <c r="D16" s="417" t="s">
        <v>47</v>
      </c>
      <c r="E16" s="418" t="s">
        <v>48</v>
      </c>
      <c r="F16" s="417" t="s">
        <v>25</v>
      </c>
      <c r="G16" s="441">
        <v>1</v>
      </c>
      <c r="I16" s="2"/>
      <c r="J16" s="419">
        <f t="shared" si="0"/>
        <v>0</v>
      </c>
      <c r="K16" s="419">
        <f t="shared" si="1"/>
        <v>0</v>
      </c>
    </row>
    <row r="17" spans="2:11" s="421" customFormat="1" ht="13.5">
      <c r="B17" s="442"/>
      <c r="C17" s="417" t="s">
        <v>22</v>
      </c>
      <c r="D17" s="417" t="s">
        <v>49</v>
      </c>
      <c r="E17" s="418" t="s">
        <v>50</v>
      </c>
      <c r="F17" s="417" t="s">
        <v>51</v>
      </c>
      <c r="G17" s="441">
        <v>850</v>
      </c>
      <c r="I17" s="2"/>
      <c r="J17" s="419">
        <f t="shared" si="0"/>
        <v>0</v>
      </c>
      <c r="K17" s="419">
        <f t="shared" si="1"/>
        <v>0</v>
      </c>
    </row>
    <row r="18" spans="2:11" s="421" customFormat="1" ht="13.5">
      <c r="B18" s="443"/>
      <c r="C18" s="417" t="s">
        <v>22</v>
      </c>
      <c r="D18" s="417" t="s">
        <v>52</v>
      </c>
      <c r="E18" s="418" t="s">
        <v>53</v>
      </c>
      <c r="F18" s="417" t="s">
        <v>25</v>
      </c>
      <c r="G18" s="441">
        <v>1</v>
      </c>
      <c r="I18" s="2"/>
      <c r="J18" s="419">
        <f t="shared" si="0"/>
        <v>0</v>
      </c>
      <c r="K18" s="419">
        <f t="shared" si="1"/>
        <v>0</v>
      </c>
    </row>
    <row r="19" spans="2:11" s="421" customFormat="1" ht="13.5">
      <c r="B19" s="440" t="s">
        <v>54</v>
      </c>
      <c r="C19" s="417" t="s">
        <v>55</v>
      </c>
      <c r="D19" s="417" t="s">
        <v>56</v>
      </c>
      <c r="E19" s="418" t="s">
        <v>57</v>
      </c>
      <c r="F19" s="417" t="s">
        <v>33</v>
      </c>
      <c r="G19" s="441">
        <v>23.76</v>
      </c>
      <c r="I19" s="2"/>
      <c r="J19" s="419">
        <f t="shared" si="0"/>
        <v>0</v>
      </c>
      <c r="K19" s="419">
        <f t="shared" si="1"/>
        <v>0</v>
      </c>
    </row>
    <row r="20" spans="2:11" s="421" customFormat="1" ht="27">
      <c r="B20" s="442"/>
      <c r="C20" s="417" t="s">
        <v>55</v>
      </c>
      <c r="D20" s="417" t="s">
        <v>58</v>
      </c>
      <c r="E20" s="418" t="s">
        <v>59</v>
      </c>
      <c r="F20" s="417" t="s">
        <v>33</v>
      </c>
      <c r="G20" s="441">
        <v>38.39</v>
      </c>
      <c r="I20" s="2"/>
      <c r="J20" s="419">
        <f t="shared" si="0"/>
        <v>0</v>
      </c>
      <c r="K20" s="419">
        <f t="shared" si="1"/>
        <v>0</v>
      </c>
    </row>
    <row r="21" spans="2:11" s="421" customFormat="1" ht="27">
      <c r="B21" s="442"/>
      <c r="C21" s="417" t="s">
        <v>55</v>
      </c>
      <c r="D21" s="417" t="s">
        <v>60</v>
      </c>
      <c r="E21" s="418" t="s">
        <v>61</v>
      </c>
      <c r="F21" s="417" t="s">
        <v>33</v>
      </c>
      <c r="G21" s="441">
        <v>601.29999999999995</v>
      </c>
      <c r="I21" s="2"/>
      <c r="J21" s="419">
        <f t="shared" si="0"/>
        <v>0</v>
      </c>
      <c r="K21" s="419">
        <f t="shared" si="1"/>
        <v>0</v>
      </c>
    </row>
    <row r="22" spans="2:11" s="421" customFormat="1" ht="27">
      <c r="B22" s="442"/>
      <c r="C22" s="417" t="s">
        <v>55</v>
      </c>
      <c r="D22" s="417" t="s">
        <v>62</v>
      </c>
      <c r="E22" s="418" t="s">
        <v>63</v>
      </c>
      <c r="F22" s="417" t="s">
        <v>33</v>
      </c>
      <c r="G22" s="441">
        <v>740.73</v>
      </c>
      <c r="I22" s="2"/>
      <c r="J22" s="419">
        <f t="shared" si="0"/>
        <v>0</v>
      </c>
      <c r="K22" s="419">
        <f t="shared" si="1"/>
        <v>0</v>
      </c>
    </row>
    <row r="23" spans="2:11" s="421" customFormat="1" ht="27">
      <c r="B23" s="442"/>
      <c r="C23" s="417" t="s">
        <v>55</v>
      </c>
      <c r="D23" s="417">
        <v>5010814</v>
      </c>
      <c r="E23" s="418" t="s">
        <v>65</v>
      </c>
      <c r="F23" s="417" t="s">
        <v>44</v>
      </c>
      <c r="G23" s="441">
        <v>71.069999999999993</v>
      </c>
      <c r="I23" s="2"/>
      <c r="J23" s="419">
        <f t="shared" si="0"/>
        <v>0</v>
      </c>
      <c r="K23" s="419">
        <f t="shared" si="1"/>
        <v>0</v>
      </c>
    </row>
    <row r="24" spans="2:11" s="421" customFormat="1" ht="13.5">
      <c r="B24" s="442"/>
      <c r="C24" s="417" t="s">
        <v>55</v>
      </c>
      <c r="D24" s="417" t="s">
        <v>66</v>
      </c>
      <c r="E24" s="418" t="s">
        <v>67</v>
      </c>
      <c r="F24" s="417" t="s">
        <v>44</v>
      </c>
      <c r="G24" s="441">
        <v>7171.06</v>
      </c>
      <c r="I24" s="2"/>
      <c r="J24" s="419">
        <f t="shared" si="0"/>
        <v>0</v>
      </c>
      <c r="K24" s="419">
        <f t="shared" si="1"/>
        <v>0</v>
      </c>
    </row>
    <row r="25" spans="2:11" s="421" customFormat="1" ht="27">
      <c r="B25" s="442"/>
      <c r="C25" s="417" t="s">
        <v>55</v>
      </c>
      <c r="D25" s="417" t="s">
        <v>68</v>
      </c>
      <c r="E25" s="418" t="s">
        <v>69</v>
      </c>
      <c r="F25" s="417" t="s">
        <v>51</v>
      </c>
      <c r="G25" s="441">
        <v>23.74</v>
      </c>
      <c r="I25" s="2"/>
      <c r="J25" s="419">
        <f t="shared" si="0"/>
        <v>0</v>
      </c>
      <c r="K25" s="419">
        <f t="shared" si="1"/>
        <v>0</v>
      </c>
    </row>
    <row r="26" spans="2:11" s="421" customFormat="1" ht="13.5">
      <c r="B26" s="442"/>
      <c r="C26" s="417" t="s">
        <v>55</v>
      </c>
      <c r="D26" s="417" t="s">
        <v>70</v>
      </c>
      <c r="E26" s="418" t="s">
        <v>71</v>
      </c>
      <c r="F26" s="417" t="s">
        <v>72</v>
      </c>
      <c r="G26" s="441">
        <v>1800</v>
      </c>
      <c r="I26" s="2"/>
      <c r="J26" s="419">
        <f t="shared" si="0"/>
        <v>0</v>
      </c>
      <c r="K26" s="419">
        <f t="shared" si="1"/>
        <v>0</v>
      </c>
    </row>
    <row r="27" spans="2:11" s="421" customFormat="1" ht="27">
      <c r="B27" s="442"/>
      <c r="C27" s="417" t="s">
        <v>55</v>
      </c>
      <c r="D27" s="417" t="s">
        <v>73</v>
      </c>
      <c r="E27" s="418" t="s">
        <v>74</v>
      </c>
      <c r="F27" s="417" t="s">
        <v>72</v>
      </c>
      <c r="G27" s="441">
        <v>122</v>
      </c>
      <c r="I27" s="2"/>
      <c r="J27" s="419">
        <f t="shared" si="0"/>
        <v>0</v>
      </c>
      <c r="K27" s="419">
        <f t="shared" si="1"/>
        <v>0</v>
      </c>
    </row>
    <row r="28" spans="2:11" s="421" customFormat="1" ht="27">
      <c r="B28" s="442"/>
      <c r="C28" s="417" t="s">
        <v>55</v>
      </c>
      <c r="D28" s="417" t="s">
        <v>75</v>
      </c>
      <c r="E28" s="418" t="s">
        <v>76</v>
      </c>
      <c r="F28" s="417" t="s">
        <v>72</v>
      </c>
      <c r="G28" s="441">
        <v>128</v>
      </c>
      <c r="I28" s="2"/>
      <c r="J28" s="419">
        <f t="shared" si="0"/>
        <v>0</v>
      </c>
      <c r="K28" s="419">
        <f t="shared" si="1"/>
        <v>0</v>
      </c>
    </row>
    <row r="29" spans="2:11" s="421" customFormat="1" ht="27">
      <c r="B29" s="442"/>
      <c r="C29" s="417" t="s">
        <v>55</v>
      </c>
      <c r="D29" s="417" t="s">
        <v>77</v>
      </c>
      <c r="E29" s="418" t="s">
        <v>78</v>
      </c>
      <c r="F29" s="417" t="s">
        <v>44</v>
      </c>
      <c r="G29" s="441">
        <v>733.27</v>
      </c>
      <c r="I29" s="2"/>
      <c r="J29" s="419">
        <f t="shared" si="0"/>
        <v>0</v>
      </c>
      <c r="K29" s="419">
        <f t="shared" si="1"/>
        <v>0</v>
      </c>
    </row>
    <row r="30" spans="2:11" s="421" customFormat="1" ht="27">
      <c r="B30" s="442"/>
      <c r="C30" s="417" t="s">
        <v>55</v>
      </c>
      <c r="D30" s="417" t="s">
        <v>79</v>
      </c>
      <c r="E30" s="418" t="s">
        <v>80</v>
      </c>
      <c r="F30" s="417" t="s">
        <v>44</v>
      </c>
      <c r="G30" s="441">
        <v>31.5</v>
      </c>
      <c r="I30" s="2"/>
      <c r="J30" s="419">
        <f t="shared" si="0"/>
        <v>0</v>
      </c>
      <c r="K30" s="419">
        <f t="shared" si="1"/>
        <v>0</v>
      </c>
    </row>
    <row r="31" spans="2:11" s="421" customFormat="1" ht="27">
      <c r="B31" s="442"/>
      <c r="C31" s="417" t="s">
        <v>55</v>
      </c>
      <c r="D31" s="417" t="s">
        <v>81</v>
      </c>
      <c r="E31" s="418" t="s">
        <v>82</v>
      </c>
      <c r="F31" s="417" t="s">
        <v>44</v>
      </c>
      <c r="G31" s="441">
        <v>503.48</v>
      </c>
      <c r="I31" s="2"/>
      <c r="J31" s="419">
        <f t="shared" si="0"/>
        <v>0</v>
      </c>
      <c r="K31" s="419">
        <f t="shared" si="1"/>
        <v>0</v>
      </c>
    </row>
    <row r="32" spans="2:11" s="421" customFormat="1" ht="27">
      <c r="B32" s="442"/>
      <c r="C32" s="417" t="s">
        <v>55</v>
      </c>
      <c r="D32" s="417" t="s">
        <v>83</v>
      </c>
      <c r="E32" s="418" t="s">
        <v>84</v>
      </c>
      <c r="F32" s="417" t="s">
        <v>44</v>
      </c>
      <c r="G32" s="441">
        <v>450</v>
      </c>
      <c r="I32" s="2"/>
      <c r="J32" s="419">
        <f t="shared" si="0"/>
        <v>0</v>
      </c>
      <c r="K32" s="419">
        <f t="shared" si="1"/>
        <v>0</v>
      </c>
    </row>
    <row r="33" spans="2:16" s="421" customFormat="1" ht="40.5">
      <c r="B33" s="442"/>
      <c r="C33" s="417" t="s">
        <v>55</v>
      </c>
      <c r="D33" s="417" t="s">
        <v>85</v>
      </c>
      <c r="E33" s="418" t="s">
        <v>384</v>
      </c>
      <c r="F33" s="417" t="s">
        <v>51</v>
      </c>
      <c r="G33" s="441">
        <v>80</v>
      </c>
      <c r="I33" s="2"/>
      <c r="J33" s="419">
        <f t="shared" si="0"/>
        <v>0</v>
      </c>
      <c r="K33" s="419">
        <f t="shared" si="1"/>
        <v>0</v>
      </c>
    </row>
    <row r="34" spans="2:16" s="421" customFormat="1" ht="27">
      <c r="B34" s="442"/>
      <c r="C34" s="417" t="s">
        <v>55</v>
      </c>
      <c r="D34" s="417" t="s">
        <v>87</v>
      </c>
      <c r="E34" s="418" t="s">
        <v>88</v>
      </c>
      <c r="F34" s="417" t="s">
        <v>51</v>
      </c>
      <c r="G34" s="441">
        <v>2275.8000000000002</v>
      </c>
      <c r="I34" s="2"/>
      <c r="J34" s="419">
        <f t="shared" si="0"/>
        <v>0</v>
      </c>
      <c r="K34" s="419">
        <f t="shared" si="1"/>
        <v>0</v>
      </c>
    </row>
    <row r="35" spans="2:16" s="421" customFormat="1" ht="27">
      <c r="B35" s="442"/>
      <c r="C35" s="417" t="s">
        <v>55</v>
      </c>
      <c r="D35" s="417" t="s">
        <v>89</v>
      </c>
      <c r="E35" s="418" t="s">
        <v>90</v>
      </c>
      <c r="F35" s="417" t="s">
        <v>72</v>
      </c>
      <c r="G35" s="441">
        <v>9</v>
      </c>
      <c r="I35" s="2"/>
      <c r="J35" s="419">
        <f t="shared" si="0"/>
        <v>0</v>
      </c>
      <c r="K35" s="419">
        <f t="shared" si="1"/>
        <v>0</v>
      </c>
    </row>
    <row r="36" spans="2:16" s="421" customFormat="1" ht="13.5">
      <c r="B36" s="442"/>
      <c r="C36" s="417" t="s">
        <v>55</v>
      </c>
      <c r="D36" s="417" t="s">
        <v>91</v>
      </c>
      <c r="E36" s="418" t="s">
        <v>92</v>
      </c>
      <c r="F36" s="417" t="s">
        <v>30</v>
      </c>
      <c r="G36" s="441">
        <v>6649.7</v>
      </c>
      <c r="I36" s="2"/>
      <c r="J36" s="419">
        <f t="shared" si="0"/>
        <v>0</v>
      </c>
      <c r="K36" s="419">
        <f t="shared" si="1"/>
        <v>0</v>
      </c>
    </row>
    <row r="37" spans="2:16" s="421" customFormat="1" ht="27">
      <c r="B37" s="442"/>
      <c r="C37" s="417" t="s">
        <v>55</v>
      </c>
      <c r="D37" s="417" t="s">
        <v>93</v>
      </c>
      <c r="E37" s="418" t="s">
        <v>94</v>
      </c>
      <c r="F37" s="417" t="s">
        <v>44</v>
      </c>
      <c r="G37" s="441">
        <v>25215.63</v>
      </c>
      <c r="I37" s="2"/>
      <c r="J37" s="419">
        <f t="shared" si="0"/>
        <v>0</v>
      </c>
      <c r="K37" s="419">
        <f t="shared" si="1"/>
        <v>0</v>
      </c>
    </row>
    <row r="38" spans="2:16" s="421" customFormat="1" ht="27">
      <c r="B38" s="442"/>
      <c r="C38" s="417" t="s">
        <v>55</v>
      </c>
      <c r="D38" s="417" t="s">
        <v>95</v>
      </c>
      <c r="E38" s="418" t="s">
        <v>96</v>
      </c>
      <c r="F38" s="417" t="s">
        <v>44</v>
      </c>
      <c r="G38" s="441">
        <v>21264.97</v>
      </c>
      <c r="I38" s="2"/>
      <c r="J38" s="419">
        <f t="shared" ref="J38:J74" si="2">I38*0.23</f>
        <v>0</v>
      </c>
      <c r="K38" s="419">
        <f t="shared" ref="K38:K74" si="3">I38+J38</f>
        <v>0</v>
      </c>
    </row>
    <row r="39" spans="2:16" s="421" customFormat="1" ht="27">
      <c r="B39" s="442"/>
      <c r="C39" s="417" t="s">
        <v>55</v>
      </c>
      <c r="D39" s="417" t="s">
        <v>97</v>
      </c>
      <c r="E39" s="418" t="s">
        <v>98</v>
      </c>
      <c r="F39" s="417" t="s">
        <v>33</v>
      </c>
      <c r="G39" s="441">
        <v>11.23</v>
      </c>
      <c r="I39" s="2"/>
      <c r="J39" s="419">
        <f t="shared" si="2"/>
        <v>0</v>
      </c>
      <c r="K39" s="419">
        <f t="shared" si="3"/>
        <v>0</v>
      </c>
    </row>
    <row r="40" spans="2:16" s="421" customFormat="1" ht="27">
      <c r="B40" s="442"/>
      <c r="C40" s="417" t="s">
        <v>55</v>
      </c>
      <c r="D40" s="417" t="s">
        <v>99</v>
      </c>
      <c r="E40" s="418" t="s">
        <v>100</v>
      </c>
      <c r="F40" s="417" t="s">
        <v>44</v>
      </c>
      <c r="G40" s="441">
        <v>1089.6500000000001</v>
      </c>
      <c r="I40" s="2"/>
      <c r="J40" s="419">
        <f t="shared" si="2"/>
        <v>0</v>
      </c>
      <c r="K40" s="419">
        <f t="shared" si="3"/>
        <v>0</v>
      </c>
    </row>
    <row r="41" spans="2:16" s="421" customFormat="1" ht="13.5">
      <c r="B41" s="442"/>
      <c r="C41" s="417" t="s">
        <v>55</v>
      </c>
      <c r="D41" s="417" t="s">
        <v>101</v>
      </c>
      <c r="E41" s="418" t="s">
        <v>102</v>
      </c>
      <c r="F41" s="417" t="s">
        <v>44</v>
      </c>
      <c r="G41" s="441">
        <v>2005.99</v>
      </c>
      <c r="I41" s="2"/>
      <c r="J41" s="419">
        <f t="shared" si="2"/>
        <v>0</v>
      </c>
      <c r="K41" s="419">
        <f t="shared" si="3"/>
        <v>0</v>
      </c>
    </row>
    <row r="42" spans="2:16" s="421" customFormat="1" ht="13.5">
      <c r="B42" s="442"/>
      <c r="C42" s="417" t="s">
        <v>55</v>
      </c>
      <c r="D42" s="417" t="s">
        <v>103</v>
      </c>
      <c r="E42" s="418" t="s">
        <v>104</v>
      </c>
      <c r="F42" s="417" t="s">
        <v>44</v>
      </c>
      <c r="G42" s="441">
        <v>20215.5</v>
      </c>
      <c r="I42" s="2"/>
      <c r="J42" s="419">
        <f t="shared" si="2"/>
        <v>0</v>
      </c>
      <c r="K42" s="419">
        <f t="shared" si="3"/>
        <v>0</v>
      </c>
    </row>
    <row r="43" spans="2:16" s="421" customFormat="1" ht="27">
      <c r="B43" s="442"/>
      <c r="C43" s="417" t="s">
        <v>55</v>
      </c>
      <c r="D43" s="417" t="s">
        <v>105</v>
      </c>
      <c r="E43" s="418" t="s">
        <v>106</v>
      </c>
      <c r="F43" s="417" t="s">
        <v>51</v>
      </c>
      <c r="G43" s="441">
        <v>667.28</v>
      </c>
      <c r="I43" s="2"/>
      <c r="J43" s="419">
        <f t="shared" si="2"/>
        <v>0</v>
      </c>
      <c r="K43" s="419">
        <f t="shared" si="3"/>
        <v>0</v>
      </c>
    </row>
    <row r="44" spans="2:16" s="421" customFormat="1" ht="27">
      <c r="B44" s="442"/>
      <c r="C44" s="417" t="s">
        <v>55</v>
      </c>
      <c r="D44" s="417" t="s">
        <v>107</v>
      </c>
      <c r="E44" s="418" t="s">
        <v>108</v>
      </c>
      <c r="F44" s="417" t="s">
        <v>51</v>
      </c>
      <c r="G44" s="441">
        <v>713.5</v>
      </c>
      <c r="I44" s="2"/>
      <c r="J44" s="419">
        <f t="shared" si="2"/>
        <v>0</v>
      </c>
      <c r="K44" s="419">
        <f t="shared" si="3"/>
        <v>0</v>
      </c>
    </row>
    <row r="45" spans="2:16" s="421" customFormat="1" ht="13.5">
      <c r="B45" s="442"/>
      <c r="C45" s="417" t="s">
        <v>55</v>
      </c>
      <c r="D45" s="444" t="s">
        <v>1499</v>
      </c>
      <c r="E45" s="445" t="s">
        <v>1500</v>
      </c>
      <c r="F45" s="444" t="s">
        <v>51</v>
      </c>
      <c r="G45" s="446">
        <v>728.01</v>
      </c>
      <c r="I45" s="2"/>
      <c r="J45" s="419">
        <f t="shared" si="2"/>
        <v>0</v>
      </c>
      <c r="K45" s="419">
        <f t="shared" si="3"/>
        <v>0</v>
      </c>
      <c r="L45" s="447" t="s">
        <v>1511</v>
      </c>
      <c r="P45" s="448"/>
    </row>
    <row r="46" spans="2:16" s="421" customFormat="1" ht="13.5">
      <c r="B46" s="442"/>
      <c r="C46" s="417" t="s">
        <v>55</v>
      </c>
      <c r="D46" s="444" t="s">
        <v>1502</v>
      </c>
      <c r="E46" s="445" t="s">
        <v>1503</v>
      </c>
      <c r="F46" s="444" t="s">
        <v>51</v>
      </c>
      <c r="G46" s="446">
        <v>73.680000000000007</v>
      </c>
      <c r="I46" s="2"/>
      <c r="J46" s="419"/>
      <c r="K46" s="419"/>
      <c r="P46" s="448"/>
    </row>
    <row r="47" spans="2:16" s="421" customFormat="1" ht="13.5">
      <c r="B47" s="442"/>
      <c r="C47" s="417" t="s">
        <v>55</v>
      </c>
      <c r="D47" s="444" t="s">
        <v>1504</v>
      </c>
      <c r="E47" s="445" t="s">
        <v>1505</v>
      </c>
      <c r="F47" s="444" t="s">
        <v>51</v>
      </c>
      <c r="G47" s="446">
        <v>21.89</v>
      </c>
      <c r="I47" s="2"/>
      <c r="J47" s="419"/>
      <c r="K47" s="419"/>
      <c r="P47" s="448"/>
    </row>
    <row r="48" spans="2:16" s="421" customFormat="1" ht="13.5">
      <c r="B48" s="442"/>
      <c r="C48" s="417" t="s">
        <v>55</v>
      </c>
      <c r="D48" s="444" t="s">
        <v>1506</v>
      </c>
      <c r="E48" s="445" t="s">
        <v>1507</v>
      </c>
      <c r="F48" s="444" t="s">
        <v>51</v>
      </c>
      <c r="G48" s="446">
        <v>23.76</v>
      </c>
      <c r="I48" s="2"/>
      <c r="J48" s="419"/>
      <c r="K48" s="419"/>
      <c r="P48" s="448"/>
    </row>
    <row r="49" spans="2:16" s="421" customFormat="1" ht="13.5">
      <c r="B49" s="442"/>
      <c r="C49" s="417" t="s">
        <v>55</v>
      </c>
      <c r="D49" s="449" t="s">
        <v>1501</v>
      </c>
      <c r="E49" s="445" t="s">
        <v>1498</v>
      </c>
      <c r="F49" s="444" t="s">
        <v>51</v>
      </c>
      <c r="G49" s="446">
        <v>9</v>
      </c>
      <c r="I49" s="2"/>
      <c r="J49" s="419"/>
      <c r="K49" s="419"/>
      <c r="P49" s="448"/>
    </row>
    <row r="50" spans="2:16" s="421" customFormat="1" ht="13.5">
      <c r="B50" s="442"/>
      <c r="C50" s="417" t="s">
        <v>55</v>
      </c>
      <c r="D50" s="417" t="s">
        <v>109</v>
      </c>
      <c r="E50" s="418" t="s">
        <v>110</v>
      </c>
      <c r="F50" s="417" t="s">
        <v>51</v>
      </c>
      <c r="G50" s="441">
        <v>140.56</v>
      </c>
      <c r="I50" s="2"/>
      <c r="J50" s="419">
        <f t="shared" si="2"/>
        <v>0</v>
      </c>
      <c r="K50" s="419">
        <f t="shared" si="3"/>
        <v>0</v>
      </c>
    </row>
    <row r="51" spans="2:16" s="421" customFormat="1" ht="13.5">
      <c r="B51" s="442"/>
      <c r="C51" s="417" t="s">
        <v>55</v>
      </c>
      <c r="D51" s="417" t="s">
        <v>111</v>
      </c>
      <c r="E51" s="418" t="s">
        <v>112</v>
      </c>
      <c r="F51" s="417" t="s">
        <v>44</v>
      </c>
      <c r="G51" s="441">
        <v>788.27</v>
      </c>
      <c r="I51" s="2"/>
      <c r="J51" s="419">
        <f t="shared" si="2"/>
        <v>0</v>
      </c>
      <c r="K51" s="419">
        <f t="shared" si="3"/>
        <v>0</v>
      </c>
    </row>
    <row r="52" spans="2:16" s="421" customFormat="1" ht="13.5">
      <c r="B52" s="443"/>
      <c r="C52" s="417" t="s">
        <v>55</v>
      </c>
      <c r="D52" s="417" t="s">
        <v>113</v>
      </c>
      <c r="E52" s="418" t="s">
        <v>114</v>
      </c>
      <c r="F52" s="417" t="s">
        <v>44</v>
      </c>
      <c r="G52" s="441">
        <v>1605.76</v>
      </c>
      <c r="I52" s="2"/>
      <c r="J52" s="419">
        <f t="shared" si="2"/>
        <v>0</v>
      </c>
      <c r="K52" s="419">
        <f t="shared" si="3"/>
        <v>0</v>
      </c>
    </row>
    <row r="53" spans="2:16" s="421" customFormat="1" ht="27">
      <c r="B53" s="440" t="s">
        <v>115</v>
      </c>
      <c r="C53" s="417" t="s">
        <v>116</v>
      </c>
      <c r="D53" s="417" t="s">
        <v>117</v>
      </c>
      <c r="E53" s="418" t="s">
        <v>118</v>
      </c>
      <c r="F53" s="417" t="s">
        <v>44</v>
      </c>
      <c r="G53" s="441">
        <v>4000</v>
      </c>
      <c r="I53" s="2"/>
      <c r="J53" s="419">
        <f t="shared" si="2"/>
        <v>0</v>
      </c>
      <c r="K53" s="419">
        <f t="shared" si="3"/>
        <v>0</v>
      </c>
    </row>
    <row r="54" spans="2:16" s="421" customFormat="1" ht="13.5">
      <c r="B54" s="442"/>
      <c r="C54" s="417" t="s">
        <v>116</v>
      </c>
      <c r="D54" s="417" t="s">
        <v>119</v>
      </c>
      <c r="E54" s="418" t="s">
        <v>120</v>
      </c>
      <c r="F54" s="417" t="s">
        <v>44</v>
      </c>
      <c r="G54" s="441">
        <v>100</v>
      </c>
      <c r="I54" s="2"/>
      <c r="J54" s="419">
        <f t="shared" si="2"/>
        <v>0</v>
      </c>
      <c r="K54" s="419">
        <f t="shared" si="3"/>
        <v>0</v>
      </c>
    </row>
    <row r="55" spans="2:16" s="421" customFormat="1" ht="13.5">
      <c r="B55" s="443"/>
      <c r="C55" s="417" t="s">
        <v>116</v>
      </c>
      <c r="D55" s="417" t="s">
        <v>121</v>
      </c>
      <c r="E55" s="418" t="s">
        <v>122</v>
      </c>
      <c r="F55" s="417" t="s">
        <v>33</v>
      </c>
      <c r="G55" s="441">
        <v>10</v>
      </c>
      <c r="I55" s="2"/>
      <c r="J55" s="419">
        <f t="shared" si="2"/>
        <v>0</v>
      </c>
      <c r="K55" s="419">
        <f t="shared" si="3"/>
        <v>0</v>
      </c>
    </row>
    <row r="56" spans="2:16" s="421" customFormat="1" ht="27">
      <c r="B56" s="440" t="s">
        <v>123</v>
      </c>
      <c r="C56" s="417" t="s">
        <v>124</v>
      </c>
      <c r="D56" s="417" t="s">
        <v>125</v>
      </c>
      <c r="E56" s="418" t="s">
        <v>126</v>
      </c>
      <c r="F56" s="417" t="s">
        <v>33</v>
      </c>
      <c r="G56" s="441">
        <v>6.45</v>
      </c>
      <c r="I56" s="2"/>
      <c r="J56" s="419">
        <f t="shared" si="2"/>
        <v>0</v>
      </c>
      <c r="K56" s="419">
        <f t="shared" si="3"/>
        <v>0</v>
      </c>
    </row>
    <row r="57" spans="2:16" s="421" customFormat="1" ht="13.5">
      <c r="B57" s="442"/>
      <c r="C57" s="417" t="s">
        <v>124</v>
      </c>
      <c r="D57" s="417" t="s">
        <v>127</v>
      </c>
      <c r="E57" s="418" t="s">
        <v>128</v>
      </c>
      <c r="F57" s="417" t="s">
        <v>33</v>
      </c>
      <c r="G57" s="441">
        <v>6.45</v>
      </c>
      <c r="I57" s="2"/>
      <c r="J57" s="419">
        <f t="shared" si="2"/>
        <v>0</v>
      </c>
      <c r="K57" s="419">
        <f t="shared" si="3"/>
        <v>0</v>
      </c>
    </row>
    <row r="58" spans="2:16" s="421" customFormat="1" ht="27">
      <c r="B58" s="442"/>
      <c r="C58" s="417" t="s">
        <v>124</v>
      </c>
      <c r="D58" s="417" t="s">
        <v>129</v>
      </c>
      <c r="E58" s="418" t="s">
        <v>130</v>
      </c>
      <c r="F58" s="417" t="s">
        <v>44</v>
      </c>
      <c r="G58" s="441">
        <v>43</v>
      </c>
      <c r="I58" s="2"/>
      <c r="J58" s="419">
        <f t="shared" si="2"/>
        <v>0</v>
      </c>
      <c r="K58" s="419">
        <f t="shared" si="3"/>
        <v>0</v>
      </c>
    </row>
    <row r="59" spans="2:16" s="421" customFormat="1" ht="27">
      <c r="B59" s="442"/>
      <c r="C59" s="417" t="s">
        <v>124</v>
      </c>
      <c r="D59" s="417" t="s">
        <v>131</v>
      </c>
      <c r="E59" s="418" t="s">
        <v>132</v>
      </c>
      <c r="F59" s="417" t="s">
        <v>44</v>
      </c>
      <c r="G59" s="441">
        <v>43</v>
      </c>
      <c r="I59" s="2"/>
      <c r="J59" s="419">
        <f t="shared" si="2"/>
        <v>0</v>
      </c>
      <c r="K59" s="419">
        <f t="shared" si="3"/>
        <v>0</v>
      </c>
    </row>
    <row r="60" spans="2:16" s="421" customFormat="1" ht="27">
      <c r="B60" s="443"/>
      <c r="C60" s="417" t="s">
        <v>124</v>
      </c>
      <c r="D60" s="417" t="s">
        <v>133</v>
      </c>
      <c r="E60" s="418" t="s">
        <v>134</v>
      </c>
      <c r="F60" s="417" t="s">
        <v>44</v>
      </c>
      <c r="G60" s="441">
        <v>43</v>
      </c>
      <c r="I60" s="2"/>
      <c r="J60" s="419">
        <f t="shared" si="2"/>
        <v>0</v>
      </c>
      <c r="K60" s="419">
        <f t="shared" si="3"/>
        <v>0</v>
      </c>
    </row>
    <row r="61" spans="2:16" s="421" customFormat="1" ht="13.5">
      <c r="B61" s="440" t="s">
        <v>135</v>
      </c>
      <c r="C61" s="417" t="s">
        <v>136</v>
      </c>
      <c r="D61" s="417" t="s">
        <v>137</v>
      </c>
      <c r="E61" s="418" t="s">
        <v>138</v>
      </c>
      <c r="F61" s="417" t="s">
        <v>33</v>
      </c>
      <c r="G61" s="441">
        <v>410.96</v>
      </c>
      <c r="I61" s="2"/>
      <c r="J61" s="419">
        <f t="shared" si="2"/>
        <v>0</v>
      </c>
      <c r="K61" s="419">
        <f t="shared" si="3"/>
        <v>0</v>
      </c>
    </row>
    <row r="62" spans="2:16" s="421" customFormat="1" ht="13.5">
      <c r="B62" s="442"/>
      <c r="C62" s="417" t="s">
        <v>136</v>
      </c>
      <c r="D62" s="417" t="s">
        <v>139</v>
      </c>
      <c r="E62" s="418" t="s">
        <v>140</v>
      </c>
      <c r="F62" s="417" t="s">
        <v>33</v>
      </c>
      <c r="G62" s="441">
        <v>0.84</v>
      </c>
      <c r="I62" s="2"/>
      <c r="J62" s="419">
        <f t="shared" si="2"/>
        <v>0</v>
      </c>
      <c r="K62" s="419">
        <f t="shared" si="3"/>
        <v>0</v>
      </c>
    </row>
    <row r="63" spans="2:16" s="421" customFormat="1" ht="13.5">
      <c r="B63" s="442"/>
      <c r="C63" s="444" t="s">
        <v>136</v>
      </c>
      <c r="D63" s="449" t="s">
        <v>1491</v>
      </c>
      <c r="E63" s="450" t="s">
        <v>1492</v>
      </c>
      <c r="F63" s="444" t="s">
        <v>33</v>
      </c>
      <c r="G63" s="446">
        <v>225</v>
      </c>
      <c r="I63" s="2"/>
      <c r="J63" s="419"/>
      <c r="K63" s="419"/>
      <c r="L63" s="447" t="s">
        <v>1510</v>
      </c>
    </row>
    <row r="64" spans="2:16" s="421" customFormat="1" ht="27">
      <c r="B64" s="442"/>
      <c r="C64" s="417" t="s">
        <v>136</v>
      </c>
      <c r="D64" s="417" t="s">
        <v>141</v>
      </c>
      <c r="E64" s="418" t="s">
        <v>142</v>
      </c>
      <c r="F64" s="417" t="s">
        <v>44</v>
      </c>
      <c r="G64" s="446">
        <v>1584</v>
      </c>
      <c r="I64" s="2"/>
      <c r="J64" s="419">
        <f t="shared" si="2"/>
        <v>0</v>
      </c>
      <c r="K64" s="419">
        <f t="shared" si="3"/>
        <v>0</v>
      </c>
      <c r="L64" s="447" t="s">
        <v>1509</v>
      </c>
    </row>
    <row r="65" spans="2:11" s="421" customFormat="1" ht="13.5">
      <c r="B65" s="443"/>
      <c r="C65" s="417" t="s">
        <v>136</v>
      </c>
      <c r="D65" s="417" t="s">
        <v>143</v>
      </c>
      <c r="E65" s="418" t="s">
        <v>144</v>
      </c>
      <c r="F65" s="417" t="s">
        <v>44</v>
      </c>
      <c r="G65" s="441">
        <v>793</v>
      </c>
      <c r="I65" s="2"/>
      <c r="J65" s="419">
        <f t="shared" si="2"/>
        <v>0</v>
      </c>
      <c r="K65" s="419">
        <f t="shared" si="3"/>
        <v>0</v>
      </c>
    </row>
    <row r="66" spans="2:11" s="421" customFormat="1" ht="13.5">
      <c r="B66" s="418" t="s">
        <v>145</v>
      </c>
      <c r="C66" s="417" t="s">
        <v>146</v>
      </c>
      <c r="D66" s="417" t="s">
        <v>121</v>
      </c>
      <c r="E66" s="418" t="s">
        <v>147</v>
      </c>
      <c r="F66" s="417" t="s">
        <v>33</v>
      </c>
      <c r="G66" s="441">
        <v>411.8</v>
      </c>
      <c r="I66" s="2"/>
      <c r="J66" s="419">
        <f t="shared" si="2"/>
        <v>0</v>
      </c>
      <c r="K66" s="419">
        <f t="shared" si="3"/>
        <v>0</v>
      </c>
    </row>
    <row r="67" spans="2:11" s="421" customFormat="1" ht="27">
      <c r="B67" s="440" t="s">
        <v>148</v>
      </c>
      <c r="C67" s="417" t="s">
        <v>149</v>
      </c>
      <c r="D67" s="417" t="s">
        <v>150</v>
      </c>
      <c r="E67" s="418" t="s">
        <v>151</v>
      </c>
      <c r="F67" s="417" t="s">
        <v>33</v>
      </c>
      <c r="G67" s="441">
        <v>3.4</v>
      </c>
      <c r="I67" s="2"/>
      <c r="J67" s="419">
        <f t="shared" si="2"/>
        <v>0</v>
      </c>
      <c r="K67" s="419">
        <f t="shared" si="3"/>
        <v>0</v>
      </c>
    </row>
    <row r="68" spans="2:11" s="421" customFormat="1" ht="13.5">
      <c r="B68" s="442"/>
      <c r="C68" s="417" t="s">
        <v>149</v>
      </c>
      <c r="D68" s="417" t="s">
        <v>152</v>
      </c>
      <c r="E68" s="418" t="s">
        <v>153</v>
      </c>
      <c r="F68" s="417" t="s">
        <v>33</v>
      </c>
      <c r="G68" s="441">
        <v>12.73</v>
      </c>
      <c r="I68" s="2"/>
      <c r="J68" s="419">
        <f t="shared" si="2"/>
        <v>0</v>
      </c>
      <c r="K68" s="419">
        <f t="shared" si="3"/>
        <v>0</v>
      </c>
    </row>
    <row r="69" spans="2:11" s="421" customFormat="1" ht="27">
      <c r="B69" s="442"/>
      <c r="C69" s="417" t="s">
        <v>149</v>
      </c>
      <c r="D69" s="417" t="s">
        <v>154</v>
      </c>
      <c r="E69" s="418" t="s">
        <v>155</v>
      </c>
      <c r="F69" s="417" t="s">
        <v>33</v>
      </c>
      <c r="G69" s="441">
        <v>366.76</v>
      </c>
      <c r="I69" s="2"/>
      <c r="J69" s="419">
        <f t="shared" si="2"/>
        <v>0</v>
      </c>
      <c r="K69" s="419">
        <f t="shared" si="3"/>
        <v>0</v>
      </c>
    </row>
    <row r="70" spans="2:11" s="421" customFormat="1" ht="27">
      <c r="B70" s="442"/>
      <c r="C70" s="417" t="s">
        <v>149</v>
      </c>
      <c r="D70" s="417" t="s">
        <v>156</v>
      </c>
      <c r="E70" s="418" t="s">
        <v>157</v>
      </c>
      <c r="F70" s="417" t="s">
        <v>44</v>
      </c>
      <c r="G70" s="441">
        <v>489.78</v>
      </c>
      <c r="I70" s="2"/>
      <c r="J70" s="419">
        <f t="shared" si="2"/>
        <v>0</v>
      </c>
      <c r="K70" s="419">
        <f t="shared" si="3"/>
        <v>0</v>
      </c>
    </row>
    <row r="71" spans="2:11" s="421" customFormat="1" ht="27">
      <c r="B71" s="442"/>
      <c r="C71" s="417" t="s">
        <v>149</v>
      </c>
      <c r="D71" s="417" t="s">
        <v>158</v>
      </c>
      <c r="E71" s="418" t="s">
        <v>159</v>
      </c>
      <c r="F71" s="417" t="s">
        <v>44</v>
      </c>
      <c r="G71" s="441">
        <v>317.91000000000003</v>
      </c>
      <c r="I71" s="2"/>
      <c r="J71" s="419">
        <f t="shared" si="2"/>
        <v>0</v>
      </c>
      <c r="K71" s="419">
        <f t="shared" si="3"/>
        <v>0</v>
      </c>
    </row>
    <row r="72" spans="2:11" s="421" customFormat="1" ht="27">
      <c r="B72" s="442"/>
      <c r="C72" s="417" t="s">
        <v>149</v>
      </c>
      <c r="D72" s="417" t="s">
        <v>160</v>
      </c>
      <c r="E72" s="418" t="s">
        <v>161</v>
      </c>
      <c r="F72" s="417" t="s">
        <v>30</v>
      </c>
      <c r="G72" s="441">
        <v>75.819999999999993</v>
      </c>
      <c r="I72" s="2"/>
      <c r="J72" s="419">
        <f t="shared" si="2"/>
        <v>0</v>
      </c>
      <c r="K72" s="419">
        <f t="shared" si="3"/>
        <v>0</v>
      </c>
    </row>
    <row r="73" spans="2:11" s="421" customFormat="1" ht="27">
      <c r="B73" s="442"/>
      <c r="C73" s="417" t="s">
        <v>149</v>
      </c>
      <c r="D73" s="417" t="s">
        <v>162</v>
      </c>
      <c r="E73" s="418" t="s">
        <v>163</v>
      </c>
      <c r="F73" s="417" t="s">
        <v>33</v>
      </c>
      <c r="G73" s="441">
        <v>37.58</v>
      </c>
      <c r="I73" s="2"/>
      <c r="J73" s="419">
        <f t="shared" si="2"/>
        <v>0</v>
      </c>
      <c r="K73" s="419">
        <f t="shared" si="3"/>
        <v>0</v>
      </c>
    </row>
    <row r="74" spans="2:11" s="421" customFormat="1" ht="27">
      <c r="B74" s="442"/>
      <c r="C74" s="417" t="s">
        <v>149</v>
      </c>
      <c r="D74" s="417" t="s">
        <v>164</v>
      </c>
      <c r="E74" s="418" t="s">
        <v>165</v>
      </c>
      <c r="F74" s="417" t="s">
        <v>30</v>
      </c>
      <c r="G74" s="441">
        <v>5.79</v>
      </c>
      <c r="I74" s="2"/>
      <c r="J74" s="419">
        <f t="shared" si="2"/>
        <v>0</v>
      </c>
      <c r="K74" s="419">
        <f t="shared" si="3"/>
        <v>0</v>
      </c>
    </row>
    <row r="75" spans="2:11" s="421" customFormat="1" ht="27">
      <c r="B75" s="442"/>
      <c r="C75" s="417" t="s">
        <v>149</v>
      </c>
      <c r="D75" s="417" t="s">
        <v>166</v>
      </c>
      <c r="E75" s="418" t="s">
        <v>167</v>
      </c>
      <c r="F75" s="417" t="s">
        <v>33</v>
      </c>
      <c r="G75" s="441">
        <v>1255.73</v>
      </c>
      <c r="I75" s="2"/>
      <c r="J75" s="419">
        <f t="shared" ref="J75:J106" si="4">I75*0.23</f>
        <v>0</v>
      </c>
      <c r="K75" s="419">
        <f t="shared" ref="K75:K106" si="5">I75+J75</f>
        <v>0</v>
      </c>
    </row>
    <row r="76" spans="2:11" s="421" customFormat="1" ht="27">
      <c r="B76" s="442"/>
      <c r="C76" s="417" t="s">
        <v>149</v>
      </c>
      <c r="D76" s="417" t="s">
        <v>168</v>
      </c>
      <c r="E76" s="418" t="s">
        <v>169</v>
      </c>
      <c r="F76" s="417" t="s">
        <v>44</v>
      </c>
      <c r="G76" s="441">
        <v>579.33000000000004</v>
      </c>
      <c r="I76" s="2"/>
      <c r="J76" s="419">
        <f t="shared" si="4"/>
        <v>0</v>
      </c>
      <c r="K76" s="419">
        <f t="shared" si="5"/>
        <v>0</v>
      </c>
    </row>
    <row r="77" spans="2:11" s="421" customFormat="1" ht="27">
      <c r="B77" s="442"/>
      <c r="C77" s="417" t="s">
        <v>149</v>
      </c>
      <c r="D77" s="417" t="s">
        <v>170</v>
      </c>
      <c r="E77" s="418" t="s">
        <v>171</v>
      </c>
      <c r="F77" s="417" t="s">
        <v>30</v>
      </c>
      <c r="G77" s="441">
        <v>66.45</v>
      </c>
      <c r="I77" s="2"/>
      <c r="J77" s="419">
        <f t="shared" si="4"/>
        <v>0</v>
      </c>
      <c r="K77" s="419">
        <f t="shared" si="5"/>
        <v>0</v>
      </c>
    </row>
    <row r="78" spans="2:11" s="421" customFormat="1" ht="27">
      <c r="B78" s="442"/>
      <c r="C78" s="417" t="s">
        <v>149</v>
      </c>
      <c r="D78" s="417" t="s">
        <v>172</v>
      </c>
      <c r="E78" s="418" t="s">
        <v>173</v>
      </c>
      <c r="F78" s="417" t="s">
        <v>33</v>
      </c>
      <c r="G78" s="441">
        <v>15.04</v>
      </c>
      <c r="I78" s="2"/>
      <c r="J78" s="419">
        <f t="shared" si="4"/>
        <v>0</v>
      </c>
      <c r="K78" s="419">
        <f t="shared" si="5"/>
        <v>0</v>
      </c>
    </row>
    <row r="79" spans="2:11" s="421" customFormat="1" ht="27">
      <c r="B79" s="442"/>
      <c r="C79" s="417" t="s">
        <v>149</v>
      </c>
      <c r="D79" s="417" t="s">
        <v>174</v>
      </c>
      <c r="E79" s="418" t="s">
        <v>175</v>
      </c>
      <c r="F79" s="417" t="s">
        <v>33</v>
      </c>
      <c r="G79" s="441">
        <v>10.87</v>
      </c>
      <c r="I79" s="2"/>
      <c r="J79" s="419">
        <f t="shared" si="4"/>
        <v>0</v>
      </c>
      <c r="K79" s="419">
        <f t="shared" si="5"/>
        <v>0</v>
      </c>
    </row>
    <row r="80" spans="2:11" s="421" customFormat="1" ht="27">
      <c r="B80" s="442"/>
      <c r="C80" s="417" t="s">
        <v>149</v>
      </c>
      <c r="D80" s="417" t="s">
        <v>176</v>
      </c>
      <c r="E80" s="418" t="s">
        <v>177</v>
      </c>
      <c r="F80" s="417" t="s">
        <v>33</v>
      </c>
      <c r="G80" s="441">
        <v>123.7</v>
      </c>
      <c r="I80" s="2"/>
      <c r="J80" s="419">
        <f t="shared" si="4"/>
        <v>0</v>
      </c>
      <c r="K80" s="419">
        <f t="shared" si="5"/>
        <v>0</v>
      </c>
    </row>
    <row r="81" spans="2:11" s="421" customFormat="1" ht="27">
      <c r="B81" s="442"/>
      <c r="C81" s="417" t="s">
        <v>149</v>
      </c>
      <c r="D81" s="417" t="s">
        <v>178</v>
      </c>
      <c r="E81" s="418" t="s">
        <v>179</v>
      </c>
      <c r="F81" s="417" t="s">
        <v>44</v>
      </c>
      <c r="G81" s="441">
        <v>314.33999999999997</v>
      </c>
      <c r="I81" s="2"/>
      <c r="J81" s="419">
        <f t="shared" si="4"/>
        <v>0</v>
      </c>
      <c r="K81" s="419">
        <f t="shared" si="5"/>
        <v>0</v>
      </c>
    </row>
    <row r="82" spans="2:11" s="421" customFormat="1" ht="27">
      <c r="B82" s="442"/>
      <c r="C82" s="417" t="s">
        <v>149</v>
      </c>
      <c r="D82" s="417" t="s">
        <v>180</v>
      </c>
      <c r="E82" s="418" t="s">
        <v>181</v>
      </c>
      <c r="F82" s="417" t="s">
        <v>30</v>
      </c>
      <c r="G82" s="441">
        <v>18.690000000000001</v>
      </c>
      <c r="I82" s="2"/>
      <c r="J82" s="419">
        <f t="shared" si="4"/>
        <v>0</v>
      </c>
      <c r="K82" s="419">
        <f t="shared" si="5"/>
        <v>0</v>
      </c>
    </row>
    <row r="83" spans="2:11" s="421" customFormat="1" ht="27">
      <c r="B83" s="442"/>
      <c r="C83" s="417" t="s">
        <v>149</v>
      </c>
      <c r="D83" s="417" t="s">
        <v>182</v>
      </c>
      <c r="E83" s="418" t="s">
        <v>183</v>
      </c>
      <c r="F83" s="417" t="s">
        <v>30</v>
      </c>
      <c r="G83" s="441">
        <v>35.96</v>
      </c>
      <c r="I83" s="2"/>
      <c r="J83" s="419">
        <f t="shared" si="4"/>
        <v>0</v>
      </c>
      <c r="K83" s="419">
        <f t="shared" si="5"/>
        <v>0</v>
      </c>
    </row>
    <row r="84" spans="2:11" s="421" customFormat="1" ht="13.5">
      <c r="B84" s="442"/>
      <c r="C84" s="417" t="s">
        <v>149</v>
      </c>
      <c r="D84" s="417" t="s">
        <v>184</v>
      </c>
      <c r="E84" s="418" t="s">
        <v>185</v>
      </c>
      <c r="F84" s="417" t="s">
        <v>33</v>
      </c>
      <c r="G84" s="441">
        <v>40.69</v>
      </c>
      <c r="I84" s="2"/>
      <c r="J84" s="419">
        <f t="shared" si="4"/>
        <v>0</v>
      </c>
      <c r="K84" s="419">
        <f t="shared" si="5"/>
        <v>0</v>
      </c>
    </row>
    <row r="85" spans="2:11" s="421" customFormat="1" ht="13.5">
      <c r="B85" s="442"/>
      <c r="C85" s="417" t="s">
        <v>149</v>
      </c>
      <c r="D85" s="417" t="s">
        <v>186</v>
      </c>
      <c r="E85" s="418" t="s">
        <v>187</v>
      </c>
      <c r="F85" s="417" t="s">
        <v>30</v>
      </c>
      <c r="G85" s="441">
        <v>5.3</v>
      </c>
      <c r="I85" s="2"/>
      <c r="J85" s="419">
        <f t="shared" si="4"/>
        <v>0</v>
      </c>
      <c r="K85" s="419">
        <f t="shared" si="5"/>
        <v>0</v>
      </c>
    </row>
    <row r="86" spans="2:11" s="421" customFormat="1" ht="27">
      <c r="B86" s="442"/>
      <c r="C86" s="417" t="s">
        <v>149</v>
      </c>
      <c r="D86" s="417" t="s">
        <v>188</v>
      </c>
      <c r="E86" s="418" t="s">
        <v>189</v>
      </c>
      <c r="F86" s="417" t="s">
        <v>44</v>
      </c>
      <c r="G86" s="441">
        <v>136.87</v>
      </c>
      <c r="I86" s="2"/>
      <c r="J86" s="419">
        <f t="shared" si="4"/>
        <v>0</v>
      </c>
      <c r="K86" s="419">
        <f t="shared" si="5"/>
        <v>0</v>
      </c>
    </row>
    <row r="87" spans="2:11" s="421" customFormat="1" ht="13.5">
      <c r="B87" s="442"/>
      <c r="C87" s="417" t="s">
        <v>149</v>
      </c>
      <c r="D87" s="417" t="s">
        <v>190</v>
      </c>
      <c r="E87" s="418" t="s">
        <v>191</v>
      </c>
      <c r="F87" s="417" t="s">
        <v>51</v>
      </c>
      <c r="G87" s="441">
        <v>1404.43</v>
      </c>
      <c r="I87" s="2"/>
      <c r="J87" s="419">
        <f t="shared" si="4"/>
        <v>0</v>
      </c>
      <c r="K87" s="419">
        <f t="shared" si="5"/>
        <v>0</v>
      </c>
    </row>
    <row r="88" spans="2:11" s="421" customFormat="1" ht="13.5">
      <c r="B88" s="442"/>
      <c r="C88" s="417" t="s">
        <v>149</v>
      </c>
      <c r="D88" s="417" t="s">
        <v>192</v>
      </c>
      <c r="E88" s="418" t="s">
        <v>193</v>
      </c>
      <c r="F88" s="417" t="s">
        <v>72</v>
      </c>
      <c r="G88" s="441">
        <v>46</v>
      </c>
      <c r="I88" s="2"/>
      <c r="J88" s="419">
        <f t="shared" si="4"/>
        <v>0</v>
      </c>
      <c r="K88" s="419">
        <f t="shared" si="5"/>
        <v>0</v>
      </c>
    </row>
    <row r="89" spans="2:11" s="421" customFormat="1" ht="27">
      <c r="B89" s="442"/>
      <c r="C89" s="417" t="s">
        <v>149</v>
      </c>
      <c r="D89" s="417" t="s">
        <v>194</v>
      </c>
      <c r="E89" s="418" t="s">
        <v>195</v>
      </c>
      <c r="F89" s="417" t="s">
        <v>51</v>
      </c>
      <c r="G89" s="441">
        <v>282.18</v>
      </c>
      <c r="I89" s="2"/>
      <c r="J89" s="419">
        <f t="shared" si="4"/>
        <v>0</v>
      </c>
      <c r="K89" s="419">
        <f t="shared" si="5"/>
        <v>0</v>
      </c>
    </row>
    <row r="90" spans="2:11" s="421" customFormat="1" ht="27">
      <c r="B90" s="442"/>
      <c r="C90" s="417" t="s">
        <v>149</v>
      </c>
      <c r="D90" s="417" t="s">
        <v>196</v>
      </c>
      <c r="E90" s="418" t="s">
        <v>197</v>
      </c>
      <c r="F90" s="417" t="s">
        <v>44</v>
      </c>
      <c r="G90" s="441">
        <v>115.58</v>
      </c>
      <c r="I90" s="2"/>
      <c r="J90" s="419">
        <f t="shared" si="4"/>
        <v>0</v>
      </c>
      <c r="K90" s="419">
        <f t="shared" si="5"/>
        <v>0</v>
      </c>
    </row>
    <row r="91" spans="2:11" s="421" customFormat="1" ht="27">
      <c r="B91" s="442"/>
      <c r="C91" s="417" t="s">
        <v>149</v>
      </c>
      <c r="D91" s="417" t="s">
        <v>198</v>
      </c>
      <c r="E91" s="418" t="s">
        <v>199</v>
      </c>
      <c r="F91" s="417" t="s">
        <v>51</v>
      </c>
      <c r="G91" s="441">
        <v>1798.03</v>
      </c>
      <c r="I91" s="2"/>
      <c r="J91" s="419">
        <f t="shared" si="4"/>
        <v>0</v>
      </c>
      <c r="K91" s="419">
        <f t="shared" si="5"/>
        <v>0</v>
      </c>
    </row>
    <row r="92" spans="2:11" s="421" customFormat="1" ht="27">
      <c r="B92" s="442"/>
      <c r="C92" s="417" t="s">
        <v>149</v>
      </c>
      <c r="D92" s="417" t="s">
        <v>200</v>
      </c>
      <c r="E92" s="418" t="s">
        <v>201</v>
      </c>
      <c r="F92" s="417" t="s">
        <v>51</v>
      </c>
      <c r="G92" s="441">
        <v>13</v>
      </c>
      <c r="I92" s="2"/>
      <c r="J92" s="419">
        <f t="shared" si="4"/>
        <v>0</v>
      </c>
      <c r="K92" s="419">
        <f t="shared" si="5"/>
        <v>0</v>
      </c>
    </row>
    <row r="93" spans="2:11" s="421" customFormat="1" ht="13.5">
      <c r="B93" s="442"/>
      <c r="C93" s="417" t="s">
        <v>149</v>
      </c>
      <c r="D93" s="417" t="s">
        <v>202</v>
      </c>
      <c r="E93" s="418" t="s">
        <v>203</v>
      </c>
      <c r="F93" s="417" t="s">
        <v>72</v>
      </c>
      <c r="G93" s="441">
        <v>4</v>
      </c>
      <c r="I93" s="2"/>
      <c r="J93" s="419">
        <f t="shared" si="4"/>
        <v>0</v>
      </c>
      <c r="K93" s="419">
        <f t="shared" si="5"/>
        <v>0</v>
      </c>
    </row>
    <row r="94" spans="2:11" s="421" customFormat="1" ht="13.5">
      <c r="B94" s="442"/>
      <c r="C94" s="417" t="s">
        <v>149</v>
      </c>
      <c r="D94" s="417" t="s">
        <v>204</v>
      </c>
      <c r="E94" s="418" t="s">
        <v>205</v>
      </c>
      <c r="F94" s="417" t="s">
        <v>72</v>
      </c>
      <c r="G94" s="441">
        <v>125</v>
      </c>
      <c r="I94" s="2"/>
      <c r="J94" s="419">
        <f t="shared" si="4"/>
        <v>0</v>
      </c>
      <c r="K94" s="419">
        <f t="shared" si="5"/>
        <v>0</v>
      </c>
    </row>
    <row r="95" spans="2:11" s="421" customFormat="1" ht="13.5">
      <c r="B95" s="442"/>
      <c r="C95" s="417" t="s">
        <v>149</v>
      </c>
      <c r="D95" s="417" t="s">
        <v>206</v>
      </c>
      <c r="E95" s="418" t="s">
        <v>207</v>
      </c>
      <c r="F95" s="417" t="s">
        <v>51</v>
      </c>
      <c r="G95" s="441">
        <v>152.15</v>
      </c>
      <c r="I95" s="2"/>
      <c r="J95" s="419">
        <f t="shared" si="4"/>
        <v>0</v>
      </c>
      <c r="K95" s="419">
        <f t="shared" si="5"/>
        <v>0</v>
      </c>
    </row>
    <row r="96" spans="2:11" s="421" customFormat="1" ht="27">
      <c r="B96" s="442"/>
      <c r="C96" s="417" t="s">
        <v>149</v>
      </c>
      <c r="D96" s="417" t="s">
        <v>208</v>
      </c>
      <c r="E96" s="418" t="s">
        <v>209</v>
      </c>
      <c r="F96" s="417" t="s">
        <v>51</v>
      </c>
      <c r="G96" s="441">
        <v>1276.76</v>
      </c>
      <c r="I96" s="2"/>
      <c r="J96" s="419">
        <f t="shared" si="4"/>
        <v>0</v>
      </c>
      <c r="K96" s="419">
        <f t="shared" si="5"/>
        <v>0</v>
      </c>
    </row>
    <row r="97" spans="2:11" s="421" customFormat="1" ht="13.5">
      <c r="B97" s="442"/>
      <c r="C97" s="417" t="s">
        <v>149</v>
      </c>
      <c r="D97" s="417" t="s">
        <v>210</v>
      </c>
      <c r="E97" s="418" t="s">
        <v>211</v>
      </c>
      <c r="F97" s="417" t="s">
        <v>33</v>
      </c>
      <c r="G97" s="441">
        <v>43.8</v>
      </c>
      <c r="I97" s="2"/>
      <c r="J97" s="419">
        <f t="shared" si="4"/>
        <v>0</v>
      </c>
      <c r="K97" s="419">
        <f t="shared" si="5"/>
        <v>0</v>
      </c>
    </row>
    <row r="98" spans="2:11" s="421" customFormat="1" ht="13.5">
      <c r="B98" s="442"/>
      <c r="C98" s="417" t="s">
        <v>149</v>
      </c>
      <c r="D98" s="417" t="s">
        <v>212</v>
      </c>
      <c r="E98" s="418" t="s">
        <v>213</v>
      </c>
      <c r="F98" s="417" t="s">
        <v>33</v>
      </c>
      <c r="G98" s="441">
        <v>24694.560000000001</v>
      </c>
      <c r="I98" s="2"/>
      <c r="J98" s="419">
        <f t="shared" si="4"/>
        <v>0</v>
      </c>
      <c r="K98" s="419">
        <f t="shared" si="5"/>
        <v>0</v>
      </c>
    </row>
    <row r="99" spans="2:11" s="421" customFormat="1" ht="27">
      <c r="B99" s="442"/>
      <c r="C99" s="417" t="s">
        <v>149</v>
      </c>
      <c r="D99" s="417" t="s">
        <v>214</v>
      </c>
      <c r="E99" s="418" t="s">
        <v>215</v>
      </c>
      <c r="F99" s="417" t="s">
        <v>44</v>
      </c>
      <c r="G99" s="441">
        <v>21.79</v>
      </c>
      <c r="I99" s="2"/>
      <c r="J99" s="419">
        <f t="shared" si="4"/>
        <v>0</v>
      </c>
      <c r="K99" s="419">
        <f t="shared" si="5"/>
        <v>0</v>
      </c>
    </row>
    <row r="100" spans="2:11" s="421" customFormat="1" ht="27">
      <c r="B100" s="443"/>
      <c r="C100" s="417" t="s">
        <v>149</v>
      </c>
      <c r="D100" s="417" t="s">
        <v>216</v>
      </c>
      <c r="E100" s="418" t="s">
        <v>217</v>
      </c>
      <c r="F100" s="417" t="s">
        <v>30</v>
      </c>
      <c r="G100" s="441">
        <v>0.73</v>
      </c>
      <c r="I100" s="2"/>
      <c r="J100" s="419">
        <f t="shared" si="4"/>
        <v>0</v>
      </c>
      <c r="K100" s="419">
        <f t="shared" si="5"/>
        <v>0</v>
      </c>
    </row>
    <row r="101" spans="2:11" s="421" customFormat="1" ht="40.5">
      <c r="B101" s="418" t="s">
        <v>218</v>
      </c>
      <c r="C101" s="417" t="s">
        <v>219</v>
      </c>
      <c r="D101" s="417" t="s">
        <v>220</v>
      </c>
      <c r="E101" s="418" t="s">
        <v>221</v>
      </c>
      <c r="F101" s="417" t="s">
        <v>33</v>
      </c>
      <c r="G101" s="441">
        <v>0.2</v>
      </c>
      <c r="I101" s="2"/>
      <c r="J101" s="419">
        <f t="shared" si="4"/>
        <v>0</v>
      </c>
      <c r="K101" s="419">
        <f t="shared" si="5"/>
        <v>0</v>
      </c>
    </row>
    <row r="102" spans="2:11" s="421" customFormat="1" ht="40.5">
      <c r="B102" s="418" t="s">
        <v>222</v>
      </c>
      <c r="C102" s="417" t="s">
        <v>223</v>
      </c>
      <c r="D102" s="417" t="s">
        <v>224</v>
      </c>
      <c r="E102" s="418" t="s">
        <v>225</v>
      </c>
      <c r="F102" s="417" t="s">
        <v>51</v>
      </c>
      <c r="G102" s="441">
        <v>1034</v>
      </c>
      <c r="I102" s="2"/>
      <c r="J102" s="419">
        <f t="shared" si="4"/>
        <v>0</v>
      </c>
      <c r="K102" s="419">
        <f t="shared" si="5"/>
        <v>0</v>
      </c>
    </row>
    <row r="103" spans="2:11" s="421" customFormat="1" ht="54">
      <c r="B103" s="440" t="s">
        <v>226</v>
      </c>
      <c r="C103" s="417" t="s">
        <v>227</v>
      </c>
      <c r="D103" s="417" t="s">
        <v>228</v>
      </c>
      <c r="E103" s="418" t="s">
        <v>229</v>
      </c>
      <c r="F103" s="417" t="s">
        <v>33</v>
      </c>
      <c r="G103" s="441">
        <v>0.7</v>
      </c>
      <c r="I103" s="2"/>
      <c r="J103" s="419">
        <f t="shared" si="4"/>
        <v>0</v>
      </c>
      <c r="K103" s="419">
        <f t="shared" si="5"/>
        <v>0</v>
      </c>
    </row>
    <row r="104" spans="2:11" s="421" customFormat="1" ht="27">
      <c r="B104" s="442"/>
      <c r="C104" s="417" t="s">
        <v>227</v>
      </c>
      <c r="D104" s="417" t="s">
        <v>230</v>
      </c>
      <c r="E104" s="418" t="s">
        <v>231</v>
      </c>
      <c r="F104" s="417" t="s">
        <v>44</v>
      </c>
      <c r="G104" s="441">
        <v>13125.18</v>
      </c>
      <c r="I104" s="2"/>
      <c r="J104" s="419">
        <f t="shared" si="4"/>
        <v>0</v>
      </c>
      <c r="K104" s="419">
        <f t="shared" si="5"/>
        <v>0</v>
      </c>
    </row>
    <row r="105" spans="2:11" s="421" customFormat="1" ht="27">
      <c r="B105" s="442"/>
      <c r="C105" s="417" t="s">
        <v>227</v>
      </c>
      <c r="D105" s="417" t="s">
        <v>232</v>
      </c>
      <c r="E105" s="418" t="s">
        <v>388</v>
      </c>
      <c r="F105" s="417" t="s">
        <v>44</v>
      </c>
      <c r="G105" s="441">
        <v>6485.18</v>
      </c>
      <c r="I105" s="2"/>
      <c r="J105" s="419">
        <f t="shared" si="4"/>
        <v>0</v>
      </c>
      <c r="K105" s="419">
        <f t="shared" si="5"/>
        <v>0</v>
      </c>
    </row>
    <row r="106" spans="2:11" s="421" customFormat="1" ht="27">
      <c r="B106" s="442"/>
      <c r="C106" s="417" t="s">
        <v>227</v>
      </c>
      <c r="D106" s="417" t="s">
        <v>234</v>
      </c>
      <c r="E106" s="418" t="s">
        <v>235</v>
      </c>
      <c r="F106" s="417" t="s">
        <v>33</v>
      </c>
      <c r="G106" s="441">
        <v>212.76</v>
      </c>
      <c r="I106" s="2"/>
      <c r="J106" s="419">
        <f t="shared" si="4"/>
        <v>0</v>
      </c>
      <c r="K106" s="419">
        <f t="shared" si="5"/>
        <v>0</v>
      </c>
    </row>
    <row r="107" spans="2:11" s="421" customFormat="1" ht="27">
      <c r="B107" s="442"/>
      <c r="C107" s="417" t="s">
        <v>227</v>
      </c>
      <c r="D107" s="417" t="s">
        <v>236</v>
      </c>
      <c r="E107" s="418" t="s">
        <v>237</v>
      </c>
      <c r="F107" s="417" t="s">
        <v>33</v>
      </c>
      <c r="G107" s="441">
        <v>440.58</v>
      </c>
      <c r="I107" s="2"/>
      <c r="J107" s="419">
        <f t="shared" ref="J107:J138" si="6">I107*0.23</f>
        <v>0</v>
      </c>
      <c r="K107" s="419">
        <f t="shared" ref="K107:K138" si="7">I107+J107</f>
        <v>0</v>
      </c>
    </row>
    <row r="108" spans="2:11" s="421" customFormat="1" ht="27">
      <c r="B108" s="442"/>
      <c r="C108" s="417" t="s">
        <v>227</v>
      </c>
      <c r="D108" s="417" t="s">
        <v>238</v>
      </c>
      <c r="E108" s="418" t="s">
        <v>239</v>
      </c>
      <c r="F108" s="417" t="s">
        <v>33</v>
      </c>
      <c r="G108" s="441">
        <v>7.44</v>
      </c>
      <c r="I108" s="2"/>
      <c r="J108" s="419">
        <f t="shared" si="6"/>
        <v>0</v>
      </c>
      <c r="K108" s="419">
        <f t="shared" si="7"/>
        <v>0</v>
      </c>
    </row>
    <row r="109" spans="2:11" s="421" customFormat="1" ht="27">
      <c r="B109" s="442"/>
      <c r="C109" s="417" t="s">
        <v>227</v>
      </c>
      <c r="D109" s="417" t="s">
        <v>240</v>
      </c>
      <c r="E109" s="418" t="s">
        <v>241</v>
      </c>
      <c r="F109" s="417" t="s">
        <v>33</v>
      </c>
      <c r="G109" s="441">
        <v>322.23</v>
      </c>
      <c r="I109" s="2"/>
      <c r="J109" s="419">
        <f t="shared" si="6"/>
        <v>0</v>
      </c>
      <c r="K109" s="419">
        <f t="shared" si="7"/>
        <v>0</v>
      </c>
    </row>
    <row r="110" spans="2:11" s="421" customFormat="1" ht="27">
      <c r="B110" s="442"/>
      <c r="C110" s="417" t="s">
        <v>227</v>
      </c>
      <c r="D110" s="417" t="s">
        <v>242</v>
      </c>
      <c r="E110" s="418" t="s">
        <v>243</v>
      </c>
      <c r="F110" s="417" t="s">
        <v>51</v>
      </c>
      <c r="G110" s="441">
        <v>608</v>
      </c>
      <c r="I110" s="2"/>
      <c r="J110" s="419">
        <f t="shared" si="6"/>
        <v>0</v>
      </c>
      <c r="K110" s="419">
        <f t="shared" si="7"/>
        <v>0</v>
      </c>
    </row>
    <row r="111" spans="2:11" s="421" customFormat="1" ht="27">
      <c r="B111" s="442"/>
      <c r="C111" s="417" t="s">
        <v>227</v>
      </c>
      <c r="D111" s="417" t="s">
        <v>244</v>
      </c>
      <c r="E111" s="418" t="s">
        <v>245</v>
      </c>
      <c r="F111" s="417" t="s">
        <v>51</v>
      </c>
      <c r="G111" s="441">
        <v>4091.95</v>
      </c>
      <c r="I111" s="2"/>
      <c r="J111" s="419">
        <f t="shared" si="6"/>
        <v>0</v>
      </c>
      <c r="K111" s="419">
        <f t="shared" si="7"/>
        <v>0</v>
      </c>
    </row>
    <row r="112" spans="2:11" s="421" customFormat="1" ht="27">
      <c r="B112" s="442"/>
      <c r="C112" s="417" t="s">
        <v>227</v>
      </c>
      <c r="D112" s="417" t="s">
        <v>246</v>
      </c>
      <c r="E112" s="418" t="s">
        <v>247</v>
      </c>
      <c r="F112" s="417" t="s">
        <v>44</v>
      </c>
      <c r="G112" s="441">
        <v>494.11</v>
      </c>
      <c r="I112" s="2"/>
      <c r="J112" s="419">
        <f t="shared" si="6"/>
        <v>0</v>
      </c>
      <c r="K112" s="419">
        <f t="shared" si="7"/>
        <v>0</v>
      </c>
    </row>
    <row r="113" spans="2:11" s="421" customFormat="1" ht="13.5">
      <c r="B113" s="442"/>
      <c r="C113" s="417" t="s">
        <v>227</v>
      </c>
      <c r="D113" s="417" t="s">
        <v>248</v>
      </c>
      <c r="E113" s="418" t="s">
        <v>249</v>
      </c>
      <c r="F113" s="417" t="s">
        <v>51</v>
      </c>
      <c r="G113" s="441">
        <v>640.94000000000005</v>
      </c>
      <c r="I113" s="2"/>
      <c r="J113" s="419">
        <f t="shared" si="6"/>
        <v>0</v>
      </c>
      <c r="K113" s="419">
        <f t="shared" si="7"/>
        <v>0</v>
      </c>
    </row>
    <row r="114" spans="2:11" s="421" customFormat="1" ht="13.5">
      <c r="B114" s="442"/>
      <c r="C114" s="417" t="s">
        <v>227</v>
      </c>
      <c r="D114" s="417" t="s">
        <v>250</v>
      </c>
      <c r="E114" s="418" t="s">
        <v>251</v>
      </c>
      <c r="F114" s="417" t="s">
        <v>51</v>
      </c>
      <c r="G114" s="441">
        <v>164</v>
      </c>
      <c r="I114" s="2"/>
      <c r="J114" s="419">
        <f t="shared" si="6"/>
        <v>0</v>
      </c>
      <c r="K114" s="419">
        <f t="shared" si="7"/>
        <v>0</v>
      </c>
    </row>
    <row r="115" spans="2:11" s="421" customFormat="1" ht="13.5">
      <c r="B115" s="442"/>
      <c r="C115" s="417" t="s">
        <v>227</v>
      </c>
      <c r="D115" s="417" t="s">
        <v>252</v>
      </c>
      <c r="E115" s="418" t="s">
        <v>253</v>
      </c>
      <c r="F115" s="417" t="s">
        <v>51</v>
      </c>
      <c r="G115" s="441">
        <v>164</v>
      </c>
      <c r="I115" s="2"/>
      <c r="J115" s="419">
        <f t="shared" si="6"/>
        <v>0</v>
      </c>
      <c r="K115" s="419">
        <f t="shared" si="7"/>
        <v>0</v>
      </c>
    </row>
    <row r="116" spans="2:11" s="421" customFormat="1" ht="27">
      <c r="B116" s="442"/>
      <c r="C116" s="417" t="s">
        <v>227</v>
      </c>
      <c r="D116" s="417" t="s">
        <v>254</v>
      </c>
      <c r="E116" s="418" t="s">
        <v>255</v>
      </c>
      <c r="F116" s="417" t="s">
        <v>51</v>
      </c>
      <c r="G116" s="441">
        <v>31.6</v>
      </c>
      <c r="I116" s="2"/>
      <c r="J116" s="419">
        <f t="shared" si="6"/>
        <v>0</v>
      </c>
      <c r="K116" s="419">
        <f t="shared" si="7"/>
        <v>0</v>
      </c>
    </row>
    <row r="117" spans="2:11" s="421" customFormat="1" ht="27">
      <c r="B117" s="442"/>
      <c r="C117" s="417" t="s">
        <v>227</v>
      </c>
      <c r="D117" s="417" t="s">
        <v>256</v>
      </c>
      <c r="E117" s="418" t="s">
        <v>257</v>
      </c>
      <c r="F117" s="417" t="s">
        <v>51</v>
      </c>
      <c r="G117" s="441">
        <v>113</v>
      </c>
      <c r="I117" s="2"/>
      <c r="J117" s="419">
        <f t="shared" si="6"/>
        <v>0</v>
      </c>
      <c r="K117" s="419">
        <f t="shared" si="7"/>
        <v>0</v>
      </c>
    </row>
    <row r="118" spans="2:11" s="421" customFormat="1" ht="27">
      <c r="B118" s="442"/>
      <c r="C118" s="417" t="s">
        <v>227</v>
      </c>
      <c r="D118" s="417" t="s">
        <v>258</v>
      </c>
      <c r="E118" s="418" t="s">
        <v>385</v>
      </c>
      <c r="F118" s="417" t="s">
        <v>72</v>
      </c>
      <c r="G118" s="441">
        <v>10</v>
      </c>
      <c r="I118" s="2"/>
      <c r="J118" s="419">
        <f t="shared" si="6"/>
        <v>0</v>
      </c>
      <c r="K118" s="419">
        <f t="shared" si="7"/>
        <v>0</v>
      </c>
    </row>
    <row r="119" spans="2:11" s="421" customFormat="1" ht="27">
      <c r="B119" s="442"/>
      <c r="C119" s="417" t="s">
        <v>227</v>
      </c>
      <c r="D119" s="417" t="s">
        <v>260</v>
      </c>
      <c r="E119" s="418" t="s">
        <v>386</v>
      </c>
      <c r="F119" s="417" t="s">
        <v>72</v>
      </c>
      <c r="G119" s="441">
        <v>2</v>
      </c>
      <c r="I119" s="2"/>
      <c r="J119" s="419">
        <f t="shared" si="6"/>
        <v>0</v>
      </c>
      <c r="K119" s="419">
        <f t="shared" si="7"/>
        <v>0</v>
      </c>
    </row>
    <row r="120" spans="2:11" s="421" customFormat="1" ht="13.5">
      <c r="B120" s="442"/>
      <c r="C120" s="417" t="s">
        <v>227</v>
      </c>
      <c r="D120" s="417" t="s">
        <v>262</v>
      </c>
      <c r="E120" s="418" t="s">
        <v>263</v>
      </c>
      <c r="F120" s="417" t="s">
        <v>72</v>
      </c>
      <c r="G120" s="441">
        <v>26</v>
      </c>
      <c r="I120" s="2"/>
      <c r="J120" s="419">
        <f t="shared" si="6"/>
        <v>0</v>
      </c>
      <c r="K120" s="419">
        <f t="shared" si="7"/>
        <v>0</v>
      </c>
    </row>
    <row r="121" spans="2:11" s="421" customFormat="1" ht="27">
      <c r="B121" s="442"/>
      <c r="C121" s="417" t="s">
        <v>227</v>
      </c>
      <c r="D121" s="417" t="s">
        <v>264</v>
      </c>
      <c r="E121" s="418" t="s">
        <v>265</v>
      </c>
      <c r="F121" s="417" t="s">
        <v>72</v>
      </c>
      <c r="G121" s="441">
        <v>128</v>
      </c>
      <c r="I121" s="2"/>
      <c r="J121" s="419">
        <f t="shared" si="6"/>
        <v>0</v>
      </c>
      <c r="K121" s="419">
        <f t="shared" si="7"/>
        <v>0</v>
      </c>
    </row>
    <row r="122" spans="2:11" s="421" customFormat="1" ht="13.5">
      <c r="B122" s="442"/>
      <c r="C122" s="417" t="s">
        <v>227</v>
      </c>
      <c r="D122" s="417" t="s">
        <v>266</v>
      </c>
      <c r="E122" s="418" t="s">
        <v>267</v>
      </c>
      <c r="F122" s="417" t="s">
        <v>72</v>
      </c>
      <c r="G122" s="441">
        <v>206</v>
      </c>
      <c r="I122" s="2"/>
      <c r="J122" s="419">
        <f t="shared" si="6"/>
        <v>0</v>
      </c>
      <c r="K122" s="419">
        <f t="shared" si="7"/>
        <v>0</v>
      </c>
    </row>
    <row r="123" spans="2:11" s="421" customFormat="1" ht="27">
      <c r="B123" s="442"/>
      <c r="C123" s="417" t="s">
        <v>227</v>
      </c>
      <c r="D123" s="417" t="s">
        <v>268</v>
      </c>
      <c r="E123" s="418" t="s">
        <v>269</v>
      </c>
      <c r="F123" s="417" t="s">
        <v>72</v>
      </c>
      <c r="G123" s="441">
        <v>10</v>
      </c>
      <c r="I123" s="2"/>
      <c r="J123" s="419">
        <f t="shared" si="6"/>
        <v>0</v>
      </c>
      <c r="K123" s="419">
        <f t="shared" si="7"/>
        <v>0</v>
      </c>
    </row>
    <row r="124" spans="2:11" s="421" customFormat="1" ht="13.5">
      <c r="B124" s="442"/>
      <c r="C124" s="417" t="s">
        <v>227</v>
      </c>
      <c r="D124" s="417" t="s">
        <v>270</v>
      </c>
      <c r="E124" s="418" t="s">
        <v>271</v>
      </c>
      <c r="F124" s="417" t="s">
        <v>72</v>
      </c>
      <c r="G124" s="441">
        <v>8</v>
      </c>
      <c r="I124" s="2"/>
      <c r="J124" s="419">
        <f t="shared" si="6"/>
        <v>0</v>
      </c>
      <c r="K124" s="419">
        <f t="shared" si="7"/>
        <v>0</v>
      </c>
    </row>
    <row r="125" spans="2:11" s="421" customFormat="1" ht="13.5">
      <c r="B125" s="442"/>
      <c r="C125" s="417" t="s">
        <v>227</v>
      </c>
      <c r="D125" s="417" t="s">
        <v>272</v>
      </c>
      <c r="E125" s="418" t="s">
        <v>273</v>
      </c>
      <c r="F125" s="417" t="s">
        <v>51</v>
      </c>
      <c r="G125" s="441">
        <v>37.799999999999997</v>
      </c>
      <c r="I125" s="2"/>
      <c r="J125" s="419">
        <f t="shared" si="6"/>
        <v>0</v>
      </c>
      <c r="K125" s="419">
        <f t="shared" si="7"/>
        <v>0</v>
      </c>
    </row>
    <row r="126" spans="2:11" s="421" customFormat="1" ht="27">
      <c r="B126" s="443"/>
      <c r="C126" s="417" t="s">
        <v>227</v>
      </c>
      <c r="D126" s="417" t="s">
        <v>274</v>
      </c>
      <c r="E126" s="418" t="s">
        <v>275</v>
      </c>
      <c r="F126" s="417" t="s">
        <v>44</v>
      </c>
      <c r="G126" s="441">
        <v>141.88</v>
      </c>
      <c r="I126" s="2"/>
      <c r="J126" s="419">
        <f t="shared" si="6"/>
        <v>0</v>
      </c>
      <c r="K126" s="419">
        <f t="shared" si="7"/>
        <v>0</v>
      </c>
    </row>
    <row r="127" spans="2:11" s="421" customFormat="1" ht="40.5">
      <c r="B127" s="440" t="s">
        <v>276</v>
      </c>
      <c r="C127" s="417" t="s">
        <v>277</v>
      </c>
      <c r="D127" s="417" t="s">
        <v>278</v>
      </c>
      <c r="E127" s="418" t="s">
        <v>279</v>
      </c>
      <c r="F127" s="417" t="s">
        <v>33</v>
      </c>
      <c r="G127" s="441">
        <v>99.2</v>
      </c>
      <c r="I127" s="2"/>
      <c r="J127" s="419">
        <f t="shared" si="6"/>
        <v>0</v>
      </c>
      <c r="K127" s="419">
        <f t="shared" si="7"/>
        <v>0</v>
      </c>
    </row>
    <row r="128" spans="2:11" s="421" customFormat="1" ht="27">
      <c r="B128" s="442"/>
      <c r="C128" s="417" t="s">
        <v>277</v>
      </c>
      <c r="D128" s="417" t="s">
        <v>280</v>
      </c>
      <c r="E128" s="418" t="s">
        <v>281</v>
      </c>
      <c r="F128" s="417" t="s">
        <v>33</v>
      </c>
      <c r="G128" s="441">
        <v>136.80000000000001</v>
      </c>
      <c r="I128" s="2"/>
      <c r="J128" s="419">
        <f t="shared" si="6"/>
        <v>0</v>
      </c>
      <c r="K128" s="419">
        <f t="shared" si="7"/>
        <v>0</v>
      </c>
    </row>
    <row r="129" spans="2:11" s="421" customFormat="1" ht="27">
      <c r="B129" s="442"/>
      <c r="C129" s="417" t="s">
        <v>277</v>
      </c>
      <c r="D129" s="417" t="s">
        <v>282</v>
      </c>
      <c r="E129" s="418" t="s">
        <v>283</v>
      </c>
      <c r="F129" s="417" t="s">
        <v>33</v>
      </c>
      <c r="G129" s="441">
        <v>34.200000000000003</v>
      </c>
      <c r="I129" s="2"/>
      <c r="J129" s="419">
        <f t="shared" si="6"/>
        <v>0</v>
      </c>
      <c r="K129" s="419">
        <f t="shared" si="7"/>
        <v>0</v>
      </c>
    </row>
    <row r="130" spans="2:11" s="421" customFormat="1" ht="27">
      <c r="B130" s="442"/>
      <c r="C130" s="417" t="s">
        <v>277</v>
      </c>
      <c r="D130" s="417" t="s">
        <v>284</v>
      </c>
      <c r="E130" s="418" t="s">
        <v>285</v>
      </c>
      <c r="F130" s="417" t="s">
        <v>33</v>
      </c>
      <c r="G130" s="441">
        <v>96</v>
      </c>
      <c r="I130" s="2"/>
      <c r="J130" s="419">
        <f t="shared" si="6"/>
        <v>0</v>
      </c>
      <c r="K130" s="419">
        <f t="shared" si="7"/>
        <v>0</v>
      </c>
    </row>
    <row r="131" spans="2:11" s="421" customFormat="1" ht="27">
      <c r="B131" s="443"/>
      <c r="C131" s="417" t="s">
        <v>277</v>
      </c>
      <c r="D131" s="417" t="s">
        <v>286</v>
      </c>
      <c r="E131" s="418" t="s">
        <v>387</v>
      </c>
      <c r="F131" s="417" t="s">
        <v>44</v>
      </c>
      <c r="G131" s="441">
        <v>510</v>
      </c>
      <c r="I131" s="2"/>
      <c r="J131" s="419">
        <f t="shared" si="6"/>
        <v>0</v>
      </c>
      <c r="K131" s="419">
        <f t="shared" si="7"/>
        <v>0</v>
      </c>
    </row>
    <row r="132" spans="2:11" s="421" customFormat="1" ht="54">
      <c r="B132" s="418" t="s">
        <v>288</v>
      </c>
      <c r="C132" s="417" t="s">
        <v>289</v>
      </c>
      <c r="D132" s="417" t="s">
        <v>290</v>
      </c>
      <c r="E132" s="418" t="s">
        <v>291</v>
      </c>
      <c r="F132" s="417" t="s">
        <v>33</v>
      </c>
      <c r="G132" s="441">
        <v>17.440000000000001</v>
      </c>
      <c r="I132" s="2"/>
      <c r="J132" s="419">
        <f t="shared" si="6"/>
        <v>0</v>
      </c>
      <c r="K132" s="419">
        <f t="shared" si="7"/>
        <v>0</v>
      </c>
    </row>
    <row r="133" spans="2:11" s="421" customFormat="1" ht="27">
      <c r="B133" s="440" t="s">
        <v>292</v>
      </c>
      <c r="C133" s="417" t="s">
        <v>293</v>
      </c>
      <c r="D133" s="417" t="s">
        <v>294</v>
      </c>
      <c r="E133" s="418" t="s">
        <v>295</v>
      </c>
      <c r="F133" s="417" t="s">
        <v>44</v>
      </c>
      <c r="G133" s="441">
        <v>32.729999999999997</v>
      </c>
      <c r="I133" s="2"/>
      <c r="J133" s="419">
        <f t="shared" si="6"/>
        <v>0</v>
      </c>
      <c r="K133" s="419">
        <f t="shared" si="7"/>
        <v>0</v>
      </c>
    </row>
    <row r="134" spans="2:11" s="421" customFormat="1" ht="27">
      <c r="B134" s="442"/>
      <c r="C134" s="417" t="s">
        <v>293</v>
      </c>
      <c r="D134" s="417" t="s">
        <v>296</v>
      </c>
      <c r="E134" s="418" t="s">
        <v>297</v>
      </c>
      <c r="F134" s="417" t="s">
        <v>44</v>
      </c>
      <c r="G134" s="441">
        <v>111.82</v>
      </c>
      <c r="I134" s="2"/>
      <c r="J134" s="419">
        <f t="shared" si="6"/>
        <v>0</v>
      </c>
      <c r="K134" s="419">
        <f t="shared" si="7"/>
        <v>0</v>
      </c>
    </row>
    <row r="135" spans="2:11" s="421" customFormat="1" ht="13.5">
      <c r="B135" s="442"/>
      <c r="C135" s="417" t="s">
        <v>293</v>
      </c>
      <c r="D135" s="417" t="s">
        <v>298</v>
      </c>
      <c r="E135" s="418" t="s">
        <v>299</v>
      </c>
      <c r="F135" s="417" t="s">
        <v>44</v>
      </c>
      <c r="G135" s="441">
        <v>9908.4699999999993</v>
      </c>
      <c r="I135" s="2"/>
      <c r="J135" s="419">
        <f t="shared" si="6"/>
        <v>0</v>
      </c>
      <c r="K135" s="419">
        <f t="shared" si="7"/>
        <v>0</v>
      </c>
    </row>
    <row r="136" spans="2:11" s="421" customFormat="1" ht="13.5">
      <c r="B136" s="442"/>
      <c r="C136" s="417" t="s">
        <v>293</v>
      </c>
      <c r="D136" s="417" t="s">
        <v>300</v>
      </c>
      <c r="E136" s="418" t="s">
        <v>301</v>
      </c>
      <c r="F136" s="417" t="s">
        <v>44</v>
      </c>
      <c r="G136" s="441">
        <v>40.49</v>
      </c>
      <c r="I136" s="2"/>
      <c r="J136" s="419">
        <f t="shared" si="6"/>
        <v>0</v>
      </c>
      <c r="K136" s="419">
        <f t="shared" si="7"/>
        <v>0</v>
      </c>
    </row>
    <row r="137" spans="2:11" s="421" customFormat="1" ht="13.5">
      <c r="B137" s="443"/>
      <c r="C137" s="417" t="s">
        <v>293</v>
      </c>
      <c r="D137" s="417" t="s">
        <v>302</v>
      </c>
      <c r="E137" s="418" t="s">
        <v>303</v>
      </c>
      <c r="F137" s="417" t="s">
        <v>44</v>
      </c>
      <c r="G137" s="441">
        <v>5.09</v>
      </c>
      <c r="I137" s="2"/>
      <c r="J137" s="419">
        <f t="shared" si="6"/>
        <v>0</v>
      </c>
      <c r="K137" s="419">
        <f t="shared" si="7"/>
        <v>0</v>
      </c>
    </row>
    <row r="138" spans="2:11" s="421" customFormat="1" ht="27">
      <c r="B138" s="440" t="s">
        <v>304</v>
      </c>
      <c r="C138" s="417" t="s">
        <v>305</v>
      </c>
      <c r="D138" s="417" t="s">
        <v>306</v>
      </c>
      <c r="E138" s="418" t="s">
        <v>307</v>
      </c>
      <c r="F138" s="417" t="s">
        <v>44</v>
      </c>
      <c r="G138" s="441">
        <v>342</v>
      </c>
      <c r="I138" s="2"/>
      <c r="J138" s="419">
        <f t="shared" si="6"/>
        <v>0</v>
      </c>
      <c r="K138" s="419">
        <f t="shared" si="7"/>
        <v>0</v>
      </c>
    </row>
    <row r="139" spans="2:11" s="421" customFormat="1" ht="27">
      <c r="B139" s="442"/>
      <c r="C139" s="417" t="s">
        <v>305</v>
      </c>
      <c r="D139" s="417" t="s">
        <v>308</v>
      </c>
      <c r="E139" s="418" t="s">
        <v>309</v>
      </c>
      <c r="F139" s="417" t="s">
        <v>44</v>
      </c>
      <c r="G139" s="441">
        <v>600.97</v>
      </c>
      <c r="I139" s="2"/>
      <c r="J139" s="419">
        <f t="shared" ref="J139:J161" si="8">I139*0.23</f>
        <v>0</v>
      </c>
      <c r="K139" s="419">
        <f t="shared" ref="K139:K161" si="9">I139+J139</f>
        <v>0</v>
      </c>
    </row>
    <row r="140" spans="2:11" s="421" customFormat="1" ht="27">
      <c r="B140" s="442"/>
      <c r="C140" s="417" t="s">
        <v>305</v>
      </c>
      <c r="D140" s="417" t="s">
        <v>310</v>
      </c>
      <c r="E140" s="418" t="s">
        <v>311</v>
      </c>
      <c r="F140" s="417" t="s">
        <v>51</v>
      </c>
      <c r="G140" s="441">
        <v>66</v>
      </c>
      <c r="I140" s="2"/>
      <c r="J140" s="419">
        <f t="shared" si="8"/>
        <v>0</v>
      </c>
      <c r="K140" s="419">
        <f t="shared" si="9"/>
        <v>0</v>
      </c>
    </row>
    <row r="141" spans="2:11" s="421" customFormat="1" ht="27">
      <c r="B141" s="443"/>
      <c r="C141" s="417" t="s">
        <v>305</v>
      </c>
      <c r="D141" s="417" t="s">
        <v>312</v>
      </c>
      <c r="E141" s="418" t="s">
        <v>313</v>
      </c>
      <c r="F141" s="417" t="s">
        <v>33</v>
      </c>
      <c r="G141" s="441">
        <v>0.35</v>
      </c>
      <c r="I141" s="2"/>
      <c r="J141" s="419">
        <f t="shared" si="8"/>
        <v>0</v>
      </c>
      <c r="K141" s="419">
        <f t="shared" si="9"/>
        <v>0</v>
      </c>
    </row>
    <row r="142" spans="2:11" s="421" customFormat="1" ht="13.5">
      <c r="B142" s="440" t="s">
        <v>314</v>
      </c>
      <c r="C142" s="417" t="s">
        <v>315</v>
      </c>
      <c r="D142" s="417" t="s">
        <v>316</v>
      </c>
      <c r="E142" s="418" t="s">
        <v>317</v>
      </c>
      <c r="F142" s="417" t="s">
        <v>33</v>
      </c>
      <c r="G142" s="441">
        <v>11.22</v>
      </c>
      <c r="I142" s="2"/>
      <c r="J142" s="419">
        <f t="shared" si="8"/>
        <v>0</v>
      </c>
      <c r="K142" s="419">
        <f t="shared" si="9"/>
        <v>0</v>
      </c>
    </row>
    <row r="143" spans="2:11" s="421" customFormat="1" ht="13.5">
      <c r="B143" s="443"/>
      <c r="C143" s="417" t="s">
        <v>315</v>
      </c>
      <c r="D143" s="417" t="s">
        <v>318</v>
      </c>
      <c r="E143" s="418" t="s">
        <v>319</v>
      </c>
      <c r="F143" s="417" t="s">
        <v>30</v>
      </c>
      <c r="G143" s="441">
        <v>1.1299999999999999</v>
      </c>
      <c r="I143" s="2"/>
      <c r="J143" s="419">
        <f t="shared" si="8"/>
        <v>0</v>
      </c>
      <c r="K143" s="419">
        <f t="shared" si="9"/>
        <v>0</v>
      </c>
    </row>
    <row r="144" spans="2:11" s="421" customFormat="1" ht="27">
      <c r="B144" s="440" t="s">
        <v>320</v>
      </c>
      <c r="C144" s="417" t="s">
        <v>321</v>
      </c>
      <c r="D144" s="417" t="s">
        <v>322</v>
      </c>
      <c r="E144" s="418" t="s">
        <v>323</v>
      </c>
      <c r="F144" s="417" t="s">
        <v>44</v>
      </c>
      <c r="G144" s="441">
        <v>4.9400000000000004</v>
      </c>
      <c r="I144" s="2"/>
      <c r="J144" s="419">
        <f t="shared" si="8"/>
        <v>0</v>
      </c>
      <c r="K144" s="419">
        <f t="shared" si="9"/>
        <v>0</v>
      </c>
    </row>
    <row r="145" spans="2:11" s="421" customFormat="1" ht="27">
      <c r="B145" s="442"/>
      <c r="C145" s="417" t="s">
        <v>321</v>
      </c>
      <c r="D145" s="417" t="s">
        <v>324</v>
      </c>
      <c r="E145" s="418" t="s">
        <v>325</v>
      </c>
      <c r="F145" s="417" t="s">
        <v>44</v>
      </c>
      <c r="G145" s="441">
        <v>2721.35</v>
      </c>
      <c r="I145" s="2"/>
      <c r="J145" s="419">
        <f t="shared" si="8"/>
        <v>0</v>
      </c>
      <c r="K145" s="419">
        <f t="shared" si="9"/>
        <v>0</v>
      </c>
    </row>
    <row r="146" spans="2:11" s="421" customFormat="1" ht="13.5">
      <c r="B146" s="443"/>
      <c r="C146" s="417" t="s">
        <v>321</v>
      </c>
      <c r="D146" s="417" t="s">
        <v>326</v>
      </c>
      <c r="E146" s="418" t="s">
        <v>327</v>
      </c>
      <c r="F146" s="417" t="s">
        <v>72</v>
      </c>
      <c r="G146" s="441">
        <v>33</v>
      </c>
      <c r="I146" s="2"/>
      <c r="J146" s="419">
        <f t="shared" si="8"/>
        <v>0</v>
      </c>
      <c r="K146" s="419">
        <f t="shared" si="9"/>
        <v>0</v>
      </c>
    </row>
    <row r="147" spans="2:11" s="421" customFormat="1" ht="27">
      <c r="B147" s="418" t="s">
        <v>328</v>
      </c>
      <c r="C147" s="417" t="s">
        <v>329</v>
      </c>
      <c r="D147" s="417" t="s">
        <v>330</v>
      </c>
      <c r="E147" s="418" t="s">
        <v>331</v>
      </c>
      <c r="F147" s="417" t="s">
        <v>51</v>
      </c>
      <c r="G147" s="441">
        <v>132</v>
      </c>
      <c r="I147" s="2"/>
      <c r="J147" s="419">
        <f t="shared" si="8"/>
        <v>0</v>
      </c>
      <c r="K147" s="419">
        <f t="shared" si="9"/>
        <v>0</v>
      </c>
    </row>
    <row r="148" spans="2:11" s="421" customFormat="1" ht="27">
      <c r="B148" s="418" t="s">
        <v>375</v>
      </c>
      <c r="C148" s="417" t="s">
        <v>332</v>
      </c>
      <c r="D148" s="417" t="s">
        <v>333</v>
      </c>
      <c r="E148" s="418" t="s">
        <v>334</v>
      </c>
      <c r="F148" s="417" t="s">
        <v>44</v>
      </c>
      <c r="G148" s="441">
        <v>20.09</v>
      </c>
      <c r="I148" s="2"/>
      <c r="J148" s="419">
        <f t="shared" si="8"/>
        <v>0</v>
      </c>
      <c r="K148" s="419">
        <f t="shared" si="9"/>
        <v>0</v>
      </c>
    </row>
    <row r="149" spans="2:11" s="421" customFormat="1" ht="13.5">
      <c r="B149" s="418" t="s">
        <v>335</v>
      </c>
      <c r="C149" s="417" t="s">
        <v>336</v>
      </c>
      <c r="D149" s="417" t="s">
        <v>337</v>
      </c>
      <c r="E149" s="418" t="s">
        <v>338</v>
      </c>
      <c r="F149" s="417" t="s">
        <v>44</v>
      </c>
      <c r="G149" s="441">
        <v>84.6</v>
      </c>
      <c r="I149" s="2"/>
      <c r="J149" s="419">
        <f t="shared" si="8"/>
        <v>0</v>
      </c>
      <c r="K149" s="419">
        <f t="shared" si="9"/>
        <v>0</v>
      </c>
    </row>
    <row r="150" spans="2:11" s="421" customFormat="1" ht="27">
      <c r="B150" s="440" t="s">
        <v>376</v>
      </c>
      <c r="C150" s="417" t="s">
        <v>339</v>
      </c>
      <c r="D150" s="417" t="s">
        <v>340</v>
      </c>
      <c r="E150" s="418" t="s">
        <v>341</v>
      </c>
      <c r="F150" s="417" t="s">
        <v>33</v>
      </c>
      <c r="G150" s="441">
        <v>155.4</v>
      </c>
      <c r="I150" s="2"/>
      <c r="J150" s="419">
        <f t="shared" si="8"/>
        <v>0</v>
      </c>
      <c r="K150" s="419">
        <f t="shared" si="9"/>
        <v>0</v>
      </c>
    </row>
    <row r="151" spans="2:11" s="421" customFormat="1" ht="27">
      <c r="B151" s="442"/>
      <c r="C151" s="417" t="s">
        <v>339</v>
      </c>
      <c r="D151" s="417" t="s">
        <v>342</v>
      </c>
      <c r="E151" s="418" t="s">
        <v>343</v>
      </c>
      <c r="F151" s="417" t="s">
        <v>33</v>
      </c>
      <c r="G151" s="441">
        <v>102.73</v>
      </c>
      <c r="I151" s="2"/>
      <c r="J151" s="419">
        <f t="shared" si="8"/>
        <v>0</v>
      </c>
      <c r="K151" s="419">
        <f t="shared" si="9"/>
        <v>0</v>
      </c>
    </row>
    <row r="152" spans="2:11" s="421" customFormat="1" ht="13.5">
      <c r="B152" s="442"/>
      <c r="C152" s="417" t="s">
        <v>339</v>
      </c>
      <c r="D152" s="417" t="s">
        <v>344</v>
      </c>
      <c r="E152" s="418" t="s">
        <v>345</v>
      </c>
      <c r="F152" s="417" t="s">
        <v>44</v>
      </c>
      <c r="G152" s="441">
        <v>70</v>
      </c>
      <c r="I152" s="2"/>
      <c r="J152" s="419">
        <f t="shared" si="8"/>
        <v>0</v>
      </c>
      <c r="K152" s="419">
        <f t="shared" si="9"/>
        <v>0</v>
      </c>
    </row>
    <row r="153" spans="2:11" s="421" customFormat="1" ht="27">
      <c r="B153" s="443"/>
      <c r="C153" s="417" t="s">
        <v>339</v>
      </c>
      <c r="D153" s="417" t="s">
        <v>346</v>
      </c>
      <c r="E153" s="418" t="s">
        <v>347</v>
      </c>
      <c r="F153" s="417" t="s">
        <v>33</v>
      </c>
      <c r="G153" s="441">
        <v>32.590000000000003</v>
      </c>
      <c r="I153" s="2"/>
      <c r="J153" s="419">
        <f t="shared" si="8"/>
        <v>0</v>
      </c>
      <c r="K153" s="419">
        <f t="shared" si="9"/>
        <v>0</v>
      </c>
    </row>
    <row r="154" spans="2:11" s="421" customFormat="1" ht="40.5">
      <c r="B154" s="440" t="s">
        <v>348</v>
      </c>
      <c r="C154" s="417" t="s">
        <v>349</v>
      </c>
      <c r="D154" s="417" t="s">
        <v>350</v>
      </c>
      <c r="E154" s="418" t="s">
        <v>351</v>
      </c>
      <c r="F154" s="417" t="s">
        <v>44</v>
      </c>
      <c r="G154" s="441">
        <v>803.72</v>
      </c>
      <c r="I154" s="2"/>
      <c r="J154" s="419">
        <f t="shared" si="8"/>
        <v>0</v>
      </c>
      <c r="K154" s="419">
        <f t="shared" si="9"/>
        <v>0</v>
      </c>
    </row>
    <row r="155" spans="2:11" s="421" customFormat="1" ht="13.5">
      <c r="B155" s="442"/>
      <c r="C155" s="417" t="s">
        <v>349</v>
      </c>
      <c r="D155" s="417" t="s">
        <v>352</v>
      </c>
      <c r="E155" s="418" t="s">
        <v>353</v>
      </c>
      <c r="F155" s="417" t="s">
        <v>44</v>
      </c>
      <c r="G155" s="441">
        <v>29.3</v>
      </c>
      <c r="I155" s="2"/>
      <c r="J155" s="419">
        <f t="shared" si="8"/>
        <v>0</v>
      </c>
      <c r="K155" s="419">
        <f t="shared" si="9"/>
        <v>0</v>
      </c>
    </row>
    <row r="156" spans="2:11" s="421" customFormat="1" ht="13.5">
      <c r="B156" s="442"/>
      <c r="C156" s="417" t="s">
        <v>349</v>
      </c>
      <c r="D156" s="417" t="s">
        <v>354</v>
      </c>
      <c r="E156" s="418" t="s">
        <v>355</v>
      </c>
      <c r="F156" s="417" t="s">
        <v>44</v>
      </c>
      <c r="G156" s="441">
        <v>22.6</v>
      </c>
      <c r="I156" s="2"/>
      <c r="J156" s="419">
        <f t="shared" si="8"/>
        <v>0</v>
      </c>
      <c r="K156" s="419">
        <f t="shared" si="9"/>
        <v>0</v>
      </c>
    </row>
    <row r="157" spans="2:11" s="421" customFormat="1" ht="13.5">
      <c r="B157" s="442"/>
      <c r="C157" s="417" t="s">
        <v>349</v>
      </c>
      <c r="D157" s="417" t="s">
        <v>356</v>
      </c>
      <c r="E157" s="418" t="s">
        <v>357</v>
      </c>
      <c r="F157" s="417" t="s">
        <v>44</v>
      </c>
      <c r="G157" s="441">
        <v>7945.8</v>
      </c>
      <c r="I157" s="2"/>
      <c r="J157" s="419">
        <f t="shared" si="8"/>
        <v>0</v>
      </c>
      <c r="K157" s="419">
        <f t="shared" si="9"/>
        <v>0</v>
      </c>
    </row>
    <row r="158" spans="2:11" s="421" customFormat="1" ht="27">
      <c r="B158" s="442"/>
      <c r="C158" s="417" t="s">
        <v>349</v>
      </c>
      <c r="D158" s="417" t="s">
        <v>358</v>
      </c>
      <c r="E158" s="418" t="s">
        <v>359</v>
      </c>
      <c r="F158" s="417" t="s">
        <v>44</v>
      </c>
      <c r="G158" s="441">
        <v>5.46</v>
      </c>
      <c r="I158" s="2"/>
      <c r="J158" s="419">
        <f t="shared" si="8"/>
        <v>0</v>
      </c>
      <c r="K158" s="419">
        <f t="shared" si="9"/>
        <v>0</v>
      </c>
    </row>
    <row r="159" spans="2:11" s="421" customFormat="1" ht="13.5">
      <c r="B159" s="442"/>
      <c r="C159" s="417" t="s">
        <v>349</v>
      </c>
      <c r="D159" s="417" t="s">
        <v>360</v>
      </c>
      <c r="E159" s="418" t="s">
        <v>361</v>
      </c>
      <c r="F159" s="417" t="s">
        <v>44</v>
      </c>
      <c r="G159" s="441">
        <v>13450.22</v>
      </c>
      <c r="I159" s="2"/>
      <c r="J159" s="419">
        <f t="shared" si="8"/>
        <v>0</v>
      </c>
      <c r="K159" s="419">
        <f t="shared" si="9"/>
        <v>0</v>
      </c>
    </row>
    <row r="160" spans="2:11" s="421" customFormat="1" ht="13.5">
      <c r="B160" s="442"/>
      <c r="C160" s="417" t="s">
        <v>349</v>
      </c>
      <c r="D160" s="417" t="s">
        <v>362</v>
      </c>
      <c r="E160" s="418" t="s">
        <v>363</v>
      </c>
      <c r="F160" s="417" t="s">
        <v>44</v>
      </c>
      <c r="G160" s="441">
        <v>361.5</v>
      </c>
      <c r="I160" s="2"/>
      <c r="J160" s="419">
        <f t="shared" si="8"/>
        <v>0</v>
      </c>
      <c r="K160" s="419">
        <f t="shared" si="9"/>
        <v>0</v>
      </c>
    </row>
    <row r="161" spans="1:11" s="421" customFormat="1" ht="13.5">
      <c r="B161" s="443"/>
      <c r="C161" s="417" t="s">
        <v>349</v>
      </c>
      <c r="D161" s="417" t="s">
        <v>364</v>
      </c>
      <c r="E161" s="418" t="s">
        <v>365</v>
      </c>
      <c r="F161" s="417" t="s">
        <v>44</v>
      </c>
      <c r="G161" s="441">
        <v>317.99</v>
      </c>
      <c r="I161" s="2"/>
      <c r="J161" s="419">
        <f t="shared" si="8"/>
        <v>0</v>
      </c>
      <c r="K161" s="419">
        <f t="shared" si="9"/>
        <v>0</v>
      </c>
    </row>
    <row r="166" spans="1:11">
      <c r="A166" s="9"/>
      <c r="B166" s="10"/>
      <c r="C166" s="9"/>
      <c r="D166" s="9"/>
      <c r="E166" s="10"/>
    </row>
    <row r="167" spans="1:11" ht="15">
      <c r="A167" s="9"/>
      <c r="B167" s="8" t="s">
        <v>389</v>
      </c>
      <c r="C167" s="9"/>
      <c r="D167" s="8" t="s">
        <v>390</v>
      </c>
      <c r="E167" s="7"/>
    </row>
    <row r="168" spans="1:11" ht="15">
      <c r="A168" s="9"/>
      <c r="B168" s="9"/>
      <c r="C168" s="9"/>
      <c r="D168" s="8" t="s">
        <v>391</v>
      </c>
      <c r="E168" s="7"/>
    </row>
    <row r="169" spans="1:11" ht="15">
      <c r="A169" s="9"/>
      <c r="B169" s="9"/>
      <c r="C169" s="9"/>
      <c r="D169" s="8" t="s">
        <v>392</v>
      </c>
      <c r="E169" s="7"/>
    </row>
  </sheetData>
  <sheetProtection algorithmName="SHA-512" hashValue="WbkxQXRJWdJHCENNesIEu1gwRK2tlyEp/QejF6OkL0CwBODaWD+YRuUIQlFNYLXuA/kpn81vA+p90N4XoLPrSQ==" saltValue="+4zMpLSepgaTLQdqqFCNMw==" spinCount="100000" sheet="1" objects="1" scenarios="1"/>
  <mergeCells count="1">
    <mergeCell ref="C5:D5"/>
  </mergeCells>
  <pageMargins left="0.7" right="0.7" top="0.75" bottom="0.75" header="0.3" footer="0.3"/>
  <pageSetup paperSize="9" scale="96" fitToHeight="0" orientation="landscape" errors="blank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BA0646-C605-469F-A900-070D8E8B40F0}">
  <sheetPr>
    <pageSetUpPr fitToPage="1"/>
  </sheetPr>
  <dimension ref="A1:L182"/>
  <sheetViews>
    <sheetView showGridLines="0" topLeftCell="B1" zoomScaleNormal="100" workbookViewId="0">
      <selection activeCell="B179" sqref="B179:E182"/>
    </sheetView>
  </sheetViews>
  <sheetFormatPr defaultColWidth="8.7109375" defaultRowHeight="12.75"/>
  <cols>
    <col min="1" max="1" width="2.140625" style="408" customWidth="1"/>
    <col min="2" max="2" width="27.7109375" style="409" customWidth="1"/>
    <col min="3" max="3" width="10.5703125" style="408" customWidth="1"/>
    <col min="4" max="4" width="12" style="408" customWidth="1"/>
    <col min="5" max="5" width="63.28515625" style="409" customWidth="1"/>
    <col min="6" max="6" width="4.42578125" style="408" customWidth="1"/>
    <col min="7" max="7" width="14.5703125" style="408" customWidth="1"/>
    <col min="8" max="8" width="23.140625" style="408" hidden="1" customWidth="1"/>
    <col min="9" max="9" width="16.7109375" style="408" customWidth="1"/>
    <col min="10" max="10" width="18" style="408" customWidth="1"/>
    <col min="11" max="11" width="14" style="408" hidden="1" customWidth="1"/>
    <col min="12" max="16384" width="8.7109375" style="408"/>
  </cols>
  <sheetData>
    <row r="1" spans="1:11" ht="55.9" customHeight="1">
      <c r="A1" s="434"/>
      <c r="B1" s="412" t="s">
        <v>377</v>
      </c>
      <c r="C1" s="434"/>
      <c r="D1" s="434"/>
      <c r="E1" s="434" t="s">
        <v>379</v>
      </c>
      <c r="F1" s="434"/>
      <c r="G1" s="434"/>
      <c r="H1" s="434"/>
      <c r="I1" s="508" t="s">
        <v>1513</v>
      </c>
      <c r="J1" s="451" t="s">
        <v>1489</v>
      </c>
      <c r="K1" s="436" t="s">
        <v>1488</v>
      </c>
    </row>
    <row r="2" spans="1:11" ht="21" customHeight="1">
      <c r="A2" s="434"/>
      <c r="B2" s="434"/>
      <c r="C2" s="434"/>
      <c r="D2" s="434"/>
      <c r="E2" s="434"/>
      <c r="F2" s="434"/>
      <c r="G2" s="434"/>
      <c r="H2" s="434"/>
      <c r="I2" s="434"/>
      <c r="J2" s="452" t="s">
        <v>383</v>
      </c>
      <c r="K2" s="434"/>
    </row>
    <row r="3" spans="1:11" ht="22.5">
      <c r="A3" s="434"/>
      <c r="B3" s="438" t="s">
        <v>366</v>
      </c>
      <c r="C3" s="463" t="s">
        <v>15</v>
      </c>
      <c r="D3" s="464"/>
      <c r="E3" s="438" t="s">
        <v>16</v>
      </c>
      <c r="F3" s="438" t="s">
        <v>17</v>
      </c>
      <c r="G3" s="438" t="s">
        <v>18</v>
      </c>
      <c r="H3" s="439" t="s">
        <v>381</v>
      </c>
      <c r="I3" s="439" t="s">
        <v>381</v>
      </c>
      <c r="J3" s="439" t="s">
        <v>382</v>
      </c>
      <c r="K3" s="439" t="s">
        <v>4</v>
      </c>
    </row>
    <row r="4" spans="1:11" s="421" customFormat="1" ht="13.5">
      <c r="B4" s="453" t="s">
        <v>367</v>
      </c>
      <c r="C4" s="417" t="s">
        <v>22</v>
      </c>
      <c r="D4" s="417" t="s">
        <v>23</v>
      </c>
      <c r="E4" s="418" t="s">
        <v>24</v>
      </c>
      <c r="F4" s="417" t="s">
        <v>25</v>
      </c>
      <c r="G4" s="441">
        <v>1</v>
      </c>
      <c r="H4" s="419">
        <f>SupisPrac!I6</f>
        <v>0</v>
      </c>
      <c r="I4" s="420">
        <f t="shared" ref="I4:I16" si="0">ROUND(H4,2)</f>
        <v>0</v>
      </c>
      <c r="J4" s="420">
        <f t="shared" ref="J4:J16" si="1">ROUND(G4*I4,2)</f>
        <v>0</v>
      </c>
      <c r="K4" s="419">
        <f t="shared" ref="K4:K16" si="2">J4*0.23</f>
        <v>0</v>
      </c>
    </row>
    <row r="5" spans="1:11" s="421" customFormat="1" ht="13.5">
      <c r="B5" s="442"/>
      <c r="C5" s="417" t="s">
        <v>22</v>
      </c>
      <c r="D5" s="417" t="s">
        <v>26</v>
      </c>
      <c r="E5" s="418" t="s">
        <v>27</v>
      </c>
      <c r="F5" s="417" t="s">
        <v>25</v>
      </c>
      <c r="G5" s="441">
        <v>1</v>
      </c>
      <c r="H5" s="419">
        <f>SupisPrac!I7</f>
        <v>0</v>
      </c>
      <c r="I5" s="420">
        <f t="shared" si="0"/>
        <v>0</v>
      </c>
      <c r="J5" s="420">
        <f t="shared" si="1"/>
        <v>0</v>
      </c>
      <c r="K5" s="419">
        <f t="shared" si="2"/>
        <v>0</v>
      </c>
    </row>
    <row r="6" spans="1:11" s="421" customFormat="1" ht="13.5">
      <c r="B6" s="442"/>
      <c r="C6" s="417" t="s">
        <v>22</v>
      </c>
      <c r="D6" s="417" t="s">
        <v>28</v>
      </c>
      <c r="E6" s="418" t="s">
        <v>29</v>
      </c>
      <c r="F6" s="417" t="s">
        <v>30</v>
      </c>
      <c r="G6" s="441">
        <v>4176.91</v>
      </c>
      <c r="H6" s="419">
        <f>SupisPrac!I8</f>
        <v>0</v>
      </c>
      <c r="I6" s="420">
        <f t="shared" si="0"/>
        <v>0</v>
      </c>
      <c r="J6" s="420">
        <f t="shared" si="1"/>
        <v>0</v>
      </c>
      <c r="K6" s="419">
        <f t="shared" si="2"/>
        <v>0</v>
      </c>
    </row>
    <row r="7" spans="1:11" s="421" customFormat="1" ht="13.5">
      <c r="B7" s="442"/>
      <c r="C7" s="417" t="s">
        <v>22</v>
      </c>
      <c r="D7" s="417" t="s">
        <v>31</v>
      </c>
      <c r="E7" s="418" t="s">
        <v>32</v>
      </c>
      <c r="F7" s="417" t="s">
        <v>33</v>
      </c>
      <c r="G7" s="441">
        <v>411.8</v>
      </c>
      <c r="H7" s="419">
        <f>SupisPrac!I9</f>
        <v>0</v>
      </c>
      <c r="I7" s="420">
        <f t="shared" si="0"/>
        <v>0</v>
      </c>
      <c r="J7" s="420">
        <f t="shared" si="1"/>
        <v>0</v>
      </c>
      <c r="K7" s="419">
        <f t="shared" si="2"/>
        <v>0</v>
      </c>
    </row>
    <row r="8" spans="1:11" s="421" customFormat="1" ht="13.5">
      <c r="B8" s="442"/>
      <c r="C8" s="417" t="s">
        <v>22</v>
      </c>
      <c r="D8" s="417" t="s">
        <v>34</v>
      </c>
      <c r="E8" s="418" t="s">
        <v>35</v>
      </c>
      <c r="F8" s="417" t="s">
        <v>33</v>
      </c>
      <c r="G8" s="441">
        <v>10</v>
      </c>
      <c r="H8" s="419">
        <f>SupisPrac!I10</f>
        <v>0</v>
      </c>
      <c r="I8" s="420">
        <f t="shared" si="0"/>
        <v>0</v>
      </c>
      <c r="J8" s="420">
        <f t="shared" si="1"/>
        <v>0</v>
      </c>
      <c r="K8" s="419">
        <f t="shared" si="2"/>
        <v>0</v>
      </c>
    </row>
    <row r="9" spans="1:11" s="421" customFormat="1" ht="13.5">
      <c r="B9" s="442"/>
      <c r="C9" s="417" t="s">
        <v>22</v>
      </c>
      <c r="D9" s="417" t="s">
        <v>36</v>
      </c>
      <c r="E9" s="418" t="s">
        <v>37</v>
      </c>
      <c r="F9" s="417" t="s">
        <v>25</v>
      </c>
      <c r="G9" s="441">
        <v>1</v>
      </c>
      <c r="H9" s="419">
        <f>SupisPrac!I11</f>
        <v>0</v>
      </c>
      <c r="I9" s="420">
        <f t="shared" si="0"/>
        <v>0</v>
      </c>
      <c r="J9" s="420">
        <f t="shared" si="1"/>
        <v>0</v>
      </c>
      <c r="K9" s="419">
        <f t="shared" si="2"/>
        <v>0</v>
      </c>
    </row>
    <row r="10" spans="1:11" s="421" customFormat="1" ht="13.5">
      <c r="B10" s="442"/>
      <c r="C10" s="417" t="s">
        <v>22</v>
      </c>
      <c r="D10" s="417" t="s">
        <v>38</v>
      </c>
      <c r="E10" s="418" t="s">
        <v>39</v>
      </c>
      <c r="F10" s="417" t="s">
        <v>25</v>
      </c>
      <c r="G10" s="441">
        <v>1</v>
      </c>
      <c r="H10" s="419">
        <f>SupisPrac!I12</f>
        <v>0</v>
      </c>
      <c r="I10" s="420">
        <f t="shared" si="0"/>
        <v>0</v>
      </c>
      <c r="J10" s="420">
        <f t="shared" si="1"/>
        <v>0</v>
      </c>
      <c r="K10" s="419">
        <f t="shared" si="2"/>
        <v>0</v>
      </c>
    </row>
    <row r="11" spans="1:11" s="421" customFormat="1" ht="13.5">
      <c r="B11" s="442"/>
      <c r="C11" s="417" t="s">
        <v>22</v>
      </c>
      <c r="D11" s="417" t="s">
        <v>40</v>
      </c>
      <c r="E11" s="418" t="s">
        <v>41</v>
      </c>
      <c r="F11" s="417" t="s">
        <v>25</v>
      </c>
      <c r="G11" s="441">
        <v>1</v>
      </c>
      <c r="H11" s="419">
        <f>SupisPrac!I13</f>
        <v>0</v>
      </c>
      <c r="I11" s="420">
        <f t="shared" si="0"/>
        <v>0</v>
      </c>
      <c r="J11" s="420">
        <f t="shared" si="1"/>
        <v>0</v>
      </c>
      <c r="K11" s="419">
        <f t="shared" si="2"/>
        <v>0</v>
      </c>
    </row>
    <row r="12" spans="1:11" s="421" customFormat="1" ht="13.5">
      <c r="B12" s="442"/>
      <c r="C12" s="417" t="s">
        <v>22</v>
      </c>
      <c r="D12" s="417" t="s">
        <v>42</v>
      </c>
      <c r="E12" s="418" t="s">
        <v>43</v>
      </c>
      <c r="F12" s="417" t="s">
        <v>44</v>
      </c>
      <c r="G12" s="441">
        <v>10536.67</v>
      </c>
      <c r="H12" s="419">
        <f>SupisPrac!I14</f>
        <v>0</v>
      </c>
      <c r="I12" s="420">
        <f t="shared" si="0"/>
        <v>0</v>
      </c>
      <c r="J12" s="420">
        <f t="shared" si="1"/>
        <v>0</v>
      </c>
      <c r="K12" s="419">
        <f t="shared" si="2"/>
        <v>0</v>
      </c>
    </row>
    <row r="13" spans="1:11" s="421" customFormat="1" ht="13.5">
      <c r="B13" s="442"/>
      <c r="C13" s="417" t="s">
        <v>22</v>
      </c>
      <c r="D13" s="417" t="s">
        <v>45</v>
      </c>
      <c r="E13" s="418" t="s">
        <v>46</v>
      </c>
      <c r="F13" s="417" t="s">
        <v>44</v>
      </c>
      <c r="G13" s="441">
        <v>34659</v>
      </c>
      <c r="H13" s="419">
        <f>SupisPrac!I15</f>
        <v>0</v>
      </c>
      <c r="I13" s="420">
        <f t="shared" si="0"/>
        <v>0</v>
      </c>
      <c r="J13" s="420">
        <f t="shared" si="1"/>
        <v>0</v>
      </c>
      <c r="K13" s="419">
        <f t="shared" si="2"/>
        <v>0</v>
      </c>
    </row>
    <row r="14" spans="1:11" s="421" customFormat="1" ht="27">
      <c r="B14" s="442"/>
      <c r="C14" s="417" t="s">
        <v>22</v>
      </c>
      <c r="D14" s="417" t="s">
        <v>47</v>
      </c>
      <c r="E14" s="418" t="s">
        <v>48</v>
      </c>
      <c r="F14" s="417" t="s">
        <v>25</v>
      </c>
      <c r="G14" s="441">
        <v>1</v>
      </c>
      <c r="H14" s="419">
        <f>SupisPrac!I16</f>
        <v>0</v>
      </c>
      <c r="I14" s="420">
        <f t="shared" si="0"/>
        <v>0</v>
      </c>
      <c r="J14" s="420">
        <f t="shared" si="1"/>
        <v>0</v>
      </c>
      <c r="K14" s="419">
        <f t="shared" si="2"/>
        <v>0</v>
      </c>
    </row>
    <row r="15" spans="1:11" s="421" customFormat="1" ht="13.5">
      <c r="B15" s="442"/>
      <c r="C15" s="417" t="s">
        <v>22</v>
      </c>
      <c r="D15" s="417" t="s">
        <v>49</v>
      </c>
      <c r="E15" s="418" t="s">
        <v>50</v>
      </c>
      <c r="F15" s="417" t="s">
        <v>51</v>
      </c>
      <c r="G15" s="441">
        <v>850</v>
      </c>
      <c r="H15" s="419">
        <f>SupisPrac!I17</f>
        <v>0</v>
      </c>
      <c r="I15" s="420">
        <f t="shared" si="0"/>
        <v>0</v>
      </c>
      <c r="J15" s="420">
        <f t="shared" si="1"/>
        <v>0</v>
      </c>
      <c r="K15" s="419">
        <f t="shared" si="2"/>
        <v>0</v>
      </c>
    </row>
    <row r="16" spans="1:11" s="421" customFormat="1" ht="13.5">
      <c r="B16" s="443"/>
      <c r="C16" s="417" t="s">
        <v>22</v>
      </c>
      <c r="D16" s="417" t="s">
        <v>52</v>
      </c>
      <c r="E16" s="418" t="s">
        <v>53</v>
      </c>
      <c r="F16" s="417" t="s">
        <v>25</v>
      </c>
      <c r="G16" s="441">
        <v>1</v>
      </c>
      <c r="H16" s="419">
        <f>SupisPrac!I18</f>
        <v>0</v>
      </c>
      <c r="I16" s="420">
        <f t="shared" si="0"/>
        <v>0</v>
      </c>
      <c r="J16" s="420">
        <f t="shared" si="1"/>
        <v>0</v>
      </c>
      <c r="K16" s="419">
        <f t="shared" si="2"/>
        <v>0</v>
      </c>
    </row>
    <row r="17" spans="2:11" s="428" customFormat="1" ht="27">
      <c r="B17" s="424" t="s">
        <v>368</v>
      </c>
      <c r="C17" s="454"/>
      <c r="D17" s="454"/>
      <c r="E17" s="455"/>
      <c r="F17" s="454"/>
      <c r="G17" s="454"/>
      <c r="H17" s="454"/>
      <c r="I17" s="454"/>
      <c r="J17" s="456">
        <f>SUM(J4:J16)</f>
        <v>0</v>
      </c>
      <c r="K17" s="427">
        <f>SUM(K4:K16)</f>
        <v>0</v>
      </c>
    </row>
    <row r="18" spans="2:11" s="421" customFormat="1" ht="13.5">
      <c r="B18" s="453" t="s">
        <v>369</v>
      </c>
      <c r="C18" s="417" t="s">
        <v>55</v>
      </c>
      <c r="D18" s="417" t="s">
        <v>68</v>
      </c>
      <c r="E18" s="418" t="s">
        <v>69</v>
      </c>
      <c r="F18" s="417" t="s">
        <v>51</v>
      </c>
      <c r="G18" s="441">
        <v>13.19</v>
      </c>
      <c r="H18" s="419">
        <f>SupisPrac!I25</f>
        <v>0</v>
      </c>
      <c r="I18" s="420">
        <f t="shared" ref="I18:I62" si="3">ROUND(H18,2)</f>
        <v>0</v>
      </c>
      <c r="J18" s="420">
        <f t="shared" ref="J18:J62" si="4">ROUND(G18*I18,2)</f>
        <v>0</v>
      </c>
      <c r="K18" s="419">
        <f t="shared" ref="K18:K62" si="5">J18*0.23</f>
        <v>0</v>
      </c>
    </row>
    <row r="19" spans="2:11" s="421" customFormat="1" ht="13.5">
      <c r="B19" s="442"/>
      <c r="C19" s="417" t="s">
        <v>55</v>
      </c>
      <c r="D19" s="417" t="s">
        <v>75</v>
      </c>
      <c r="E19" s="418" t="s">
        <v>76</v>
      </c>
      <c r="F19" s="417" t="s">
        <v>72</v>
      </c>
      <c r="G19" s="441">
        <v>128</v>
      </c>
      <c r="H19" s="419">
        <f>SupisPrac!I28</f>
        <v>0</v>
      </c>
      <c r="I19" s="420">
        <f t="shared" si="3"/>
        <v>0</v>
      </c>
      <c r="J19" s="420">
        <f t="shared" si="4"/>
        <v>0</v>
      </c>
      <c r="K19" s="419">
        <f t="shared" si="5"/>
        <v>0</v>
      </c>
    </row>
    <row r="20" spans="2:11" s="421" customFormat="1" ht="27">
      <c r="B20" s="442"/>
      <c r="C20" s="417" t="s">
        <v>55</v>
      </c>
      <c r="D20" s="417" t="s">
        <v>79</v>
      </c>
      <c r="E20" s="418" t="s">
        <v>80</v>
      </c>
      <c r="F20" s="417" t="s">
        <v>44</v>
      </c>
      <c r="G20" s="441">
        <v>31.5</v>
      </c>
      <c r="H20" s="419">
        <f>SupisPrac!I30</f>
        <v>0</v>
      </c>
      <c r="I20" s="420">
        <f t="shared" si="3"/>
        <v>0</v>
      </c>
      <c r="J20" s="420">
        <f t="shared" si="4"/>
        <v>0</v>
      </c>
      <c r="K20" s="419">
        <f t="shared" si="5"/>
        <v>0</v>
      </c>
    </row>
    <row r="21" spans="2:11" s="421" customFormat="1" ht="13.5">
      <c r="B21" s="442"/>
      <c r="C21" s="417" t="s">
        <v>55</v>
      </c>
      <c r="D21" s="417" t="s">
        <v>81</v>
      </c>
      <c r="E21" s="418" t="s">
        <v>82</v>
      </c>
      <c r="F21" s="417" t="s">
        <v>44</v>
      </c>
      <c r="G21" s="441">
        <v>480</v>
      </c>
      <c r="H21" s="419">
        <f>SupisPrac!I31</f>
        <v>0</v>
      </c>
      <c r="I21" s="420">
        <f t="shared" si="3"/>
        <v>0</v>
      </c>
      <c r="J21" s="420">
        <f t="shared" si="4"/>
        <v>0</v>
      </c>
      <c r="K21" s="419">
        <f t="shared" si="5"/>
        <v>0</v>
      </c>
    </row>
    <row r="22" spans="2:11" s="421" customFormat="1" ht="13.5">
      <c r="B22" s="442"/>
      <c r="C22" s="417" t="s">
        <v>55</v>
      </c>
      <c r="D22" s="417" t="s">
        <v>83</v>
      </c>
      <c r="E22" s="418" t="s">
        <v>84</v>
      </c>
      <c r="F22" s="417" t="s">
        <v>44</v>
      </c>
      <c r="G22" s="441">
        <v>450</v>
      </c>
      <c r="H22" s="419">
        <f>SupisPrac!I32</f>
        <v>0</v>
      </c>
      <c r="I22" s="420">
        <f t="shared" si="3"/>
        <v>0</v>
      </c>
      <c r="J22" s="420">
        <f t="shared" si="4"/>
        <v>0</v>
      </c>
      <c r="K22" s="419">
        <f t="shared" si="5"/>
        <v>0</v>
      </c>
    </row>
    <row r="23" spans="2:11" s="421" customFormat="1" ht="27">
      <c r="B23" s="442"/>
      <c r="C23" s="417" t="s">
        <v>55</v>
      </c>
      <c r="D23" s="417" t="s">
        <v>85</v>
      </c>
      <c r="E23" s="418" t="s">
        <v>86</v>
      </c>
      <c r="F23" s="417" t="s">
        <v>51</v>
      </c>
      <c r="G23" s="441">
        <v>80</v>
      </c>
      <c r="H23" s="419">
        <f>SupisPrac!I33</f>
        <v>0</v>
      </c>
      <c r="I23" s="420">
        <f t="shared" si="3"/>
        <v>0</v>
      </c>
      <c r="J23" s="420">
        <f t="shared" si="4"/>
        <v>0</v>
      </c>
      <c r="K23" s="419">
        <f t="shared" si="5"/>
        <v>0</v>
      </c>
    </row>
    <row r="24" spans="2:11" s="421" customFormat="1" ht="27">
      <c r="B24" s="442"/>
      <c r="C24" s="417" t="s">
        <v>55</v>
      </c>
      <c r="D24" s="417" t="s">
        <v>87</v>
      </c>
      <c r="E24" s="418" t="s">
        <v>88</v>
      </c>
      <c r="F24" s="417" t="s">
        <v>51</v>
      </c>
      <c r="G24" s="441">
        <v>316.3</v>
      </c>
      <c r="H24" s="419">
        <f>SupisPrac!I34</f>
        <v>0</v>
      </c>
      <c r="I24" s="420">
        <f t="shared" si="3"/>
        <v>0</v>
      </c>
      <c r="J24" s="420">
        <f t="shared" si="4"/>
        <v>0</v>
      </c>
      <c r="K24" s="419">
        <f t="shared" si="5"/>
        <v>0</v>
      </c>
    </row>
    <row r="25" spans="2:11" s="421" customFormat="1" ht="13.5">
      <c r="B25" s="442"/>
      <c r="C25" s="417" t="s">
        <v>55</v>
      </c>
      <c r="D25" s="417" t="s">
        <v>89</v>
      </c>
      <c r="E25" s="418" t="s">
        <v>90</v>
      </c>
      <c r="F25" s="417" t="s">
        <v>72</v>
      </c>
      <c r="G25" s="441">
        <v>7</v>
      </c>
      <c r="H25" s="419">
        <f>SupisPrac!I35</f>
        <v>0</v>
      </c>
      <c r="I25" s="420">
        <f t="shared" si="3"/>
        <v>0</v>
      </c>
      <c r="J25" s="420">
        <f t="shared" si="4"/>
        <v>0</v>
      </c>
      <c r="K25" s="419">
        <f t="shared" si="5"/>
        <v>0</v>
      </c>
    </row>
    <row r="26" spans="2:11" s="421" customFormat="1" ht="13.5">
      <c r="B26" s="442"/>
      <c r="C26" s="417" t="s">
        <v>55</v>
      </c>
      <c r="D26" s="417" t="s">
        <v>91</v>
      </c>
      <c r="E26" s="418" t="s">
        <v>92</v>
      </c>
      <c r="F26" s="417" t="s">
        <v>30</v>
      </c>
      <c r="G26" s="441">
        <v>1404.36</v>
      </c>
      <c r="H26" s="419">
        <f>SupisPrac!I36</f>
        <v>0</v>
      </c>
      <c r="I26" s="420">
        <f t="shared" si="3"/>
        <v>0</v>
      </c>
      <c r="J26" s="420">
        <f t="shared" si="4"/>
        <v>0</v>
      </c>
      <c r="K26" s="419">
        <f t="shared" si="5"/>
        <v>0</v>
      </c>
    </row>
    <row r="27" spans="2:11" s="421" customFormat="1" ht="13.5">
      <c r="B27" s="442"/>
      <c r="C27" s="417" t="s">
        <v>55</v>
      </c>
      <c r="D27" s="417" t="s">
        <v>103</v>
      </c>
      <c r="E27" s="418" t="s">
        <v>104</v>
      </c>
      <c r="F27" s="417" t="s">
        <v>44</v>
      </c>
      <c r="G27" s="441">
        <v>7160</v>
      </c>
      <c r="H27" s="419">
        <f>SupisPrac!I42</f>
        <v>0</v>
      </c>
      <c r="I27" s="420">
        <f t="shared" si="3"/>
        <v>0</v>
      </c>
      <c r="J27" s="420">
        <f t="shared" si="4"/>
        <v>0</v>
      </c>
      <c r="K27" s="419">
        <f t="shared" si="5"/>
        <v>0</v>
      </c>
    </row>
    <row r="28" spans="2:11" s="421" customFormat="1" ht="13.5">
      <c r="B28" s="442"/>
      <c r="C28" s="417" t="s">
        <v>55</v>
      </c>
      <c r="D28" s="417" t="s">
        <v>105</v>
      </c>
      <c r="E28" s="418" t="s">
        <v>106</v>
      </c>
      <c r="F28" s="417" t="s">
        <v>51</v>
      </c>
      <c r="G28" s="441">
        <v>229</v>
      </c>
      <c r="H28" s="419">
        <f>SupisPrac!I43</f>
        <v>0</v>
      </c>
      <c r="I28" s="420">
        <f t="shared" si="3"/>
        <v>0</v>
      </c>
      <c r="J28" s="420">
        <f t="shared" si="4"/>
        <v>0</v>
      </c>
      <c r="K28" s="419">
        <f t="shared" si="5"/>
        <v>0</v>
      </c>
    </row>
    <row r="29" spans="2:11" s="421" customFormat="1" ht="13.5">
      <c r="B29" s="442"/>
      <c r="C29" s="417" t="s">
        <v>55</v>
      </c>
      <c r="D29" s="417" t="s">
        <v>107</v>
      </c>
      <c r="E29" s="418" t="s">
        <v>108</v>
      </c>
      <c r="F29" s="417" t="s">
        <v>51</v>
      </c>
      <c r="G29" s="441">
        <v>652</v>
      </c>
      <c r="H29" s="419">
        <f>SupisPrac!I44</f>
        <v>0</v>
      </c>
      <c r="I29" s="420">
        <f t="shared" si="3"/>
        <v>0</v>
      </c>
      <c r="J29" s="420">
        <f t="shared" si="4"/>
        <v>0</v>
      </c>
      <c r="K29" s="419">
        <f t="shared" si="5"/>
        <v>0</v>
      </c>
    </row>
    <row r="30" spans="2:11" s="421" customFormat="1" ht="13.5">
      <c r="B30" s="442"/>
      <c r="C30" s="417" t="s">
        <v>55</v>
      </c>
      <c r="D30" s="449" t="s">
        <v>1501</v>
      </c>
      <c r="E30" s="445" t="s">
        <v>1498</v>
      </c>
      <c r="F30" s="444" t="s">
        <v>51</v>
      </c>
      <c r="G30" s="441">
        <v>9</v>
      </c>
      <c r="H30" s="419">
        <f>SupisPrac!I49</f>
        <v>0</v>
      </c>
      <c r="I30" s="420">
        <f t="shared" si="3"/>
        <v>0</v>
      </c>
      <c r="J30" s="420">
        <f t="shared" si="4"/>
        <v>0</v>
      </c>
      <c r="K30" s="419">
        <f t="shared" si="5"/>
        <v>0</v>
      </c>
    </row>
    <row r="31" spans="2:11" s="421" customFormat="1" ht="13.5">
      <c r="B31" s="442"/>
      <c r="C31" s="417" t="s">
        <v>124</v>
      </c>
      <c r="D31" s="417" t="s">
        <v>125</v>
      </c>
      <c r="E31" s="418" t="s">
        <v>126</v>
      </c>
      <c r="F31" s="417" t="s">
        <v>33</v>
      </c>
      <c r="G31" s="441">
        <v>6.45</v>
      </c>
      <c r="H31" s="419">
        <f>SupisPrac!I56</f>
        <v>0</v>
      </c>
      <c r="I31" s="420">
        <f t="shared" si="3"/>
        <v>0</v>
      </c>
      <c r="J31" s="420">
        <f t="shared" si="4"/>
        <v>0</v>
      </c>
      <c r="K31" s="419">
        <f t="shared" si="5"/>
        <v>0</v>
      </c>
    </row>
    <row r="32" spans="2:11" s="421" customFormat="1" ht="13.5">
      <c r="B32" s="442"/>
      <c r="C32" s="417" t="s">
        <v>124</v>
      </c>
      <c r="D32" s="417" t="s">
        <v>127</v>
      </c>
      <c r="E32" s="418" t="s">
        <v>128</v>
      </c>
      <c r="F32" s="417" t="s">
        <v>33</v>
      </c>
      <c r="G32" s="441">
        <v>6.45</v>
      </c>
      <c r="H32" s="419">
        <f>SupisPrac!I57</f>
        <v>0</v>
      </c>
      <c r="I32" s="420">
        <f t="shared" si="3"/>
        <v>0</v>
      </c>
      <c r="J32" s="420">
        <f t="shared" si="4"/>
        <v>0</v>
      </c>
      <c r="K32" s="419">
        <f t="shared" si="5"/>
        <v>0</v>
      </c>
    </row>
    <row r="33" spans="2:11" s="421" customFormat="1" ht="13.5">
      <c r="B33" s="442"/>
      <c r="C33" s="417" t="s">
        <v>124</v>
      </c>
      <c r="D33" s="417" t="s">
        <v>129</v>
      </c>
      <c r="E33" s="418" t="s">
        <v>130</v>
      </c>
      <c r="F33" s="417" t="s">
        <v>44</v>
      </c>
      <c r="G33" s="441">
        <v>43</v>
      </c>
      <c r="H33" s="419">
        <f>SupisPrac!I58</f>
        <v>0</v>
      </c>
      <c r="I33" s="420">
        <f t="shared" si="3"/>
        <v>0</v>
      </c>
      <c r="J33" s="420">
        <f t="shared" si="4"/>
        <v>0</v>
      </c>
      <c r="K33" s="419">
        <f t="shared" si="5"/>
        <v>0</v>
      </c>
    </row>
    <row r="34" spans="2:11" s="421" customFormat="1" ht="13.5">
      <c r="B34" s="442"/>
      <c r="C34" s="417" t="s">
        <v>124</v>
      </c>
      <c r="D34" s="417" t="s">
        <v>131</v>
      </c>
      <c r="E34" s="418" t="s">
        <v>132</v>
      </c>
      <c r="F34" s="417" t="s">
        <v>44</v>
      </c>
      <c r="G34" s="441">
        <v>43</v>
      </c>
      <c r="H34" s="419">
        <f>SupisPrac!I59</f>
        <v>0</v>
      </c>
      <c r="I34" s="420">
        <f t="shared" si="3"/>
        <v>0</v>
      </c>
      <c r="J34" s="420">
        <f t="shared" si="4"/>
        <v>0</v>
      </c>
      <c r="K34" s="419">
        <f t="shared" si="5"/>
        <v>0</v>
      </c>
    </row>
    <row r="35" spans="2:11" s="421" customFormat="1" ht="13.5">
      <c r="B35" s="442"/>
      <c r="C35" s="417" t="s">
        <v>124</v>
      </c>
      <c r="D35" s="417" t="s">
        <v>133</v>
      </c>
      <c r="E35" s="418" t="s">
        <v>134</v>
      </c>
      <c r="F35" s="417" t="s">
        <v>44</v>
      </c>
      <c r="G35" s="441">
        <v>43</v>
      </c>
      <c r="H35" s="419">
        <f>SupisPrac!I60</f>
        <v>0</v>
      </c>
      <c r="I35" s="420">
        <f t="shared" si="3"/>
        <v>0</v>
      </c>
      <c r="J35" s="420">
        <f t="shared" si="4"/>
        <v>0</v>
      </c>
      <c r="K35" s="419">
        <f t="shared" si="5"/>
        <v>0</v>
      </c>
    </row>
    <row r="36" spans="2:11" s="421" customFormat="1" ht="13.5">
      <c r="B36" s="442"/>
      <c r="C36" s="417" t="s">
        <v>136</v>
      </c>
      <c r="D36" s="417" t="s">
        <v>137</v>
      </c>
      <c r="E36" s="418" t="s">
        <v>138</v>
      </c>
      <c r="F36" s="417" t="s">
        <v>33</v>
      </c>
      <c r="G36" s="441">
        <v>396</v>
      </c>
      <c r="H36" s="419">
        <f>SupisPrac!I61</f>
        <v>0</v>
      </c>
      <c r="I36" s="420">
        <f t="shared" si="3"/>
        <v>0</v>
      </c>
      <c r="J36" s="420">
        <f>ROUND(G36*I36,2)</f>
        <v>0</v>
      </c>
      <c r="K36" s="420">
        <f>ROUND(H36*J36,2)</f>
        <v>0</v>
      </c>
    </row>
    <row r="37" spans="2:11" s="421" customFormat="1" ht="13.5">
      <c r="B37" s="442"/>
      <c r="C37" s="417" t="s">
        <v>136</v>
      </c>
      <c r="D37" s="449" t="s">
        <v>1491</v>
      </c>
      <c r="E37" s="450" t="s">
        <v>1492</v>
      </c>
      <c r="F37" s="444" t="s">
        <v>33</v>
      </c>
      <c r="G37" s="446">
        <v>225</v>
      </c>
      <c r="H37" s="419">
        <f>SupisPrac!I63</f>
        <v>0</v>
      </c>
      <c r="I37" s="420">
        <f t="shared" si="3"/>
        <v>0</v>
      </c>
      <c r="J37" s="420">
        <f>ROUND(G37*I37,2)</f>
        <v>0</v>
      </c>
      <c r="K37" s="419"/>
    </row>
    <row r="38" spans="2:11" s="421" customFormat="1" ht="13.5">
      <c r="B38" s="442"/>
      <c r="C38" s="417" t="s">
        <v>136</v>
      </c>
      <c r="D38" s="417" t="s">
        <v>141</v>
      </c>
      <c r="E38" s="418" t="s">
        <v>142</v>
      </c>
      <c r="F38" s="417" t="s">
        <v>44</v>
      </c>
      <c r="G38" s="446">
        <v>1584</v>
      </c>
      <c r="H38" s="419">
        <f>SupisPrac!I64</f>
        <v>0</v>
      </c>
      <c r="I38" s="420">
        <f t="shared" si="3"/>
        <v>0</v>
      </c>
      <c r="J38" s="420">
        <f t="shared" si="4"/>
        <v>0</v>
      </c>
      <c r="K38" s="419">
        <f t="shared" si="5"/>
        <v>0</v>
      </c>
    </row>
    <row r="39" spans="2:11" s="421" customFormat="1" ht="13.5">
      <c r="B39" s="442"/>
      <c r="C39" s="417" t="s">
        <v>136</v>
      </c>
      <c r="D39" s="417" t="s">
        <v>143</v>
      </c>
      <c r="E39" s="418" t="s">
        <v>144</v>
      </c>
      <c r="F39" s="417" t="s">
        <v>44</v>
      </c>
      <c r="G39" s="441">
        <v>793</v>
      </c>
      <c r="H39" s="419">
        <f>SupisPrac!I65</f>
        <v>0</v>
      </c>
      <c r="I39" s="420">
        <f t="shared" si="3"/>
        <v>0</v>
      </c>
      <c r="J39" s="420">
        <f t="shared" si="4"/>
        <v>0</v>
      </c>
      <c r="K39" s="419">
        <f t="shared" si="5"/>
        <v>0</v>
      </c>
    </row>
    <row r="40" spans="2:11" s="421" customFormat="1" ht="13.5">
      <c r="B40" s="442"/>
      <c r="C40" s="417" t="s">
        <v>146</v>
      </c>
      <c r="D40" s="417" t="s">
        <v>121</v>
      </c>
      <c r="E40" s="418" t="s">
        <v>147</v>
      </c>
      <c r="F40" s="417" t="s">
        <v>33</v>
      </c>
      <c r="G40" s="441">
        <v>396</v>
      </c>
      <c r="H40" s="419">
        <f>SupisPrac!I66</f>
        <v>0</v>
      </c>
      <c r="I40" s="420">
        <f t="shared" si="3"/>
        <v>0</v>
      </c>
      <c r="J40" s="420">
        <f t="shared" si="4"/>
        <v>0</v>
      </c>
      <c r="K40" s="419">
        <f t="shared" si="5"/>
        <v>0</v>
      </c>
    </row>
    <row r="41" spans="2:11" s="421" customFormat="1" ht="13.5">
      <c r="B41" s="442"/>
      <c r="C41" s="417" t="s">
        <v>219</v>
      </c>
      <c r="D41" s="417" t="s">
        <v>220</v>
      </c>
      <c r="E41" s="418" t="s">
        <v>221</v>
      </c>
      <c r="F41" s="417" t="s">
        <v>33</v>
      </c>
      <c r="G41" s="441">
        <v>0.2</v>
      </c>
      <c r="H41" s="419">
        <f>SupisPrac!I101</f>
        <v>0</v>
      </c>
      <c r="I41" s="420">
        <f t="shared" si="3"/>
        <v>0</v>
      </c>
      <c r="J41" s="420">
        <f t="shared" si="4"/>
        <v>0</v>
      </c>
      <c r="K41" s="419">
        <f t="shared" si="5"/>
        <v>0</v>
      </c>
    </row>
    <row r="42" spans="2:11" s="421" customFormat="1" ht="27">
      <c r="B42" s="442"/>
      <c r="C42" s="417" t="s">
        <v>227</v>
      </c>
      <c r="D42" s="417" t="s">
        <v>228</v>
      </c>
      <c r="E42" s="418" t="s">
        <v>229</v>
      </c>
      <c r="F42" s="417" t="s">
        <v>33</v>
      </c>
      <c r="G42" s="441">
        <v>0.7</v>
      </c>
      <c r="H42" s="419">
        <f>SupisPrac!I103</f>
        <v>0</v>
      </c>
      <c r="I42" s="420">
        <f t="shared" si="3"/>
        <v>0</v>
      </c>
      <c r="J42" s="420">
        <f t="shared" si="4"/>
        <v>0</v>
      </c>
      <c r="K42" s="419">
        <f t="shared" si="5"/>
        <v>0</v>
      </c>
    </row>
    <row r="43" spans="2:11" s="421" customFormat="1" ht="27">
      <c r="B43" s="442"/>
      <c r="C43" s="417" t="s">
        <v>227</v>
      </c>
      <c r="D43" s="417" t="s">
        <v>230</v>
      </c>
      <c r="E43" s="418" t="s">
        <v>231</v>
      </c>
      <c r="F43" s="417" t="s">
        <v>44</v>
      </c>
      <c r="G43" s="441">
        <v>6640</v>
      </c>
      <c r="H43" s="419">
        <f>SupisPrac!I104</f>
        <v>0</v>
      </c>
      <c r="I43" s="420">
        <f t="shared" si="3"/>
        <v>0</v>
      </c>
      <c r="J43" s="420">
        <f t="shared" si="4"/>
        <v>0</v>
      </c>
      <c r="K43" s="419">
        <f t="shared" si="5"/>
        <v>0</v>
      </c>
    </row>
    <row r="44" spans="2:11" s="421" customFormat="1" ht="13.5">
      <c r="B44" s="442"/>
      <c r="C44" s="417" t="s">
        <v>227</v>
      </c>
      <c r="D44" s="417" t="s">
        <v>234</v>
      </c>
      <c r="E44" s="418" t="s">
        <v>235</v>
      </c>
      <c r="F44" s="417" t="s">
        <v>33</v>
      </c>
      <c r="G44" s="441">
        <v>212.76</v>
      </c>
      <c r="H44" s="419">
        <f>SupisPrac!I106</f>
        <v>0</v>
      </c>
      <c r="I44" s="420">
        <f t="shared" si="3"/>
        <v>0</v>
      </c>
      <c r="J44" s="420">
        <f t="shared" si="4"/>
        <v>0</v>
      </c>
      <c r="K44" s="419">
        <f t="shared" si="5"/>
        <v>0</v>
      </c>
    </row>
    <row r="45" spans="2:11" s="421" customFormat="1" ht="27">
      <c r="B45" s="442"/>
      <c r="C45" s="417" t="s">
        <v>227</v>
      </c>
      <c r="D45" s="417" t="s">
        <v>236</v>
      </c>
      <c r="E45" s="418" t="s">
        <v>237</v>
      </c>
      <c r="F45" s="417" t="s">
        <v>33</v>
      </c>
      <c r="G45" s="441">
        <v>184.64</v>
      </c>
      <c r="H45" s="419">
        <f>SupisPrac!I107</f>
        <v>0</v>
      </c>
      <c r="I45" s="420">
        <f t="shared" si="3"/>
        <v>0</v>
      </c>
      <c r="J45" s="420">
        <f t="shared" si="4"/>
        <v>0</v>
      </c>
      <c r="K45" s="419">
        <f t="shared" si="5"/>
        <v>0</v>
      </c>
    </row>
    <row r="46" spans="2:11" s="421" customFormat="1" ht="27">
      <c r="B46" s="442"/>
      <c r="C46" s="417" t="s">
        <v>227</v>
      </c>
      <c r="D46" s="417" t="s">
        <v>242</v>
      </c>
      <c r="E46" s="418" t="s">
        <v>243</v>
      </c>
      <c r="F46" s="417" t="s">
        <v>51</v>
      </c>
      <c r="G46" s="441">
        <v>608</v>
      </c>
      <c r="H46" s="419">
        <f>SupisPrac!I110</f>
        <v>0</v>
      </c>
      <c r="I46" s="420">
        <f t="shared" si="3"/>
        <v>0</v>
      </c>
      <c r="J46" s="420">
        <f t="shared" si="4"/>
        <v>0</v>
      </c>
      <c r="K46" s="419">
        <f t="shared" si="5"/>
        <v>0</v>
      </c>
    </row>
    <row r="47" spans="2:11" s="421" customFormat="1" ht="13.5">
      <c r="B47" s="442"/>
      <c r="C47" s="417" t="s">
        <v>227</v>
      </c>
      <c r="D47" s="417" t="s">
        <v>250</v>
      </c>
      <c r="E47" s="418" t="s">
        <v>251</v>
      </c>
      <c r="F47" s="417" t="s">
        <v>51</v>
      </c>
      <c r="G47" s="441">
        <v>164</v>
      </c>
      <c r="H47" s="419">
        <f>SupisPrac!I114</f>
        <v>0</v>
      </c>
      <c r="I47" s="420">
        <f t="shared" si="3"/>
        <v>0</v>
      </c>
      <c r="J47" s="420">
        <f t="shared" si="4"/>
        <v>0</v>
      </c>
      <c r="K47" s="419">
        <f t="shared" si="5"/>
        <v>0</v>
      </c>
    </row>
    <row r="48" spans="2:11" s="421" customFormat="1" ht="13.5">
      <c r="B48" s="442"/>
      <c r="C48" s="417" t="s">
        <v>227</v>
      </c>
      <c r="D48" s="417" t="s">
        <v>252</v>
      </c>
      <c r="E48" s="418" t="s">
        <v>253</v>
      </c>
      <c r="F48" s="417" t="s">
        <v>51</v>
      </c>
      <c r="G48" s="441">
        <v>164</v>
      </c>
      <c r="H48" s="419">
        <f>SupisPrac!I115</f>
        <v>0</v>
      </c>
      <c r="I48" s="420">
        <f t="shared" si="3"/>
        <v>0</v>
      </c>
      <c r="J48" s="420">
        <f t="shared" si="4"/>
        <v>0</v>
      </c>
      <c r="K48" s="419">
        <f t="shared" si="5"/>
        <v>0</v>
      </c>
    </row>
    <row r="49" spans="2:11" s="421" customFormat="1" ht="13.5">
      <c r="B49" s="442"/>
      <c r="C49" s="417" t="s">
        <v>227</v>
      </c>
      <c r="D49" s="417" t="s">
        <v>254</v>
      </c>
      <c r="E49" s="418" t="s">
        <v>255</v>
      </c>
      <c r="F49" s="417" t="s">
        <v>51</v>
      </c>
      <c r="G49" s="441">
        <v>31.6</v>
      </c>
      <c r="H49" s="419">
        <f>SupisPrac!I116</f>
        <v>0</v>
      </c>
      <c r="I49" s="420">
        <f t="shared" si="3"/>
        <v>0</v>
      </c>
      <c r="J49" s="420">
        <f t="shared" si="4"/>
        <v>0</v>
      </c>
      <c r="K49" s="419">
        <f t="shared" si="5"/>
        <v>0</v>
      </c>
    </row>
    <row r="50" spans="2:11" s="421" customFormat="1" ht="13.5">
      <c r="B50" s="442"/>
      <c r="C50" s="417" t="s">
        <v>227</v>
      </c>
      <c r="D50" s="417" t="s">
        <v>256</v>
      </c>
      <c r="E50" s="418" t="s">
        <v>257</v>
      </c>
      <c r="F50" s="417" t="s">
        <v>51</v>
      </c>
      <c r="G50" s="441">
        <v>113</v>
      </c>
      <c r="H50" s="419">
        <f>SupisPrac!I117</f>
        <v>0</v>
      </c>
      <c r="I50" s="420">
        <f t="shared" si="3"/>
        <v>0</v>
      </c>
      <c r="J50" s="420">
        <f t="shared" si="4"/>
        <v>0</v>
      </c>
      <c r="K50" s="419">
        <f t="shared" si="5"/>
        <v>0</v>
      </c>
    </row>
    <row r="51" spans="2:11" s="421" customFormat="1" ht="27">
      <c r="B51" s="442"/>
      <c r="C51" s="417" t="s">
        <v>227</v>
      </c>
      <c r="D51" s="417" t="s">
        <v>258</v>
      </c>
      <c r="E51" s="418" t="s">
        <v>259</v>
      </c>
      <c r="F51" s="417" t="s">
        <v>72</v>
      </c>
      <c r="G51" s="441">
        <v>10</v>
      </c>
      <c r="H51" s="419">
        <f>SupisPrac!I118</f>
        <v>0</v>
      </c>
      <c r="I51" s="420">
        <f t="shared" si="3"/>
        <v>0</v>
      </c>
      <c r="J51" s="420">
        <f t="shared" si="4"/>
        <v>0</v>
      </c>
      <c r="K51" s="419">
        <f t="shared" si="5"/>
        <v>0</v>
      </c>
    </row>
    <row r="52" spans="2:11" s="421" customFormat="1" ht="27">
      <c r="B52" s="442"/>
      <c r="C52" s="417" t="s">
        <v>227</v>
      </c>
      <c r="D52" s="417" t="s">
        <v>260</v>
      </c>
      <c r="E52" s="418" t="s">
        <v>261</v>
      </c>
      <c r="F52" s="417" t="s">
        <v>72</v>
      </c>
      <c r="G52" s="441">
        <v>2</v>
      </c>
      <c r="H52" s="419">
        <f>SupisPrac!I119</f>
        <v>0</v>
      </c>
      <c r="I52" s="420">
        <f t="shared" si="3"/>
        <v>0</v>
      </c>
      <c r="J52" s="420">
        <f t="shared" si="4"/>
        <v>0</v>
      </c>
      <c r="K52" s="419">
        <f t="shared" si="5"/>
        <v>0</v>
      </c>
    </row>
    <row r="53" spans="2:11" s="421" customFormat="1" ht="13.5">
      <c r="B53" s="442"/>
      <c r="C53" s="417" t="s">
        <v>227</v>
      </c>
      <c r="D53" s="417" t="s">
        <v>262</v>
      </c>
      <c r="E53" s="418" t="s">
        <v>263</v>
      </c>
      <c r="F53" s="417" t="s">
        <v>72</v>
      </c>
      <c r="G53" s="441">
        <v>26</v>
      </c>
      <c r="H53" s="419">
        <f>SupisPrac!I120</f>
        <v>0</v>
      </c>
      <c r="I53" s="420">
        <f t="shared" si="3"/>
        <v>0</v>
      </c>
      <c r="J53" s="420">
        <f t="shared" si="4"/>
        <v>0</v>
      </c>
      <c r="K53" s="419">
        <f t="shared" si="5"/>
        <v>0</v>
      </c>
    </row>
    <row r="54" spans="2:11" s="421" customFormat="1" ht="27">
      <c r="B54" s="442"/>
      <c r="C54" s="417" t="s">
        <v>227</v>
      </c>
      <c r="D54" s="417" t="s">
        <v>264</v>
      </c>
      <c r="E54" s="418" t="s">
        <v>265</v>
      </c>
      <c r="F54" s="417" t="s">
        <v>72</v>
      </c>
      <c r="G54" s="441">
        <v>128</v>
      </c>
      <c r="H54" s="419">
        <f>SupisPrac!I121</f>
        <v>0</v>
      </c>
      <c r="I54" s="420">
        <f t="shared" si="3"/>
        <v>0</v>
      </c>
      <c r="J54" s="420">
        <f t="shared" si="4"/>
        <v>0</v>
      </c>
      <c r="K54" s="419">
        <f t="shared" si="5"/>
        <v>0</v>
      </c>
    </row>
    <row r="55" spans="2:11" s="421" customFormat="1" ht="13.5">
      <c r="B55" s="442"/>
      <c r="C55" s="417" t="s">
        <v>227</v>
      </c>
      <c r="D55" s="417" t="s">
        <v>268</v>
      </c>
      <c r="E55" s="418" t="s">
        <v>269</v>
      </c>
      <c r="F55" s="417" t="s">
        <v>72</v>
      </c>
      <c r="G55" s="441">
        <v>7</v>
      </c>
      <c r="H55" s="419">
        <f>SupisPrac!I123</f>
        <v>0</v>
      </c>
      <c r="I55" s="420">
        <f t="shared" si="3"/>
        <v>0</v>
      </c>
      <c r="J55" s="420">
        <f t="shared" si="4"/>
        <v>0</v>
      </c>
      <c r="K55" s="419">
        <f t="shared" si="5"/>
        <v>0</v>
      </c>
    </row>
    <row r="56" spans="2:11" s="421" customFormat="1" ht="13.5">
      <c r="B56" s="442"/>
      <c r="C56" s="417" t="s">
        <v>227</v>
      </c>
      <c r="D56" s="417" t="s">
        <v>270</v>
      </c>
      <c r="E56" s="418" t="s">
        <v>271</v>
      </c>
      <c r="F56" s="417" t="s">
        <v>72</v>
      </c>
      <c r="G56" s="441">
        <v>8</v>
      </c>
      <c r="H56" s="419">
        <f>SupisPrac!I124</f>
        <v>0</v>
      </c>
      <c r="I56" s="420">
        <f t="shared" si="3"/>
        <v>0</v>
      </c>
      <c r="J56" s="420">
        <f t="shared" si="4"/>
        <v>0</v>
      </c>
      <c r="K56" s="419">
        <f t="shared" si="5"/>
        <v>0</v>
      </c>
    </row>
    <row r="57" spans="2:11" s="421" customFormat="1" ht="13.5">
      <c r="B57" s="442"/>
      <c r="C57" s="417" t="s">
        <v>277</v>
      </c>
      <c r="D57" s="417" t="s">
        <v>278</v>
      </c>
      <c r="E57" s="418" t="s">
        <v>279</v>
      </c>
      <c r="F57" s="417" t="s">
        <v>33</v>
      </c>
      <c r="G57" s="441">
        <v>99.2</v>
      </c>
      <c r="H57" s="419">
        <f>SupisPrac!I127</f>
        <v>0</v>
      </c>
      <c r="I57" s="420">
        <f t="shared" si="3"/>
        <v>0</v>
      </c>
      <c r="J57" s="420">
        <f t="shared" si="4"/>
        <v>0</v>
      </c>
      <c r="K57" s="419">
        <f t="shared" si="5"/>
        <v>0</v>
      </c>
    </row>
    <row r="58" spans="2:11" s="421" customFormat="1" ht="13.5">
      <c r="B58" s="442"/>
      <c r="C58" s="417" t="s">
        <v>277</v>
      </c>
      <c r="D58" s="417" t="s">
        <v>280</v>
      </c>
      <c r="E58" s="418" t="s">
        <v>281</v>
      </c>
      <c r="F58" s="417" t="s">
        <v>33</v>
      </c>
      <c r="G58" s="441">
        <v>136.80000000000001</v>
      </c>
      <c r="H58" s="419">
        <f>SupisPrac!I128</f>
        <v>0</v>
      </c>
      <c r="I58" s="420">
        <f t="shared" si="3"/>
        <v>0</v>
      </c>
      <c r="J58" s="420">
        <f t="shared" si="4"/>
        <v>0</v>
      </c>
      <c r="K58" s="419">
        <f t="shared" si="5"/>
        <v>0</v>
      </c>
    </row>
    <row r="59" spans="2:11" s="421" customFormat="1" ht="13.5">
      <c r="B59" s="442"/>
      <c r="C59" s="417" t="s">
        <v>277</v>
      </c>
      <c r="D59" s="417" t="s">
        <v>282</v>
      </c>
      <c r="E59" s="418" t="s">
        <v>283</v>
      </c>
      <c r="F59" s="417" t="s">
        <v>33</v>
      </c>
      <c r="G59" s="441">
        <v>34.200000000000003</v>
      </c>
      <c r="H59" s="419">
        <f>SupisPrac!I129</f>
        <v>0</v>
      </c>
      <c r="I59" s="420">
        <f t="shared" si="3"/>
        <v>0</v>
      </c>
      <c r="J59" s="420">
        <f t="shared" si="4"/>
        <v>0</v>
      </c>
      <c r="K59" s="419">
        <f t="shared" si="5"/>
        <v>0</v>
      </c>
    </row>
    <row r="60" spans="2:11" s="421" customFormat="1" ht="27">
      <c r="B60" s="442"/>
      <c r="C60" s="417" t="s">
        <v>277</v>
      </c>
      <c r="D60" s="417" t="s">
        <v>284</v>
      </c>
      <c r="E60" s="418" t="s">
        <v>285</v>
      </c>
      <c r="F60" s="417" t="s">
        <v>33</v>
      </c>
      <c r="G60" s="441">
        <v>96</v>
      </c>
      <c r="H60" s="419">
        <f>SupisPrac!I130</f>
        <v>0</v>
      </c>
      <c r="I60" s="420">
        <f t="shared" si="3"/>
        <v>0</v>
      </c>
      <c r="J60" s="420">
        <f t="shared" si="4"/>
        <v>0</v>
      </c>
      <c r="K60" s="419">
        <f t="shared" si="5"/>
        <v>0</v>
      </c>
    </row>
    <row r="61" spans="2:11" s="421" customFormat="1" ht="27">
      <c r="B61" s="442"/>
      <c r="C61" s="417" t="s">
        <v>277</v>
      </c>
      <c r="D61" s="417" t="s">
        <v>286</v>
      </c>
      <c r="E61" s="418" t="s">
        <v>287</v>
      </c>
      <c r="F61" s="417" t="s">
        <v>44</v>
      </c>
      <c r="G61" s="441">
        <v>510</v>
      </c>
      <c r="H61" s="419">
        <f>SupisPrac!I131</f>
        <v>0</v>
      </c>
      <c r="I61" s="420">
        <f t="shared" si="3"/>
        <v>0</v>
      </c>
      <c r="J61" s="420">
        <f t="shared" si="4"/>
        <v>0</v>
      </c>
      <c r="K61" s="419">
        <f t="shared" si="5"/>
        <v>0</v>
      </c>
    </row>
    <row r="62" spans="2:11" s="421" customFormat="1" ht="13.5">
      <c r="B62" s="443"/>
      <c r="C62" s="417" t="s">
        <v>305</v>
      </c>
      <c r="D62" s="417" t="s">
        <v>306</v>
      </c>
      <c r="E62" s="418" t="s">
        <v>307</v>
      </c>
      <c r="F62" s="417" t="s">
        <v>44</v>
      </c>
      <c r="G62" s="441">
        <v>342</v>
      </c>
      <c r="H62" s="419">
        <f>SupisPrac!I138</f>
        <v>0</v>
      </c>
      <c r="I62" s="420">
        <f t="shared" si="3"/>
        <v>0</v>
      </c>
      <c r="J62" s="420">
        <f t="shared" si="4"/>
        <v>0</v>
      </c>
      <c r="K62" s="419">
        <f t="shared" si="5"/>
        <v>0</v>
      </c>
    </row>
    <row r="63" spans="2:11" s="428" customFormat="1" ht="21" customHeight="1">
      <c r="B63" s="424" t="s">
        <v>370</v>
      </c>
      <c r="C63" s="454"/>
      <c r="D63" s="454"/>
      <c r="E63" s="455"/>
      <c r="F63" s="454"/>
      <c r="G63" s="454"/>
      <c r="H63" s="454"/>
      <c r="I63" s="454"/>
      <c r="J63" s="456">
        <f>SUM(J18:J62)</f>
        <v>0</v>
      </c>
      <c r="K63" s="427">
        <f>SUM(K18:K62)</f>
        <v>0</v>
      </c>
    </row>
    <row r="64" spans="2:11" s="421" customFormat="1" ht="13.5">
      <c r="B64" s="453" t="s">
        <v>371</v>
      </c>
      <c r="C64" s="417" t="s">
        <v>55</v>
      </c>
      <c r="D64" s="417" t="s">
        <v>56</v>
      </c>
      <c r="E64" s="418" t="s">
        <v>57</v>
      </c>
      <c r="F64" s="417" t="s">
        <v>33</v>
      </c>
      <c r="G64" s="441">
        <v>23.76</v>
      </c>
      <c r="H64" s="419">
        <f>SupisPrac!I19</f>
        <v>0</v>
      </c>
      <c r="I64" s="420">
        <f t="shared" ref="I64:I130" si="6">ROUND(H64,2)</f>
        <v>0</v>
      </c>
      <c r="J64" s="420">
        <f t="shared" ref="J64:J130" si="7">ROUND(G64*I64,2)</f>
        <v>0</v>
      </c>
      <c r="K64" s="419">
        <f t="shared" ref="K64:K98" si="8">J64*0.23</f>
        <v>0</v>
      </c>
    </row>
    <row r="65" spans="2:11" s="421" customFormat="1" ht="13.5">
      <c r="B65" s="442"/>
      <c r="C65" s="417" t="s">
        <v>55</v>
      </c>
      <c r="D65" s="417" t="s">
        <v>58</v>
      </c>
      <c r="E65" s="418" t="s">
        <v>59</v>
      </c>
      <c r="F65" s="417" t="s">
        <v>33</v>
      </c>
      <c r="G65" s="441">
        <v>38.39</v>
      </c>
      <c r="H65" s="419">
        <f>SupisPrac!I20</f>
        <v>0</v>
      </c>
      <c r="I65" s="420">
        <f t="shared" si="6"/>
        <v>0</v>
      </c>
      <c r="J65" s="420">
        <f t="shared" si="7"/>
        <v>0</v>
      </c>
      <c r="K65" s="419">
        <f t="shared" si="8"/>
        <v>0</v>
      </c>
    </row>
    <row r="66" spans="2:11" s="421" customFormat="1" ht="27">
      <c r="B66" s="442"/>
      <c r="C66" s="417" t="s">
        <v>55</v>
      </c>
      <c r="D66" s="417" t="s">
        <v>60</v>
      </c>
      <c r="E66" s="418" t="s">
        <v>61</v>
      </c>
      <c r="F66" s="417" t="s">
        <v>33</v>
      </c>
      <c r="G66" s="441">
        <v>601.29999999999995</v>
      </c>
      <c r="H66" s="419">
        <f>SupisPrac!I21</f>
        <v>0</v>
      </c>
      <c r="I66" s="420">
        <f t="shared" si="6"/>
        <v>0</v>
      </c>
      <c r="J66" s="420">
        <f t="shared" si="7"/>
        <v>0</v>
      </c>
      <c r="K66" s="419">
        <f t="shared" si="8"/>
        <v>0</v>
      </c>
    </row>
    <row r="67" spans="2:11" s="421" customFormat="1" ht="27">
      <c r="B67" s="442"/>
      <c r="C67" s="417" t="s">
        <v>55</v>
      </c>
      <c r="D67" s="417" t="s">
        <v>62</v>
      </c>
      <c r="E67" s="418" t="s">
        <v>63</v>
      </c>
      <c r="F67" s="417" t="s">
        <v>33</v>
      </c>
      <c r="G67" s="441">
        <v>740.73</v>
      </c>
      <c r="H67" s="419">
        <f>SupisPrac!I22</f>
        <v>0</v>
      </c>
      <c r="I67" s="420">
        <f t="shared" si="6"/>
        <v>0</v>
      </c>
      <c r="J67" s="420">
        <f t="shared" si="7"/>
        <v>0</v>
      </c>
      <c r="K67" s="419">
        <f t="shared" si="8"/>
        <v>0</v>
      </c>
    </row>
    <row r="68" spans="2:11" s="421" customFormat="1" ht="13.5">
      <c r="B68" s="442"/>
      <c r="C68" s="417" t="s">
        <v>55</v>
      </c>
      <c r="D68" s="417" t="s">
        <v>64</v>
      </c>
      <c r="E68" s="418" t="s">
        <v>65</v>
      </c>
      <c r="F68" s="417" t="s">
        <v>44</v>
      </c>
      <c r="G68" s="441">
        <v>71.069999999999993</v>
      </c>
      <c r="H68" s="419">
        <f>SupisPrac!I23</f>
        <v>0</v>
      </c>
      <c r="I68" s="420">
        <f t="shared" si="6"/>
        <v>0</v>
      </c>
      <c r="J68" s="420">
        <f t="shared" si="7"/>
        <v>0</v>
      </c>
      <c r="K68" s="419">
        <f t="shared" si="8"/>
        <v>0</v>
      </c>
    </row>
    <row r="69" spans="2:11" s="421" customFormat="1" ht="13.5">
      <c r="B69" s="442"/>
      <c r="C69" s="417" t="s">
        <v>55</v>
      </c>
      <c r="D69" s="417" t="s">
        <v>66</v>
      </c>
      <c r="E69" s="418" t="s">
        <v>67</v>
      </c>
      <c r="F69" s="417" t="s">
        <v>44</v>
      </c>
      <c r="G69" s="441">
        <v>7171.06</v>
      </c>
      <c r="H69" s="419">
        <f>SupisPrac!I24</f>
        <v>0</v>
      </c>
      <c r="I69" s="420">
        <f t="shared" si="6"/>
        <v>0</v>
      </c>
      <c r="J69" s="420">
        <f t="shared" si="7"/>
        <v>0</v>
      </c>
      <c r="K69" s="419">
        <f t="shared" si="8"/>
        <v>0</v>
      </c>
    </row>
    <row r="70" spans="2:11" s="421" customFormat="1" ht="13.5">
      <c r="B70" s="442"/>
      <c r="C70" s="417" t="s">
        <v>55</v>
      </c>
      <c r="D70" s="417" t="s">
        <v>68</v>
      </c>
      <c r="E70" s="418" t="s">
        <v>372</v>
      </c>
      <c r="F70" s="417" t="s">
        <v>51</v>
      </c>
      <c r="G70" s="441">
        <v>10.55</v>
      </c>
      <c r="H70" s="419">
        <f>SupisPrac!I25</f>
        <v>0</v>
      </c>
      <c r="I70" s="420">
        <f t="shared" si="6"/>
        <v>0</v>
      </c>
      <c r="J70" s="420">
        <f t="shared" si="7"/>
        <v>0</v>
      </c>
      <c r="K70" s="419">
        <f t="shared" si="8"/>
        <v>0</v>
      </c>
    </row>
    <row r="71" spans="2:11" s="421" customFormat="1" ht="13.5">
      <c r="B71" s="442"/>
      <c r="C71" s="417" t="s">
        <v>55</v>
      </c>
      <c r="D71" s="417" t="s">
        <v>70</v>
      </c>
      <c r="E71" s="418" t="s">
        <v>71</v>
      </c>
      <c r="F71" s="417" t="s">
        <v>72</v>
      </c>
      <c r="G71" s="441">
        <v>1800</v>
      </c>
      <c r="H71" s="419">
        <f>SupisPrac!I26</f>
        <v>0</v>
      </c>
      <c r="I71" s="420">
        <f t="shared" si="6"/>
        <v>0</v>
      </c>
      <c r="J71" s="420">
        <f t="shared" si="7"/>
        <v>0</v>
      </c>
      <c r="K71" s="419">
        <f t="shared" si="8"/>
        <v>0</v>
      </c>
    </row>
    <row r="72" spans="2:11" s="421" customFormat="1" ht="13.5">
      <c r="B72" s="442"/>
      <c r="C72" s="417" t="s">
        <v>55</v>
      </c>
      <c r="D72" s="417" t="s">
        <v>73</v>
      </c>
      <c r="E72" s="418" t="s">
        <v>74</v>
      </c>
      <c r="F72" s="417" t="s">
        <v>72</v>
      </c>
      <c r="G72" s="441">
        <v>122</v>
      </c>
      <c r="H72" s="419">
        <f>SupisPrac!I27</f>
        <v>0</v>
      </c>
      <c r="I72" s="420">
        <f t="shared" si="6"/>
        <v>0</v>
      </c>
      <c r="J72" s="420">
        <f t="shared" si="7"/>
        <v>0</v>
      </c>
      <c r="K72" s="419">
        <f t="shared" si="8"/>
        <v>0</v>
      </c>
    </row>
    <row r="73" spans="2:11" s="421" customFormat="1" ht="13.5">
      <c r="B73" s="442"/>
      <c r="C73" s="417" t="s">
        <v>55</v>
      </c>
      <c r="D73" s="417" t="s">
        <v>77</v>
      </c>
      <c r="E73" s="418" t="s">
        <v>78</v>
      </c>
      <c r="F73" s="417" t="s">
        <v>44</v>
      </c>
      <c r="G73" s="441">
        <v>733.27</v>
      </c>
      <c r="H73" s="419">
        <f>SupisPrac!I29</f>
        <v>0</v>
      </c>
      <c r="I73" s="420">
        <f t="shared" si="6"/>
        <v>0</v>
      </c>
      <c r="J73" s="420">
        <f t="shared" si="7"/>
        <v>0</v>
      </c>
      <c r="K73" s="419">
        <f t="shared" si="8"/>
        <v>0</v>
      </c>
    </row>
    <row r="74" spans="2:11" s="421" customFormat="1" ht="13.5">
      <c r="B74" s="442"/>
      <c r="C74" s="417" t="s">
        <v>55</v>
      </c>
      <c r="D74" s="417" t="s">
        <v>81</v>
      </c>
      <c r="E74" s="418" t="s">
        <v>82</v>
      </c>
      <c r="F74" s="417" t="s">
        <v>44</v>
      </c>
      <c r="G74" s="441">
        <v>23.48</v>
      </c>
      <c r="H74" s="419">
        <f>SupisPrac!I31</f>
        <v>0</v>
      </c>
      <c r="I74" s="420">
        <f t="shared" si="6"/>
        <v>0</v>
      </c>
      <c r="J74" s="420">
        <f t="shared" si="7"/>
        <v>0</v>
      </c>
      <c r="K74" s="419">
        <f t="shared" si="8"/>
        <v>0</v>
      </c>
    </row>
    <row r="75" spans="2:11" s="421" customFormat="1" ht="27">
      <c r="B75" s="442"/>
      <c r="C75" s="417" t="s">
        <v>55</v>
      </c>
      <c r="D75" s="417" t="s">
        <v>87</v>
      </c>
      <c r="E75" s="418" t="s">
        <v>88</v>
      </c>
      <c r="F75" s="417" t="s">
        <v>51</v>
      </c>
      <c r="G75" s="441">
        <v>1959.5</v>
      </c>
      <c r="H75" s="419">
        <f>SupisPrac!I34</f>
        <v>0</v>
      </c>
      <c r="I75" s="420">
        <f t="shared" si="6"/>
        <v>0</v>
      </c>
      <c r="J75" s="420">
        <f t="shared" si="7"/>
        <v>0</v>
      </c>
      <c r="K75" s="419">
        <f t="shared" si="8"/>
        <v>0</v>
      </c>
    </row>
    <row r="76" spans="2:11" s="421" customFormat="1" ht="13.5">
      <c r="B76" s="442"/>
      <c r="C76" s="417" t="s">
        <v>55</v>
      </c>
      <c r="D76" s="417" t="s">
        <v>89</v>
      </c>
      <c r="E76" s="418" t="s">
        <v>90</v>
      </c>
      <c r="F76" s="417" t="s">
        <v>72</v>
      </c>
      <c r="G76" s="441">
        <v>2</v>
      </c>
      <c r="H76" s="419">
        <f>SupisPrac!I35</f>
        <v>0</v>
      </c>
      <c r="I76" s="420">
        <f t="shared" si="6"/>
        <v>0</v>
      </c>
      <c r="J76" s="420">
        <f t="shared" si="7"/>
        <v>0</v>
      </c>
      <c r="K76" s="419">
        <f t="shared" si="8"/>
        <v>0</v>
      </c>
    </row>
    <row r="77" spans="2:11" s="421" customFormat="1" ht="13.5">
      <c r="B77" s="442"/>
      <c r="C77" s="417" t="s">
        <v>55</v>
      </c>
      <c r="D77" s="417" t="s">
        <v>91</v>
      </c>
      <c r="E77" s="418" t="s">
        <v>92</v>
      </c>
      <c r="F77" s="417" t="s">
        <v>30</v>
      </c>
      <c r="G77" s="441">
        <v>5245.34</v>
      </c>
      <c r="H77" s="419">
        <f>SupisPrac!I36</f>
        <v>0</v>
      </c>
      <c r="I77" s="420">
        <f t="shared" si="6"/>
        <v>0</v>
      </c>
      <c r="J77" s="420">
        <f t="shared" si="7"/>
        <v>0</v>
      </c>
      <c r="K77" s="419">
        <f t="shared" si="8"/>
        <v>0</v>
      </c>
    </row>
    <row r="78" spans="2:11" s="421" customFormat="1" ht="27">
      <c r="B78" s="442"/>
      <c r="C78" s="417" t="s">
        <v>55</v>
      </c>
      <c r="D78" s="417" t="s">
        <v>93</v>
      </c>
      <c r="E78" s="418" t="s">
        <v>94</v>
      </c>
      <c r="F78" s="417" t="s">
        <v>44</v>
      </c>
      <c r="G78" s="441">
        <v>25215.63</v>
      </c>
      <c r="H78" s="419">
        <f>SupisPrac!I37</f>
        <v>0</v>
      </c>
      <c r="I78" s="420">
        <f t="shared" si="6"/>
        <v>0</v>
      </c>
      <c r="J78" s="420">
        <f t="shared" si="7"/>
        <v>0</v>
      </c>
      <c r="K78" s="419">
        <f t="shared" si="8"/>
        <v>0</v>
      </c>
    </row>
    <row r="79" spans="2:11" s="421" customFormat="1" ht="27">
      <c r="B79" s="442"/>
      <c r="C79" s="417" t="s">
        <v>55</v>
      </c>
      <c r="D79" s="417" t="s">
        <v>95</v>
      </c>
      <c r="E79" s="418" t="s">
        <v>96</v>
      </c>
      <c r="F79" s="417" t="s">
        <v>44</v>
      </c>
      <c r="G79" s="441">
        <v>21264.97</v>
      </c>
      <c r="H79" s="419">
        <f>SupisPrac!I38</f>
        <v>0</v>
      </c>
      <c r="I79" s="420">
        <f t="shared" si="6"/>
        <v>0</v>
      </c>
      <c r="J79" s="420">
        <f t="shared" si="7"/>
        <v>0</v>
      </c>
      <c r="K79" s="419">
        <f t="shared" si="8"/>
        <v>0</v>
      </c>
    </row>
    <row r="80" spans="2:11" s="421" customFormat="1" ht="27">
      <c r="B80" s="442"/>
      <c r="C80" s="417" t="s">
        <v>55</v>
      </c>
      <c r="D80" s="417" t="s">
        <v>97</v>
      </c>
      <c r="E80" s="418" t="s">
        <v>98</v>
      </c>
      <c r="F80" s="417" t="s">
        <v>33</v>
      </c>
      <c r="G80" s="441">
        <v>11.23</v>
      </c>
      <c r="H80" s="419">
        <f>SupisPrac!I39</f>
        <v>0</v>
      </c>
      <c r="I80" s="420">
        <f t="shared" si="6"/>
        <v>0</v>
      </c>
      <c r="J80" s="420">
        <f t="shared" si="7"/>
        <v>0</v>
      </c>
      <c r="K80" s="419">
        <f t="shared" si="8"/>
        <v>0</v>
      </c>
    </row>
    <row r="81" spans="2:11" s="421" customFormat="1" ht="27">
      <c r="B81" s="442"/>
      <c r="C81" s="417" t="s">
        <v>55</v>
      </c>
      <c r="D81" s="417" t="s">
        <v>99</v>
      </c>
      <c r="E81" s="418" t="s">
        <v>100</v>
      </c>
      <c r="F81" s="417" t="s">
        <v>44</v>
      </c>
      <c r="G81" s="441">
        <v>1089.6500000000001</v>
      </c>
      <c r="H81" s="419">
        <f>SupisPrac!I40</f>
        <v>0</v>
      </c>
      <c r="I81" s="420">
        <f t="shared" si="6"/>
        <v>0</v>
      </c>
      <c r="J81" s="420">
        <f t="shared" si="7"/>
        <v>0</v>
      </c>
      <c r="K81" s="419">
        <f t="shared" si="8"/>
        <v>0</v>
      </c>
    </row>
    <row r="82" spans="2:11" s="421" customFormat="1" ht="13.5">
      <c r="B82" s="442"/>
      <c r="C82" s="417" t="s">
        <v>55</v>
      </c>
      <c r="D82" s="417" t="s">
        <v>101</v>
      </c>
      <c r="E82" s="418" t="s">
        <v>102</v>
      </c>
      <c r="F82" s="417" t="s">
        <v>44</v>
      </c>
      <c r="G82" s="441">
        <v>2005.99</v>
      </c>
      <c r="H82" s="419">
        <f>SupisPrac!I41</f>
        <v>0</v>
      </c>
      <c r="I82" s="420">
        <f t="shared" si="6"/>
        <v>0</v>
      </c>
      <c r="J82" s="420">
        <f t="shared" si="7"/>
        <v>0</v>
      </c>
      <c r="K82" s="419">
        <f t="shared" si="8"/>
        <v>0</v>
      </c>
    </row>
    <row r="83" spans="2:11" s="421" customFormat="1" ht="13.5">
      <c r="B83" s="442"/>
      <c r="C83" s="417" t="s">
        <v>55</v>
      </c>
      <c r="D83" s="417" t="s">
        <v>103</v>
      </c>
      <c r="E83" s="418" t="s">
        <v>104</v>
      </c>
      <c r="F83" s="417" t="s">
        <v>44</v>
      </c>
      <c r="G83" s="441">
        <v>13055.5</v>
      </c>
      <c r="H83" s="419">
        <f>SupisPrac!I42</f>
        <v>0</v>
      </c>
      <c r="I83" s="420">
        <f t="shared" si="6"/>
        <v>0</v>
      </c>
      <c r="J83" s="420">
        <f t="shared" si="7"/>
        <v>0</v>
      </c>
      <c r="K83" s="419">
        <f t="shared" si="8"/>
        <v>0</v>
      </c>
    </row>
    <row r="84" spans="2:11" s="421" customFormat="1" ht="13.5">
      <c r="B84" s="442"/>
      <c r="C84" s="417" t="s">
        <v>55</v>
      </c>
      <c r="D84" s="417" t="s">
        <v>105</v>
      </c>
      <c r="E84" s="418" t="s">
        <v>106</v>
      </c>
      <c r="F84" s="417" t="s">
        <v>51</v>
      </c>
      <c r="G84" s="441">
        <v>438.28</v>
      </c>
      <c r="H84" s="419">
        <f>SupisPrac!I43</f>
        <v>0</v>
      </c>
      <c r="I84" s="420">
        <f t="shared" si="6"/>
        <v>0</v>
      </c>
      <c r="J84" s="420">
        <f t="shared" si="7"/>
        <v>0</v>
      </c>
      <c r="K84" s="419">
        <f t="shared" si="8"/>
        <v>0</v>
      </c>
    </row>
    <row r="85" spans="2:11" s="421" customFormat="1" ht="13.5">
      <c r="B85" s="442"/>
      <c r="C85" s="417" t="s">
        <v>55</v>
      </c>
      <c r="D85" s="417" t="s">
        <v>107</v>
      </c>
      <c r="E85" s="418" t="s">
        <v>108</v>
      </c>
      <c r="F85" s="417" t="s">
        <v>51</v>
      </c>
      <c r="G85" s="441">
        <v>61.5</v>
      </c>
      <c r="H85" s="419">
        <f>SupisPrac!I44</f>
        <v>0</v>
      </c>
      <c r="I85" s="420">
        <f t="shared" si="6"/>
        <v>0</v>
      </c>
      <c r="J85" s="420">
        <f t="shared" si="7"/>
        <v>0</v>
      </c>
      <c r="K85" s="419">
        <f t="shared" si="8"/>
        <v>0</v>
      </c>
    </row>
    <row r="86" spans="2:11" s="421" customFormat="1" ht="13.5">
      <c r="B86" s="442"/>
      <c r="C86" s="417" t="s">
        <v>55</v>
      </c>
      <c r="D86" s="444" t="s">
        <v>1499</v>
      </c>
      <c r="E86" s="445" t="s">
        <v>1500</v>
      </c>
      <c r="F86" s="444" t="s">
        <v>51</v>
      </c>
      <c r="G86" s="446">
        <v>728.01</v>
      </c>
      <c r="H86" s="419">
        <f>SupisPrac!I45</f>
        <v>0</v>
      </c>
      <c r="I86" s="420">
        <f t="shared" si="6"/>
        <v>0</v>
      </c>
      <c r="J86" s="420">
        <f t="shared" si="7"/>
        <v>0</v>
      </c>
      <c r="K86" s="419">
        <f t="shared" si="8"/>
        <v>0</v>
      </c>
    </row>
    <row r="87" spans="2:11" s="421" customFormat="1" ht="13.5">
      <c r="B87" s="442"/>
      <c r="C87" s="417" t="s">
        <v>55</v>
      </c>
      <c r="D87" s="444" t="s">
        <v>1502</v>
      </c>
      <c r="E87" s="445" t="s">
        <v>1503</v>
      </c>
      <c r="F87" s="444" t="s">
        <v>51</v>
      </c>
      <c r="G87" s="446">
        <v>73.680000000000007</v>
      </c>
      <c r="H87" s="419">
        <f>SupisPrac!I46</f>
        <v>0</v>
      </c>
      <c r="I87" s="420">
        <f t="shared" si="6"/>
        <v>0</v>
      </c>
      <c r="J87" s="420">
        <f t="shared" si="7"/>
        <v>0</v>
      </c>
      <c r="K87" s="419"/>
    </row>
    <row r="88" spans="2:11" s="421" customFormat="1" ht="13.5">
      <c r="B88" s="442"/>
      <c r="C88" s="417" t="s">
        <v>55</v>
      </c>
      <c r="D88" s="444" t="s">
        <v>1504</v>
      </c>
      <c r="E88" s="445" t="s">
        <v>1505</v>
      </c>
      <c r="F88" s="444" t="s">
        <v>51</v>
      </c>
      <c r="G88" s="446">
        <v>21.89</v>
      </c>
      <c r="H88" s="419">
        <f>SupisPrac!I47</f>
        <v>0</v>
      </c>
      <c r="I88" s="420">
        <f t="shared" si="6"/>
        <v>0</v>
      </c>
      <c r="J88" s="420">
        <f t="shared" si="7"/>
        <v>0</v>
      </c>
      <c r="K88" s="419"/>
    </row>
    <row r="89" spans="2:11" s="421" customFormat="1" ht="13.5">
      <c r="B89" s="442"/>
      <c r="C89" s="417" t="s">
        <v>55</v>
      </c>
      <c r="D89" s="444" t="s">
        <v>1506</v>
      </c>
      <c r="E89" s="445" t="s">
        <v>1507</v>
      </c>
      <c r="F89" s="444" t="s">
        <v>51</v>
      </c>
      <c r="G89" s="446">
        <v>23.76</v>
      </c>
      <c r="H89" s="419">
        <f>SupisPrac!I48</f>
        <v>0</v>
      </c>
      <c r="I89" s="420">
        <f t="shared" si="6"/>
        <v>0</v>
      </c>
      <c r="J89" s="420">
        <f t="shared" si="7"/>
        <v>0</v>
      </c>
      <c r="K89" s="419"/>
    </row>
    <row r="90" spans="2:11" s="421" customFormat="1" ht="13.5">
      <c r="B90" s="442"/>
      <c r="C90" s="417" t="s">
        <v>55</v>
      </c>
      <c r="D90" s="417" t="s">
        <v>109</v>
      </c>
      <c r="E90" s="418" t="s">
        <v>110</v>
      </c>
      <c r="F90" s="417" t="s">
        <v>51</v>
      </c>
      <c r="G90" s="441">
        <v>140.56</v>
      </c>
      <c r="H90" s="419">
        <f>SupisPrac!I50</f>
        <v>0</v>
      </c>
      <c r="I90" s="420">
        <f t="shared" si="6"/>
        <v>0</v>
      </c>
      <c r="J90" s="420">
        <f t="shared" si="7"/>
        <v>0</v>
      </c>
      <c r="K90" s="419">
        <f t="shared" si="8"/>
        <v>0</v>
      </c>
    </row>
    <row r="91" spans="2:11" s="421" customFormat="1" ht="13.5">
      <c r="B91" s="442"/>
      <c r="C91" s="417" t="s">
        <v>55</v>
      </c>
      <c r="D91" s="417" t="s">
        <v>111</v>
      </c>
      <c r="E91" s="418" t="s">
        <v>112</v>
      </c>
      <c r="F91" s="417" t="s">
        <v>44</v>
      </c>
      <c r="G91" s="441">
        <v>788.27</v>
      </c>
      <c r="H91" s="419">
        <f>SupisPrac!I51</f>
        <v>0</v>
      </c>
      <c r="I91" s="420">
        <f t="shared" si="6"/>
        <v>0</v>
      </c>
      <c r="J91" s="420">
        <f t="shared" si="7"/>
        <v>0</v>
      </c>
      <c r="K91" s="419">
        <f t="shared" si="8"/>
        <v>0</v>
      </c>
    </row>
    <row r="92" spans="2:11" s="421" customFormat="1" ht="13.5">
      <c r="B92" s="442"/>
      <c r="C92" s="417" t="s">
        <v>55</v>
      </c>
      <c r="D92" s="417" t="s">
        <v>113</v>
      </c>
      <c r="E92" s="418" t="s">
        <v>114</v>
      </c>
      <c r="F92" s="417" t="s">
        <v>44</v>
      </c>
      <c r="G92" s="441">
        <v>1605.76</v>
      </c>
      <c r="H92" s="419">
        <f>SupisPrac!I52</f>
        <v>0</v>
      </c>
      <c r="I92" s="420">
        <f t="shared" si="6"/>
        <v>0</v>
      </c>
      <c r="J92" s="420">
        <f t="shared" si="7"/>
        <v>0</v>
      </c>
      <c r="K92" s="419">
        <f t="shared" si="8"/>
        <v>0</v>
      </c>
    </row>
    <row r="93" spans="2:11" s="421" customFormat="1" ht="13.5">
      <c r="B93" s="442"/>
      <c r="C93" s="417" t="s">
        <v>116</v>
      </c>
      <c r="D93" s="417" t="s">
        <v>117</v>
      </c>
      <c r="E93" s="418" t="s">
        <v>118</v>
      </c>
      <c r="F93" s="417" t="s">
        <v>44</v>
      </c>
      <c r="G93" s="441">
        <v>4000</v>
      </c>
      <c r="H93" s="419">
        <f>SupisPrac!I53</f>
        <v>0</v>
      </c>
      <c r="I93" s="420">
        <f t="shared" si="6"/>
        <v>0</v>
      </c>
      <c r="J93" s="420">
        <f t="shared" si="7"/>
        <v>0</v>
      </c>
      <c r="K93" s="419">
        <f t="shared" si="8"/>
        <v>0</v>
      </c>
    </row>
    <row r="94" spans="2:11" s="421" customFormat="1" ht="13.5">
      <c r="B94" s="442"/>
      <c r="C94" s="417" t="s">
        <v>116</v>
      </c>
      <c r="D94" s="417" t="s">
        <v>119</v>
      </c>
      <c r="E94" s="418" t="s">
        <v>120</v>
      </c>
      <c r="F94" s="417" t="s">
        <v>44</v>
      </c>
      <c r="G94" s="441">
        <v>100</v>
      </c>
      <c r="H94" s="419">
        <f>SupisPrac!I54</f>
        <v>0</v>
      </c>
      <c r="I94" s="420">
        <f t="shared" si="6"/>
        <v>0</v>
      </c>
      <c r="J94" s="420">
        <f t="shared" si="7"/>
        <v>0</v>
      </c>
      <c r="K94" s="419">
        <f t="shared" si="8"/>
        <v>0</v>
      </c>
    </row>
    <row r="95" spans="2:11" s="421" customFormat="1" ht="13.5">
      <c r="B95" s="442"/>
      <c r="C95" s="417" t="s">
        <v>116</v>
      </c>
      <c r="D95" s="417" t="s">
        <v>121</v>
      </c>
      <c r="E95" s="418" t="s">
        <v>122</v>
      </c>
      <c r="F95" s="417" t="s">
        <v>33</v>
      </c>
      <c r="G95" s="441">
        <v>10</v>
      </c>
      <c r="H95" s="419">
        <f>SupisPrac!I55</f>
        <v>0</v>
      </c>
      <c r="I95" s="420">
        <f t="shared" si="6"/>
        <v>0</v>
      </c>
      <c r="J95" s="420">
        <f t="shared" si="7"/>
        <v>0</v>
      </c>
      <c r="K95" s="419">
        <f t="shared" si="8"/>
        <v>0</v>
      </c>
    </row>
    <row r="96" spans="2:11" s="421" customFormat="1" ht="13.5">
      <c r="B96" s="442"/>
      <c r="C96" s="417" t="s">
        <v>136</v>
      </c>
      <c r="D96" s="417" t="s">
        <v>137</v>
      </c>
      <c r="E96" s="418" t="s">
        <v>138</v>
      </c>
      <c r="F96" s="417" t="s">
        <v>33</v>
      </c>
      <c r="G96" s="441">
        <v>14.96</v>
      </c>
      <c r="H96" s="419">
        <f>SupisPrac!I61</f>
        <v>0</v>
      </c>
      <c r="I96" s="420">
        <f t="shared" si="6"/>
        <v>0</v>
      </c>
      <c r="J96" s="420">
        <f t="shared" si="7"/>
        <v>0</v>
      </c>
      <c r="K96" s="419">
        <f t="shared" si="8"/>
        <v>0</v>
      </c>
    </row>
    <row r="97" spans="2:11" s="421" customFormat="1" ht="13.5">
      <c r="B97" s="442"/>
      <c r="C97" s="417" t="s">
        <v>136</v>
      </c>
      <c r="D97" s="417" t="s">
        <v>139</v>
      </c>
      <c r="E97" s="418" t="s">
        <v>140</v>
      </c>
      <c r="F97" s="417" t="s">
        <v>33</v>
      </c>
      <c r="G97" s="441">
        <v>0.84</v>
      </c>
      <c r="H97" s="419">
        <f>SupisPrac!I62</f>
        <v>0</v>
      </c>
      <c r="I97" s="420">
        <f t="shared" si="6"/>
        <v>0</v>
      </c>
      <c r="J97" s="420">
        <f t="shared" si="7"/>
        <v>0</v>
      </c>
      <c r="K97" s="419">
        <f t="shared" si="8"/>
        <v>0</v>
      </c>
    </row>
    <row r="98" spans="2:11" s="421" customFormat="1" ht="13.5">
      <c r="B98" s="442"/>
      <c r="C98" s="417" t="s">
        <v>146</v>
      </c>
      <c r="D98" s="417" t="s">
        <v>121</v>
      </c>
      <c r="E98" s="418" t="s">
        <v>122</v>
      </c>
      <c r="F98" s="417" t="s">
        <v>33</v>
      </c>
      <c r="G98" s="441">
        <v>15.8</v>
      </c>
      <c r="H98" s="419">
        <f>SupisPrac!I66</f>
        <v>0</v>
      </c>
      <c r="I98" s="420">
        <f t="shared" si="6"/>
        <v>0</v>
      </c>
      <c r="J98" s="420">
        <f t="shared" si="7"/>
        <v>0</v>
      </c>
      <c r="K98" s="419">
        <f t="shared" si="8"/>
        <v>0</v>
      </c>
    </row>
    <row r="99" spans="2:11" s="421" customFormat="1" ht="13.5">
      <c r="B99" s="442"/>
      <c r="C99" s="417" t="s">
        <v>149</v>
      </c>
      <c r="D99" s="417" t="s">
        <v>150</v>
      </c>
      <c r="E99" s="418" t="s">
        <v>151</v>
      </c>
      <c r="F99" s="417" t="s">
        <v>33</v>
      </c>
      <c r="G99" s="441">
        <v>3.4</v>
      </c>
      <c r="H99" s="419">
        <f>SupisPrac!I67</f>
        <v>0</v>
      </c>
      <c r="I99" s="420">
        <f t="shared" si="6"/>
        <v>0</v>
      </c>
      <c r="J99" s="420">
        <f t="shared" si="7"/>
        <v>0</v>
      </c>
      <c r="K99" s="419">
        <f t="shared" ref="K99:K130" si="9">J99*0.23</f>
        <v>0</v>
      </c>
    </row>
    <row r="100" spans="2:11" s="421" customFormat="1" ht="13.5">
      <c r="B100" s="442"/>
      <c r="C100" s="417" t="s">
        <v>149</v>
      </c>
      <c r="D100" s="417" t="s">
        <v>152</v>
      </c>
      <c r="E100" s="418" t="s">
        <v>153</v>
      </c>
      <c r="F100" s="417" t="s">
        <v>33</v>
      </c>
      <c r="G100" s="441">
        <v>12.73</v>
      </c>
      <c r="H100" s="419">
        <f>SupisPrac!I68</f>
        <v>0</v>
      </c>
      <c r="I100" s="420">
        <f t="shared" si="6"/>
        <v>0</v>
      </c>
      <c r="J100" s="420">
        <f t="shared" si="7"/>
        <v>0</v>
      </c>
      <c r="K100" s="419">
        <f t="shared" si="9"/>
        <v>0</v>
      </c>
    </row>
    <row r="101" spans="2:11" s="421" customFormat="1" ht="13.5">
      <c r="B101" s="442"/>
      <c r="C101" s="417" t="s">
        <v>149</v>
      </c>
      <c r="D101" s="417" t="s">
        <v>154</v>
      </c>
      <c r="E101" s="418" t="s">
        <v>155</v>
      </c>
      <c r="F101" s="417" t="s">
        <v>33</v>
      </c>
      <c r="G101" s="441">
        <v>366.76</v>
      </c>
      <c r="H101" s="419">
        <f>SupisPrac!I69</f>
        <v>0</v>
      </c>
      <c r="I101" s="420">
        <f t="shared" si="6"/>
        <v>0</v>
      </c>
      <c r="J101" s="420">
        <f t="shared" si="7"/>
        <v>0</v>
      </c>
      <c r="K101" s="419">
        <f t="shared" si="9"/>
        <v>0</v>
      </c>
    </row>
    <row r="102" spans="2:11" s="421" customFormat="1" ht="13.5">
      <c r="B102" s="442"/>
      <c r="C102" s="417" t="s">
        <v>149</v>
      </c>
      <c r="D102" s="417" t="s">
        <v>156</v>
      </c>
      <c r="E102" s="418" t="s">
        <v>157</v>
      </c>
      <c r="F102" s="417" t="s">
        <v>44</v>
      </c>
      <c r="G102" s="441">
        <v>489.78</v>
      </c>
      <c r="H102" s="419">
        <f>SupisPrac!I70</f>
        <v>0</v>
      </c>
      <c r="I102" s="420">
        <f t="shared" si="6"/>
        <v>0</v>
      </c>
      <c r="J102" s="420">
        <f t="shared" si="7"/>
        <v>0</v>
      </c>
      <c r="K102" s="419">
        <f t="shared" si="9"/>
        <v>0</v>
      </c>
    </row>
    <row r="103" spans="2:11" s="421" customFormat="1" ht="13.5">
      <c r="B103" s="442"/>
      <c r="C103" s="417" t="s">
        <v>149</v>
      </c>
      <c r="D103" s="417" t="s">
        <v>158</v>
      </c>
      <c r="E103" s="418" t="s">
        <v>159</v>
      </c>
      <c r="F103" s="417" t="s">
        <v>44</v>
      </c>
      <c r="G103" s="441">
        <v>317.91000000000003</v>
      </c>
      <c r="H103" s="419">
        <f>SupisPrac!I71</f>
        <v>0</v>
      </c>
      <c r="I103" s="420">
        <f t="shared" si="6"/>
        <v>0</v>
      </c>
      <c r="J103" s="420">
        <f t="shared" si="7"/>
        <v>0</v>
      </c>
      <c r="K103" s="419">
        <f t="shared" si="9"/>
        <v>0</v>
      </c>
    </row>
    <row r="104" spans="2:11" s="421" customFormat="1" ht="13.5">
      <c r="B104" s="442"/>
      <c r="C104" s="417" t="s">
        <v>149</v>
      </c>
      <c r="D104" s="417" t="s">
        <v>160</v>
      </c>
      <c r="E104" s="418" t="s">
        <v>161</v>
      </c>
      <c r="F104" s="417" t="s">
        <v>30</v>
      </c>
      <c r="G104" s="441">
        <v>75.819999999999993</v>
      </c>
      <c r="H104" s="419">
        <f>SupisPrac!I72</f>
        <v>0</v>
      </c>
      <c r="I104" s="420">
        <f t="shared" si="6"/>
        <v>0</v>
      </c>
      <c r="J104" s="420">
        <f t="shared" si="7"/>
        <v>0</v>
      </c>
      <c r="K104" s="419">
        <f t="shared" si="9"/>
        <v>0</v>
      </c>
    </row>
    <row r="105" spans="2:11" s="421" customFormat="1" ht="27">
      <c r="B105" s="442"/>
      <c r="C105" s="417" t="s">
        <v>149</v>
      </c>
      <c r="D105" s="417" t="s">
        <v>162</v>
      </c>
      <c r="E105" s="418" t="s">
        <v>163</v>
      </c>
      <c r="F105" s="417" t="s">
        <v>33</v>
      </c>
      <c r="G105" s="441">
        <v>37.58</v>
      </c>
      <c r="H105" s="419">
        <f>SupisPrac!I73</f>
        <v>0</v>
      </c>
      <c r="I105" s="420">
        <f t="shared" si="6"/>
        <v>0</v>
      </c>
      <c r="J105" s="420">
        <f t="shared" si="7"/>
        <v>0</v>
      </c>
      <c r="K105" s="419">
        <f t="shared" si="9"/>
        <v>0</v>
      </c>
    </row>
    <row r="106" spans="2:11" s="421" customFormat="1" ht="27">
      <c r="B106" s="442"/>
      <c r="C106" s="417" t="s">
        <v>149</v>
      </c>
      <c r="D106" s="417" t="s">
        <v>164</v>
      </c>
      <c r="E106" s="418" t="s">
        <v>165</v>
      </c>
      <c r="F106" s="417" t="s">
        <v>30</v>
      </c>
      <c r="G106" s="441">
        <v>5.79</v>
      </c>
      <c r="H106" s="419">
        <f>SupisPrac!I74</f>
        <v>0</v>
      </c>
      <c r="I106" s="420">
        <f t="shared" si="6"/>
        <v>0</v>
      </c>
      <c r="J106" s="420">
        <f t="shared" si="7"/>
        <v>0</v>
      </c>
      <c r="K106" s="419">
        <f t="shared" si="9"/>
        <v>0</v>
      </c>
    </row>
    <row r="107" spans="2:11" s="421" customFormat="1" ht="27">
      <c r="B107" s="442"/>
      <c r="C107" s="417" t="s">
        <v>149</v>
      </c>
      <c r="D107" s="417" t="s">
        <v>166</v>
      </c>
      <c r="E107" s="418" t="s">
        <v>167</v>
      </c>
      <c r="F107" s="417" t="s">
        <v>33</v>
      </c>
      <c r="G107" s="441">
        <v>1255.73</v>
      </c>
      <c r="H107" s="419">
        <f>SupisPrac!I75</f>
        <v>0</v>
      </c>
      <c r="I107" s="420">
        <f t="shared" si="6"/>
        <v>0</v>
      </c>
      <c r="J107" s="420">
        <f t="shared" si="7"/>
        <v>0</v>
      </c>
      <c r="K107" s="419">
        <f t="shared" si="9"/>
        <v>0</v>
      </c>
    </row>
    <row r="108" spans="2:11" s="421" customFormat="1" ht="27">
      <c r="B108" s="442"/>
      <c r="C108" s="417" t="s">
        <v>149</v>
      </c>
      <c r="D108" s="417" t="s">
        <v>168</v>
      </c>
      <c r="E108" s="418" t="s">
        <v>169</v>
      </c>
      <c r="F108" s="417" t="s">
        <v>44</v>
      </c>
      <c r="G108" s="441">
        <v>579.33000000000004</v>
      </c>
      <c r="H108" s="419">
        <f>SupisPrac!I76</f>
        <v>0</v>
      </c>
      <c r="I108" s="420">
        <f t="shared" si="6"/>
        <v>0</v>
      </c>
      <c r="J108" s="420">
        <f t="shared" si="7"/>
        <v>0</v>
      </c>
      <c r="K108" s="419">
        <f t="shared" si="9"/>
        <v>0</v>
      </c>
    </row>
    <row r="109" spans="2:11" s="421" customFormat="1" ht="27">
      <c r="B109" s="442"/>
      <c r="C109" s="417" t="s">
        <v>149</v>
      </c>
      <c r="D109" s="417" t="s">
        <v>170</v>
      </c>
      <c r="E109" s="418" t="s">
        <v>171</v>
      </c>
      <c r="F109" s="417" t="s">
        <v>30</v>
      </c>
      <c r="G109" s="441">
        <v>66.45</v>
      </c>
      <c r="H109" s="419">
        <f>SupisPrac!I77</f>
        <v>0</v>
      </c>
      <c r="I109" s="420">
        <f t="shared" si="6"/>
        <v>0</v>
      </c>
      <c r="J109" s="420">
        <f t="shared" si="7"/>
        <v>0</v>
      </c>
      <c r="K109" s="419">
        <f t="shared" si="9"/>
        <v>0</v>
      </c>
    </row>
    <row r="110" spans="2:11" s="421" customFormat="1" ht="27">
      <c r="B110" s="442"/>
      <c r="C110" s="417" t="s">
        <v>149</v>
      </c>
      <c r="D110" s="417" t="s">
        <v>172</v>
      </c>
      <c r="E110" s="418" t="s">
        <v>173</v>
      </c>
      <c r="F110" s="417" t="s">
        <v>33</v>
      </c>
      <c r="G110" s="441">
        <v>15.04</v>
      </c>
      <c r="H110" s="419">
        <f>SupisPrac!I78</f>
        <v>0</v>
      </c>
      <c r="I110" s="420">
        <f t="shared" si="6"/>
        <v>0</v>
      </c>
      <c r="J110" s="420">
        <f t="shared" si="7"/>
        <v>0</v>
      </c>
      <c r="K110" s="419">
        <f t="shared" si="9"/>
        <v>0</v>
      </c>
    </row>
    <row r="111" spans="2:11" s="421" customFormat="1" ht="27">
      <c r="B111" s="442"/>
      <c r="C111" s="417" t="s">
        <v>149</v>
      </c>
      <c r="D111" s="417" t="s">
        <v>174</v>
      </c>
      <c r="E111" s="418" t="s">
        <v>175</v>
      </c>
      <c r="F111" s="417" t="s">
        <v>33</v>
      </c>
      <c r="G111" s="441">
        <v>10.87</v>
      </c>
      <c r="H111" s="419">
        <f>SupisPrac!I79</f>
        <v>0</v>
      </c>
      <c r="I111" s="420">
        <f t="shared" si="6"/>
        <v>0</v>
      </c>
      <c r="J111" s="420">
        <f t="shared" si="7"/>
        <v>0</v>
      </c>
      <c r="K111" s="419">
        <f t="shared" si="9"/>
        <v>0</v>
      </c>
    </row>
    <row r="112" spans="2:11" s="421" customFormat="1" ht="27">
      <c r="B112" s="442"/>
      <c r="C112" s="417" t="s">
        <v>149</v>
      </c>
      <c r="D112" s="417" t="s">
        <v>176</v>
      </c>
      <c r="E112" s="418" t="s">
        <v>177</v>
      </c>
      <c r="F112" s="417" t="s">
        <v>33</v>
      </c>
      <c r="G112" s="441">
        <v>123.7</v>
      </c>
      <c r="H112" s="419">
        <f>SupisPrac!I80</f>
        <v>0</v>
      </c>
      <c r="I112" s="420">
        <f t="shared" si="6"/>
        <v>0</v>
      </c>
      <c r="J112" s="420">
        <f t="shared" si="7"/>
        <v>0</v>
      </c>
      <c r="K112" s="419">
        <f t="shared" si="9"/>
        <v>0</v>
      </c>
    </row>
    <row r="113" spans="2:11" s="421" customFormat="1" ht="27">
      <c r="B113" s="442"/>
      <c r="C113" s="417" t="s">
        <v>149</v>
      </c>
      <c r="D113" s="417" t="s">
        <v>178</v>
      </c>
      <c r="E113" s="418" t="s">
        <v>179</v>
      </c>
      <c r="F113" s="417" t="s">
        <v>44</v>
      </c>
      <c r="G113" s="441">
        <v>314.33999999999997</v>
      </c>
      <c r="H113" s="419">
        <f>SupisPrac!I81</f>
        <v>0</v>
      </c>
      <c r="I113" s="420">
        <f t="shared" si="6"/>
        <v>0</v>
      </c>
      <c r="J113" s="420">
        <f t="shared" si="7"/>
        <v>0</v>
      </c>
      <c r="K113" s="419">
        <f t="shared" si="9"/>
        <v>0</v>
      </c>
    </row>
    <row r="114" spans="2:11" s="421" customFormat="1" ht="27">
      <c r="B114" s="442"/>
      <c r="C114" s="417" t="s">
        <v>149</v>
      </c>
      <c r="D114" s="417" t="s">
        <v>180</v>
      </c>
      <c r="E114" s="418" t="s">
        <v>181</v>
      </c>
      <c r="F114" s="417" t="s">
        <v>30</v>
      </c>
      <c r="G114" s="441">
        <v>18.690000000000001</v>
      </c>
      <c r="H114" s="419">
        <f>SupisPrac!I82</f>
        <v>0</v>
      </c>
      <c r="I114" s="420">
        <f t="shared" si="6"/>
        <v>0</v>
      </c>
      <c r="J114" s="420">
        <f t="shared" si="7"/>
        <v>0</v>
      </c>
      <c r="K114" s="419">
        <f t="shared" si="9"/>
        <v>0</v>
      </c>
    </row>
    <row r="115" spans="2:11" s="421" customFormat="1" ht="27">
      <c r="B115" s="442"/>
      <c r="C115" s="417" t="s">
        <v>149</v>
      </c>
      <c r="D115" s="417" t="s">
        <v>182</v>
      </c>
      <c r="E115" s="418" t="s">
        <v>183</v>
      </c>
      <c r="F115" s="417" t="s">
        <v>30</v>
      </c>
      <c r="G115" s="441">
        <v>35.96</v>
      </c>
      <c r="H115" s="419">
        <f>SupisPrac!I83</f>
        <v>0</v>
      </c>
      <c r="I115" s="420">
        <f t="shared" si="6"/>
        <v>0</v>
      </c>
      <c r="J115" s="420">
        <f t="shared" si="7"/>
        <v>0</v>
      </c>
      <c r="K115" s="419">
        <f t="shared" si="9"/>
        <v>0</v>
      </c>
    </row>
    <row r="116" spans="2:11" s="421" customFormat="1" ht="13.5">
      <c r="B116" s="442"/>
      <c r="C116" s="417" t="s">
        <v>149</v>
      </c>
      <c r="D116" s="417" t="s">
        <v>184</v>
      </c>
      <c r="E116" s="418" t="s">
        <v>185</v>
      </c>
      <c r="F116" s="417" t="s">
        <v>33</v>
      </c>
      <c r="G116" s="441">
        <v>40.69</v>
      </c>
      <c r="H116" s="419">
        <f>SupisPrac!I84</f>
        <v>0</v>
      </c>
      <c r="I116" s="420">
        <f t="shared" si="6"/>
        <v>0</v>
      </c>
      <c r="J116" s="420">
        <f t="shared" si="7"/>
        <v>0</v>
      </c>
      <c r="K116" s="419">
        <f t="shared" si="9"/>
        <v>0</v>
      </c>
    </row>
    <row r="117" spans="2:11" s="421" customFormat="1" ht="13.5">
      <c r="B117" s="442"/>
      <c r="C117" s="417" t="s">
        <v>149</v>
      </c>
      <c r="D117" s="417" t="s">
        <v>186</v>
      </c>
      <c r="E117" s="418" t="s">
        <v>187</v>
      </c>
      <c r="F117" s="417" t="s">
        <v>30</v>
      </c>
      <c r="G117" s="441">
        <v>5.3</v>
      </c>
      <c r="H117" s="419">
        <f>SupisPrac!I85</f>
        <v>0</v>
      </c>
      <c r="I117" s="420">
        <f t="shared" si="6"/>
        <v>0</v>
      </c>
      <c r="J117" s="420">
        <f t="shared" si="7"/>
        <v>0</v>
      </c>
      <c r="K117" s="419">
        <f t="shared" si="9"/>
        <v>0</v>
      </c>
    </row>
    <row r="118" spans="2:11" s="421" customFormat="1" ht="13.5">
      <c r="B118" s="442"/>
      <c r="C118" s="417" t="s">
        <v>149</v>
      </c>
      <c r="D118" s="417" t="s">
        <v>188</v>
      </c>
      <c r="E118" s="418" t="s">
        <v>189</v>
      </c>
      <c r="F118" s="417" t="s">
        <v>44</v>
      </c>
      <c r="G118" s="441">
        <v>136.87</v>
      </c>
      <c r="H118" s="419">
        <f>SupisPrac!I86</f>
        <v>0</v>
      </c>
      <c r="I118" s="420">
        <f t="shared" si="6"/>
        <v>0</v>
      </c>
      <c r="J118" s="420">
        <f t="shared" si="7"/>
        <v>0</v>
      </c>
      <c r="K118" s="419">
        <f t="shared" si="9"/>
        <v>0</v>
      </c>
    </row>
    <row r="119" spans="2:11" s="421" customFormat="1" ht="13.5">
      <c r="B119" s="442"/>
      <c r="C119" s="417" t="s">
        <v>149</v>
      </c>
      <c r="D119" s="417" t="s">
        <v>192</v>
      </c>
      <c r="E119" s="418" t="s">
        <v>193</v>
      </c>
      <c r="F119" s="417" t="s">
        <v>72</v>
      </c>
      <c r="G119" s="441">
        <v>46</v>
      </c>
      <c r="H119" s="419">
        <f>SupisPrac!I88</f>
        <v>0</v>
      </c>
      <c r="I119" s="420">
        <f t="shared" si="6"/>
        <v>0</v>
      </c>
      <c r="J119" s="420">
        <f t="shared" si="7"/>
        <v>0</v>
      </c>
      <c r="K119" s="419">
        <f t="shared" si="9"/>
        <v>0</v>
      </c>
    </row>
    <row r="120" spans="2:11" s="421" customFormat="1" ht="13.5">
      <c r="B120" s="442"/>
      <c r="C120" s="417" t="s">
        <v>149</v>
      </c>
      <c r="D120" s="417" t="s">
        <v>194</v>
      </c>
      <c r="E120" s="418" t="s">
        <v>195</v>
      </c>
      <c r="F120" s="417" t="s">
        <v>51</v>
      </c>
      <c r="G120" s="441">
        <v>282.18</v>
      </c>
      <c r="H120" s="419">
        <f>SupisPrac!I89</f>
        <v>0</v>
      </c>
      <c r="I120" s="420">
        <f t="shared" si="6"/>
        <v>0</v>
      </c>
      <c r="J120" s="420">
        <f t="shared" si="7"/>
        <v>0</v>
      </c>
      <c r="K120" s="419">
        <f t="shared" si="9"/>
        <v>0</v>
      </c>
    </row>
    <row r="121" spans="2:11" s="421" customFormat="1" ht="13.5">
      <c r="B121" s="442"/>
      <c r="C121" s="417" t="s">
        <v>149</v>
      </c>
      <c r="D121" s="417" t="s">
        <v>196</v>
      </c>
      <c r="E121" s="418" t="s">
        <v>197</v>
      </c>
      <c r="F121" s="417" t="s">
        <v>44</v>
      </c>
      <c r="G121" s="441">
        <v>115.58</v>
      </c>
      <c r="H121" s="419">
        <f>SupisPrac!I90</f>
        <v>0</v>
      </c>
      <c r="I121" s="420">
        <f t="shared" si="6"/>
        <v>0</v>
      </c>
      <c r="J121" s="420">
        <f t="shared" si="7"/>
        <v>0</v>
      </c>
      <c r="K121" s="419">
        <f t="shared" si="9"/>
        <v>0</v>
      </c>
    </row>
    <row r="122" spans="2:11" s="421" customFormat="1" ht="13.5">
      <c r="B122" s="442"/>
      <c r="C122" s="417" t="s">
        <v>149</v>
      </c>
      <c r="D122" s="417" t="s">
        <v>198</v>
      </c>
      <c r="E122" s="418" t="s">
        <v>199</v>
      </c>
      <c r="F122" s="417" t="s">
        <v>51</v>
      </c>
      <c r="G122" s="441">
        <v>1798.03</v>
      </c>
      <c r="H122" s="419">
        <f>SupisPrac!I91</f>
        <v>0</v>
      </c>
      <c r="I122" s="420">
        <f t="shared" si="6"/>
        <v>0</v>
      </c>
      <c r="J122" s="420">
        <f t="shared" si="7"/>
        <v>0</v>
      </c>
      <c r="K122" s="419">
        <f t="shared" si="9"/>
        <v>0</v>
      </c>
    </row>
    <row r="123" spans="2:11" s="421" customFormat="1" ht="13.5">
      <c r="B123" s="442"/>
      <c r="C123" s="417" t="s">
        <v>149</v>
      </c>
      <c r="D123" s="417" t="s">
        <v>200</v>
      </c>
      <c r="E123" s="418" t="s">
        <v>201</v>
      </c>
      <c r="F123" s="417" t="s">
        <v>51</v>
      </c>
      <c r="G123" s="441">
        <v>13</v>
      </c>
      <c r="H123" s="419">
        <f>SupisPrac!I92</f>
        <v>0</v>
      </c>
      <c r="I123" s="420">
        <f t="shared" si="6"/>
        <v>0</v>
      </c>
      <c r="J123" s="420">
        <f t="shared" si="7"/>
        <v>0</v>
      </c>
      <c r="K123" s="419">
        <f t="shared" si="9"/>
        <v>0</v>
      </c>
    </row>
    <row r="124" spans="2:11" s="421" customFormat="1" ht="13.5">
      <c r="B124" s="442"/>
      <c r="C124" s="417" t="s">
        <v>149</v>
      </c>
      <c r="D124" s="417" t="s">
        <v>202</v>
      </c>
      <c r="E124" s="418" t="s">
        <v>203</v>
      </c>
      <c r="F124" s="417" t="s">
        <v>72</v>
      </c>
      <c r="G124" s="441">
        <v>4</v>
      </c>
      <c r="H124" s="419">
        <f>SupisPrac!I93</f>
        <v>0</v>
      </c>
      <c r="I124" s="420">
        <f t="shared" si="6"/>
        <v>0</v>
      </c>
      <c r="J124" s="420">
        <f t="shared" si="7"/>
        <v>0</v>
      </c>
      <c r="K124" s="419">
        <f t="shared" si="9"/>
        <v>0</v>
      </c>
    </row>
    <row r="125" spans="2:11" s="421" customFormat="1" ht="13.5">
      <c r="B125" s="442"/>
      <c r="C125" s="417" t="s">
        <v>149</v>
      </c>
      <c r="D125" s="417" t="s">
        <v>204</v>
      </c>
      <c r="E125" s="418" t="s">
        <v>205</v>
      </c>
      <c r="F125" s="417" t="s">
        <v>72</v>
      </c>
      <c r="G125" s="441">
        <v>125</v>
      </c>
      <c r="H125" s="419">
        <f>SupisPrac!I94</f>
        <v>0</v>
      </c>
      <c r="I125" s="420">
        <f t="shared" si="6"/>
        <v>0</v>
      </c>
      <c r="J125" s="420">
        <f t="shared" si="7"/>
        <v>0</v>
      </c>
      <c r="K125" s="419">
        <f t="shared" si="9"/>
        <v>0</v>
      </c>
    </row>
    <row r="126" spans="2:11" s="421" customFormat="1" ht="13.5">
      <c r="B126" s="442"/>
      <c r="C126" s="417" t="s">
        <v>149</v>
      </c>
      <c r="D126" s="417" t="s">
        <v>206</v>
      </c>
      <c r="E126" s="418" t="s">
        <v>207</v>
      </c>
      <c r="F126" s="417" t="s">
        <v>51</v>
      </c>
      <c r="G126" s="441">
        <v>152.15</v>
      </c>
      <c r="H126" s="419">
        <f>SupisPrac!I95</f>
        <v>0</v>
      </c>
      <c r="I126" s="420">
        <f t="shared" si="6"/>
        <v>0</v>
      </c>
      <c r="J126" s="420">
        <f t="shared" si="7"/>
        <v>0</v>
      </c>
      <c r="K126" s="419">
        <f t="shared" si="9"/>
        <v>0</v>
      </c>
    </row>
    <row r="127" spans="2:11" s="421" customFormat="1" ht="13.5">
      <c r="B127" s="442"/>
      <c r="C127" s="417" t="s">
        <v>149</v>
      </c>
      <c r="D127" s="417" t="s">
        <v>208</v>
      </c>
      <c r="E127" s="418" t="s">
        <v>209</v>
      </c>
      <c r="F127" s="417" t="s">
        <v>51</v>
      </c>
      <c r="G127" s="441">
        <v>1276.76</v>
      </c>
      <c r="H127" s="419">
        <f>SupisPrac!I96</f>
        <v>0</v>
      </c>
      <c r="I127" s="420">
        <f t="shared" si="6"/>
        <v>0</v>
      </c>
      <c r="J127" s="420">
        <f t="shared" si="7"/>
        <v>0</v>
      </c>
      <c r="K127" s="419">
        <f t="shared" si="9"/>
        <v>0</v>
      </c>
    </row>
    <row r="128" spans="2:11" s="421" customFormat="1" ht="13.5">
      <c r="B128" s="442"/>
      <c r="C128" s="417" t="s">
        <v>149</v>
      </c>
      <c r="D128" s="417" t="s">
        <v>190</v>
      </c>
      <c r="E128" s="418" t="s">
        <v>191</v>
      </c>
      <c r="F128" s="417" t="s">
        <v>51</v>
      </c>
      <c r="G128" s="441">
        <v>1404.43</v>
      </c>
      <c r="H128" s="419">
        <f>SupisPrac!I87</f>
        <v>0</v>
      </c>
      <c r="I128" s="420">
        <f t="shared" si="6"/>
        <v>0</v>
      </c>
      <c r="J128" s="420">
        <f t="shared" si="7"/>
        <v>0</v>
      </c>
      <c r="K128" s="419">
        <f t="shared" si="9"/>
        <v>0</v>
      </c>
    </row>
    <row r="129" spans="2:11" s="421" customFormat="1" ht="13.5">
      <c r="B129" s="442"/>
      <c r="C129" s="417" t="s">
        <v>149</v>
      </c>
      <c r="D129" s="417" t="s">
        <v>210</v>
      </c>
      <c r="E129" s="418" t="s">
        <v>211</v>
      </c>
      <c r="F129" s="417" t="s">
        <v>33</v>
      </c>
      <c r="G129" s="441">
        <v>43.8</v>
      </c>
      <c r="H129" s="419">
        <f>SupisPrac!I97</f>
        <v>0</v>
      </c>
      <c r="I129" s="420">
        <f t="shared" si="6"/>
        <v>0</v>
      </c>
      <c r="J129" s="420">
        <f t="shared" si="7"/>
        <v>0</v>
      </c>
      <c r="K129" s="419">
        <f t="shared" si="9"/>
        <v>0</v>
      </c>
    </row>
    <row r="130" spans="2:11" s="421" customFormat="1" ht="13.5">
      <c r="B130" s="442"/>
      <c r="C130" s="417" t="s">
        <v>149</v>
      </c>
      <c r="D130" s="417" t="s">
        <v>212</v>
      </c>
      <c r="E130" s="418" t="s">
        <v>213</v>
      </c>
      <c r="F130" s="417" t="s">
        <v>33</v>
      </c>
      <c r="G130" s="441">
        <v>24694.560000000001</v>
      </c>
      <c r="H130" s="419">
        <f>SupisPrac!I98</f>
        <v>0</v>
      </c>
      <c r="I130" s="420">
        <f t="shared" si="6"/>
        <v>0</v>
      </c>
      <c r="J130" s="420">
        <f t="shared" si="7"/>
        <v>0</v>
      </c>
      <c r="K130" s="419">
        <f t="shared" si="9"/>
        <v>0</v>
      </c>
    </row>
    <row r="131" spans="2:11" s="421" customFormat="1" ht="13.5">
      <c r="B131" s="442"/>
      <c r="C131" s="417" t="s">
        <v>149</v>
      </c>
      <c r="D131" s="417" t="s">
        <v>214</v>
      </c>
      <c r="E131" s="418" t="s">
        <v>215</v>
      </c>
      <c r="F131" s="417" t="s">
        <v>44</v>
      </c>
      <c r="G131" s="441">
        <v>21.79</v>
      </c>
      <c r="H131" s="419">
        <f>SupisPrac!I99</f>
        <v>0</v>
      </c>
      <c r="I131" s="420">
        <f t="shared" ref="I131:I174" si="10">ROUND(H131,2)</f>
        <v>0</v>
      </c>
      <c r="J131" s="420">
        <f t="shared" ref="J131:J174" si="11">ROUND(G131*I131,2)</f>
        <v>0</v>
      </c>
      <c r="K131" s="419">
        <f t="shared" ref="K131:K162" si="12">J131*0.23</f>
        <v>0</v>
      </c>
    </row>
    <row r="132" spans="2:11" s="421" customFormat="1" ht="13.5">
      <c r="B132" s="442"/>
      <c r="C132" s="417" t="s">
        <v>149</v>
      </c>
      <c r="D132" s="417" t="s">
        <v>216</v>
      </c>
      <c r="E132" s="418" t="s">
        <v>217</v>
      </c>
      <c r="F132" s="417" t="s">
        <v>30</v>
      </c>
      <c r="G132" s="441">
        <v>0.73</v>
      </c>
      <c r="H132" s="419">
        <f>SupisPrac!I100</f>
        <v>0</v>
      </c>
      <c r="I132" s="420">
        <f t="shared" si="10"/>
        <v>0</v>
      </c>
      <c r="J132" s="420">
        <f t="shared" si="11"/>
        <v>0</v>
      </c>
      <c r="K132" s="419">
        <f t="shared" si="12"/>
        <v>0</v>
      </c>
    </row>
    <row r="133" spans="2:11" s="421" customFormat="1" ht="13.5">
      <c r="B133" s="442"/>
      <c r="C133" s="417" t="s">
        <v>223</v>
      </c>
      <c r="D133" s="417" t="s">
        <v>224</v>
      </c>
      <c r="E133" s="418" t="s">
        <v>225</v>
      </c>
      <c r="F133" s="417" t="s">
        <v>51</v>
      </c>
      <c r="G133" s="441">
        <v>1034</v>
      </c>
      <c r="H133" s="419">
        <f>SupisPrac!I102</f>
        <v>0</v>
      </c>
      <c r="I133" s="420">
        <f t="shared" si="10"/>
        <v>0</v>
      </c>
      <c r="J133" s="420">
        <f t="shared" si="11"/>
        <v>0</v>
      </c>
      <c r="K133" s="419">
        <f t="shared" si="12"/>
        <v>0</v>
      </c>
    </row>
    <row r="134" spans="2:11" s="421" customFormat="1" ht="27">
      <c r="B134" s="442"/>
      <c r="C134" s="417" t="s">
        <v>227</v>
      </c>
      <c r="D134" s="417" t="s">
        <v>230</v>
      </c>
      <c r="E134" s="418" t="s">
        <v>231</v>
      </c>
      <c r="F134" s="417" t="s">
        <v>44</v>
      </c>
      <c r="G134" s="441">
        <v>6485.18</v>
      </c>
      <c r="H134" s="419">
        <f>SupisPrac!I104</f>
        <v>0</v>
      </c>
      <c r="I134" s="420">
        <f t="shared" si="10"/>
        <v>0</v>
      </c>
      <c r="J134" s="420">
        <f t="shared" si="11"/>
        <v>0</v>
      </c>
      <c r="K134" s="419">
        <f t="shared" si="12"/>
        <v>0</v>
      </c>
    </row>
    <row r="135" spans="2:11" s="421" customFormat="1" ht="27">
      <c r="B135" s="442"/>
      <c r="C135" s="417" t="s">
        <v>227</v>
      </c>
      <c r="D135" s="417" t="s">
        <v>232</v>
      </c>
      <c r="E135" s="418" t="s">
        <v>233</v>
      </c>
      <c r="F135" s="417" t="s">
        <v>44</v>
      </c>
      <c r="G135" s="441">
        <v>6485.18</v>
      </c>
      <c r="H135" s="419">
        <f>SupisPrac!I105</f>
        <v>0</v>
      </c>
      <c r="I135" s="420">
        <f t="shared" si="10"/>
        <v>0</v>
      </c>
      <c r="J135" s="420">
        <f t="shared" si="11"/>
        <v>0</v>
      </c>
      <c r="K135" s="419">
        <f t="shared" si="12"/>
        <v>0</v>
      </c>
    </row>
    <row r="136" spans="2:11" s="421" customFormat="1" ht="27">
      <c r="B136" s="442"/>
      <c r="C136" s="417" t="s">
        <v>227</v>
      </c>
      <c r="D136" s="417" t="s">
        <v>236</v>
      </c>
      <c r="E136" s="418" t="s">
        <v>237</v>
      </c>
      <c r="F136" s="417" t="s">
        <v>33</v>
      </c>
      <c r="G136" s="441">
        <v>255.94</v>
      </c>
      <c r="H136" s="419">
        <f>SupisPrac!I107</f>
        <v>0</v>
      </c>
      <c r="I136" s="420">
        <f t="shared" si="10"/>
        <v>0</v>
      </c>
      <c r="J136" s="420">
        <f t="shared" si="11"/>
        <v>0</v>
      </c>
      <c r="K136" s="419">
        <f t="shared" si="12"/>
        <v>0</v>
      </c>
    </row>
    <row r="137" spans="2:11" s="421" customFormat="1" ht="27">
      <c r="B137" s="442"/>
      <c r="C137" s="417" t="s">
        <v>227</v>
      </c>
      <c r="D137" s="417" t="s">
        <v>238</v>
      </c>
      <c r="E137" s="418" t="s">
        <v>239</v>
      </c>
      <c r="F137" s="417" t="s">
        <v>33</v>
      </c>
      <c r="G137" s="441">
        <v>7.44</v>
      </c>
      <c r="H137" s="419">
        <f>SupisPrac!I108</f>
        <v>0</v>
      </c>
      <c r="I137" s="420">
        <f t="shared" si="10"/>
        <v>0</v>
      </c>
      <c r="J137" s="420">
        <f t="shared" si="11"/>
        <v>0</v>
      </c>
      <c r="K137" s="419">
        <f t="shared" si="12"/>
        <v>0</v>
      </c>
    </row>
    <row r="138" spans="2:11" s="421" customFormat="1" ht="13.5">
      <c r="B138" s="442"/>
      <c r="C138" s="417" t="s">
        <v>227</v>
      </c>
      <c r="D138" s="417" t="s">
        <v>240</v>
      </c>
      <c r="E138" s="418" t="s">
        <v>241</v>
      </c>
      <c r="F138" s="417" t="s">
        <v>33</v>
      </c>
      <c r="G138" s="441">
        <v>322.23</v>
      </c>
      <c r="H138" s="419">
        <f>SupisPrac!I109</f>
        <v>0</v>
      </c>
      <c r="I138" s="420">
        <f t="shared" si="10"/>
        <v>0</v>
      </c>
      <c r="J138" s="420">
        <f t="shared" si="11"/>
        <v>0</v>
      </c>
      <c r="K138" s="419">
        <f t="shared" si="12"/>
        <v>0</v>
      </c>
    </row>
    <row r="139" spans="2:11" s="421" customFormat="1" ht="13.5">
      <c r="B139" s="442"/>
      <c r="C139" s="417" t="s">
        <v>227</v>
      </c>
      <c r="D139" s="417" t="s">
        <v>244</v>
      </c>
      <c r="E139" s="418" t="s">
        <v>245</v>
      </c>
      <c r="F139" s="417" t="s">
        <v>51</v>
      </c>
      <c r="G139" s="441">
        <v>4091.95</v>
      </c>
      <c r="H139" s="419">
        <f>SupisPrac!I111</f>
        <v>0</v>
      </c>
      <c r="I139" s="420">
        <f t="shared" si="10"/>
        <v>0</v>
      </c>
      <c r="J139" s="420">
        <f t="shared" si="11"/>
        <v>0</v>
      </c>
      <c r="K139" s="419">
        <f t="shared" si="12"/>
        <v>0</v>
      </c>
    </row>
    <row r="140" spans="2:11" s="421" customFormat="1" ht="27">
      <c r="B140" s="442"/>
      <c r="C140" s="417" t="s">
        <v>227</v>
      </c>
      <c r="D140" s="417" t="s">
        <v>246</v>
      </c>
      <c r="E140" s="418" t="s">
        <v>247</v>
      </c>
      <c r="F140" s="417" t="s">
        <v>44</v>
      </c>
      <c r="G140" s="441">
        <v>494.11</v>
      </c>
      <c r="H140" s="419">
        <f>SupisPrac!I112</f>
        <v>0</v>
      </c>
      <c r="I140" s="420">
        <f t="shared" si="10"/>
        <v>0</v>
      </c>
      <c r="J140" s="420">
        <f t="shared" si="11"/>
        <v>0</v>
      </c>
      <c r="K140" s="419">
        <f t="shared" si="12"/>
        <v>0</v>
      </c>
    </row>
    <row r="141" spans="2:11" s="421" customFormat="1" ht="13.5">
      <c r="B141" s="442"/>
      <c r="C141" s="417" t="s">
        <v>227</v>
      </c>
      <c r="D141" s="417" t="s">
        <v>248</v>
      </c>
      <c r="E141" s="418" t="s">
        <v>249</v>
      </c>
      <c r="F141" s="417" t="s">
        <v>51</v>
      </c>
      <c r="G141" s="441">
        <v>640.94000000000005</v>
      </c>
      <c r="H141" s="419">
        <f>SupisPrac!I113</f>
        <v>0</v>
      </c>
      <c r="I141" s="420">
        <f t="shared" si="10"/>
        <v>0</v>
      </c>
      <c r="J141" s="420">
        <f t="shared" si="11"/>
        <v>0</v>
      </c>
      <c r="K141" s="419">
        <f t="shared" si="12"/>
        <v>0</v>
      </c>
    </row>
    <row r="142" spans="2:11" s="421" customFormat="1" ht="13.5">
      <c r="B142" s="442"/>
      <c r="C142" s="417" t="s">
        <v>227</v>
      </c>
      <c r="D142" s="417" t="s">
        <v>266</v>
      </c>
      <c r="E142" s="418" t="s">
        <v>267</v>
      </c>
      <c r="F142" s="417" t="s">
        <v>72</v>
      </c>
      <c r="G142" s="441">
        <v>206</v>
      </c>
      <c r="H142" s="419">
        <f>SupisPrac!I122</f>
        <v>0</v>
      </c>
      <c r="I142" s="420">
        <f t="shared" si="10"/>
        <v>0</v>
      </c>
      <c r="J142" s="420">
        <f t="shared" si="11"/>
        <v>0</v>
      </c>
      <c r="K142" s="419">
        <f t="shared" si="12"/>
        <v>0</v>
      </c>
    </row>
    <row r="143" spans="2:11" s="421" customFormat="1" ht="13.5">
      <c r="B143" s="442"/>
      <c r="C143" s="417" t="s">
        <v>227</v>
      </c>
      <c r="D143" s="417" t="s">
        <v>268</v>
      </c>
      <c r="E143" s="418" t="s">
        <v>373</v>
      </c>
      <c r="F143" s="417" t="s">
        <v>72</v>
      </c>
      <c r="G143" s="441">
        <v>3</v>
      </c>
      <c r="H143" s="419">
        <f>SupisPrac!I123</f>
        <v>0</v>
      </c>
      <c r="I143" s="420">
        <f t="shared" si="10"/>
        <v>0</v>
      </c>
      <c r="J143" s="420">
        <f t="shared" si="11"/>
        <v>0</v>
      </c>
      <c r="K143" s="419">
        <f t="shared" si="12"/>
        <v>0</v>
      </c>
    </row>
    <row r="144" spans="2:11" s="421" customFormat="1" ht="13.5">
      <c r="B144" s="442"/>
      <c r="C144" s="417" t="s">
        <v>227</v>
      </c>
      <c r="D144" s="417" t="s">
        <v>272</v>
      </c>
      <c r="E144" s="418" t="s">
        <v>273</v>
      </c>
      <c r="F144" s="417" t="s">
        <v>51</v>
      </c>
      <c r="G144" s="441">
        <v>37.799999999999997</v>
      </c>
      <c r="H144" s="419">
        <f>SupisPrac!I125</f>
        <v>0</v>
      </c>
      <c r="I144" s="420">
        <f t="shared" si="10"/>
        <v>0</v>
      </c>
      <c r="J144" s="420">
        <f t="shared" si="11"/>
        <v>0</v>
      </c>
      <c r="K144" s="419">
        <f t="shared" si="12"/>
        <v>0</v>
      </c>
    </row>
    <row r="145" spans="2:11" s="421" customFormat="1" ht="13.5">
      <c r="B145" s="442"/>
      <c r="C145" s="417" t="s">
        <v>227</v>
      </c>
      <c r="D145" s="417" t="s">
        <v>274</v>
      </c>
      <c r="E145" s="418" t="s">
        <v>275</v>
      </c>
      <c r="F145" s="417" t="s">
        <v>44</v>
      </c>
      <c r="G145" s="441">
        <v>141.88</v>
      </c>
      <c r="H145" s="419">
        <f>SupisPrac!I126</f>
        <v>0</v>
      </c>
      <c r="I145" s="420">
        <f t="shared" si="10"/>
        <v>0</v>
      </c>
      <c r="J145" s="420">
        <f t="shared" si="11"/>
        <v>0</v>
      </c>
      <c r="K145" s="419">
        <f t="shared" si="12"/>
        <v>0</v>
      </c>
    </row>
    <row r="146" spans="2:11" s="421" customFormat="1" ht="13.5">
      <c r="B146" s="442"/>
      <c r="C146" s="417" t="s">
        <v>289</v>
      </c>
      <c r="D146" s="417" t="s">
        <v>290</v>
      </c>
      <c r="E146" s="418" t="s">
        <v>291</v>
      </c>
      <c r="F146" s="417" t="s">
        <v>33</v>
      </c>
      <c r="G146" s="441">
        <v>17.440000000000001</v>
      </c>
      <c r="H146" s="419">
        <f>SupisPrac!I132</f>
        <v>0</v>
      </c>
      <c r="I146" s="420">
        <f t="shared" si="10"/>
        <v>0</v>
      </c>
      <c r="J146" s="420">
        <f t="shared" si="11"/>
        <v>0</v>
      </c>
      <c r="K146" s="419">
        <f t="shared" si="12"/>
        <v>0</v>
      </c>
    </row>
    <row r="147" spans="2:11" s="421" customFormat="1" ht="13.5">
      <c r="B147" s="442"/>
      <c r="C147" s="417" t="s">
        <v>293</v>
      </c>
      <c r="D147" s="417" t="s">
        <v>294</v>
      </c>
      <c r="E147" s="418" t="s">
        <v>295</v>
      </c>
      <c r="F147" s="417" t="s">
        <v>44</v>
      </c>
      <c r="G147" s="441">
        <v>32.729999999999997</v>
      </c>
      <c r="H147" s="419">
        <f>SupisPrac!I133</f>
        <v>0</v>
      </c>
      <c r="I147" s="420">
        <f t="shared" si="10"/>
        <v>0</v>
      </c>
      <c r="J147" s="420">
        <f t="shared" si="11"/>
        <v>0</v>
      </c>
      <c r="K147" s="419">
        <f t="shared" si="12"/>
        <v>0</v>
      </c>
    </row>
    <row r="148" spans="2:11" s="421" customFormat="1" ht="13.5">
      <c r="B148" s="442"/>
      <c r="C148" s="417" t="s">
        <v>293</v>
      </c>
      <c r="D148" s="417" t="s">
        <v>298</v>
      </c>
      <c r="E148" s="418" t="s">
        <v>299</v>
      </c>
      <c r="F148" s="417" t="s">
        <v>44</v>
      </c>
      <c r="G148" s="441">
        <v>9908.4699999999993</v>
      </c>
      <c r="H148" s="419">
        <f>SupisPrac!I135</f>
        <v>0</v>
      </c>
      <c r="I148" s="420">
        <f t="shared" si="10"/>
        <v>0</v>
      </c>
      <c r="J148" s="420">
        <f t="shared" si="11"/>
        <v>0</v>
      </c>
      <c r="K148" s="419">
        <f t="shared" si="12"/>
        <v>0</v>
      </c>
    </row>
    <row r="149" spans="2:11" s="421" customFormat="1" ht="13.5">
      <c r="B149" s="442"/>
      <c r="C149" s="417" t="s">
        <v>293</v>
      </c>
      <c r="D149" s="417" t="s">
        <v>296</v>
      </c>
      <c r="E149" s="418" t="s">
        <v>297</v>
      </c>
      <c r="F149" s="417" t="s">
        <v>44</v>
      </c>
      <c r="G149" s="441">
        <v>111.82</v>
      </c>
      <c r="H149" s="419">
        <f>SupisPrac!I134</f>
        <v>0</v>
      </c>
      <c r="I149" s="420">
        <f t="shared" si="10"/>
        <v>0</v>
      </c>
      <c r="J149" s="420">
        <f t="shared" si="11"/>
        <v>0</v>
      </c>
      <c r="K149" s="419">
        <f t="shared" si="12"/>
        <v>0</v>
      </c>
    </row>
    <row r="150" spans="2:11" s="421" customFormat="1" ht="13.5">
      <c r="B150" s="442"/>
      <c r="C150" s="417" t="s">
        <v>293</v>
      </c>
      <c r="D150" s="417" t="s">
        <v>300</v>
      </c>
      <c r="E150" s="418" t="s">
        <v>301</v>
      </c>
      <c r="F150" s="417" t="s">
        <v>44</v>
      </c>
      <c r="G150" s="441">
        <v>40.49</v>
      </c>
      <c r="H150" s="419">
        <f>SupisPrac!I136</f>
        <v>0</v>
      </c>
      <c r="I150" s="420">
        <f t="shared" si="10"/>
        <v>0</v>
      </c>
      <c r="J150" s="420">
        <f t="shared" si="11"/>
        <v>0</v>
      </c>
      <c r="K150" s="419">
        <f t="shared" si="12"/>
        <v>0</v>
      </c>
    </row>
    <row r="151" spans="2:11" s="421" customFormat="1" ht="13.5">
      <c r="B151" s="442"/>
      <c r="C151" s="417" t="s">
        <v>293</v>
      </c>
      <c r="D151" s="417" t="s">
        <v>302</v>
      </c>
      <c r="E151" s="418" t="s">
        <v>303</v>
      </c>
      <c r="F151" s="417" t="s">
        <v>44</v>
      </c>
      <c r="G151" s="441">
        <v>5.09</v>
      </c>
      <c r="H151" s="419">
        <f>SupisPrac!I137</f>
        <v>0</v>
      </c>
      <c r="I151" s="420">
        <f t="shared" si="10"/>
        <v>0</v>
      </c>
      <c r="J151" s="420">
        <f t="shared" si="11"/>
        <v>0</v>
      </c>
      <c r="K151" s="419">
        <f t="shared" si="12"/>
        <v>0</v>
      </c>
    </row>
    <row r="152" spans="2:11" s="421" customFormat="1" ht="13.5">
      <c r="B152" s="442"/>
      <c r="C152" s="417" t="s">
        <v>305</v>
      </c>
      <c r="D152" s="417" t="s">
        <v>308</v>
      </c>
      <c r="E152" s="418" t="s">
        <v>309</v>
      </c>
      <c r="F152" s="417" t="s">
        <v>44</v>
      </c>
      <c r="G152" s="441">
        <v>600.97</v>
      </c>
      <c r="H152" s="419">
        <f>SupisPrac!I139</f>
        <v>0</v>
      </c>
      <c r="I152" s="420">
        <f t="shared" si="10"/>
        <v>0</v>
      </c>
      <c r="J152" s="420">
        <f t="shared" si="11"/>
        <v>0</v>
      </c>
      <c r="K152" s="419">
        <f t="shared" si="12"/>
        <v>0</v>
      </c>
    </row>
    <row r="153" spans="2:11" s="421" customFormat="1" ht="27">
      <c r="B153" s="442"/>
      <c r="C153" s="417" t="s">
        <v>305</v>
      </c>
      <c r="D153" s="417" t="s">
        <v>310</v>
      </c>
      <c r="E153" s="418" t="s">
        <v>311</v>
      </c>
      <c r="F153" s="417" t="s">
        <v>51</v>
      </c>
      <c r="G153" s="441">
        <v>66</v>
      </c>
      <c r="H153" s="419">
        <f>SupisPrac!I140</f>
        <v>0</v>
      </c>
      <c r="I153" s="420">
        <f t="shared" si="10"/>
        <v>0</v>
      </c>
      <c r="J153" s="420">
        <f t="shared" si="11"/>
        <v>0</v>
      </c>
      <c r="K153" s="419">
        <f t="shared" si="12"/>
        <v>0</v>
      </c>
    </row>
    <row r="154" spans="2:11" s="421" customFormat="1" ht="13.5">
      <c r="B154" s="442"/>
      <c r="C154" s="417" t="s">
        <v>305</v>
      </c>
      <c r="D154" s="417" t="s">
        <v>312</v>
      </c>
      <c r="E154" s="418" t="s">
        <v>313</v>
      </c>
      <c r="F154" s="417" t="s">
        <v>33</v>
      </c>
      <c r="G154" s="441">
        <v>0.35</v>
      </c>
      <c r="H154" s="419">
        <f>SupisPrac!I141</f>
        <v>0</v>
      </c>
      <c r="I154" s="420">
        <f t="shared" si="10"/>
        <v>0</v>
      </c>
      <c r="J154" s="420">
        <f t="shared" si="11"/>
        <v>0</v>
      </c>
      <c r="K154" s="419">
        <f t="shared" si="12"/>
        <v>0</v>
      </c>
    </row>
    <row r="155" spans="2:11" s="421" customFormat="1" ht="13.5">
      <c r="B155" s="442"/>
      <c r="C155" s="417" t="s">
        <v>315</v>
      </c>
      <c r="D155" s="417" t="s">
        <v>316</v>
      </c>
      <c r="E155" s="418" t="s">
        <v>317</v>
      </c>
      <c r="F155" s="417" t="s">
        <v>33</v>
      </c>
      <c r="G155" s="441">
        <v>11.22</v>
      </c>
      <c r="H155" s="419">
        <f>SupisPrac!I142</f>
        <v>0</v>
      </c>
      <c r="I155" s="420">
        <f t="shared" si="10"/>
        <v>0</v>
      </c>
      <c r="J155" s="420">
        <f t="shared" si="11"/>
        <v>0</v>
      </c>
      <c r="K155" s="419">
        <f t="shared" si="12"/>
        <v>0</v>
      </c>
    </row>
    <row r="156" spans="2:11" s="421" customFormat="1" ht="13.5">
      <c r="B156" s="442"/>
      <c r="C156" s="417" t="s">
        <v>315</v>
      </c>
      <c r="D156" s="417" t="s">
        <v>318</v>
      </c>
      <c r="E156" s="418" t="s">
        <v>319</v>
      </c>
      <c r="F156" s="417" t="s">
        <v>30</v>
      </c>
      <c r="G156" s="441">
        <v>1.1299999999999999</v>
      </c>
      <c r="H156" s="419">
        <f>SupisPrac!I143</f>
        <v>0</v>
      </c>
      <c r="I156" s="420">
        <f t="shared" si="10"/>
        <v>0</v>
      </c>
      <c r="J156" s="420">
        <f t="shared" si="11"/>
        <v>0</v>
      </c>
      <c r="K156" s="419">
        <f t="shared" si="12"/>
        <v>0</v>
      </c>
    </row>
    <row r="157" spans="2:11" s="421" customFormat="1" ht="13.5">
      <c r="B157" s="442"/>
      <c r="C157" s="417" t="s">
        <v>321</v>
      </c>
      <c r="D157" s="417" t="s">
        <v>322</v>
      </c>
      <c r="E157" s="418" t="s">
        <v>323</v>
      </c>
      <c r="F157" s="417" t="s">
        <v>44</v>
      </c>
      <c r="G157" s="441">
        <v>4.9400000000000004</v>
      </c>
      <c r="H157" s="419">
        <f>SupisPrac!I144</f>
        <v>0</v>
      </c>
      <c r="I157" s="420">
        <f t="shared" si="10"/>
        <v>0</v>
      </c>
      <c r="J157" s="420">
        <f t="shared" si="11"/>
        <v>0</v>
      </c>
      <c r="K157" s="419">
        <f t="shared" si="12"/>
        <v>0</v>
      </c>
    </row>
    <row r="158" spans="2:11" s="421" customFormat="1" ht="27">
      <c r="B158" s="442"/>
      <c r="C158" s="417" t="s">
        <v>321</v>
      </c>
      <c r="D158" s="417" t="s">
        <v>324</v>
      </c>
      <c r="E158" s="418" t="s">
        <v>325</v>
      </c>
      <c r="F158" s="417" t="s">
        <v>44</v>
      </c>
      <c r="G158" s="441">
        <v>2721.35</v>
      </c>
      <c r="H158" s="419">
        <f>SupisPrac!I145</f>
        <v>0</v>
      </c>
      <c r="I158" s="420">
        <f t="shared" si="10"/>
        <v>0</v>
      </c>
      <c r="J158" s="420">
        <f t="shared" si="11"/>
        <v>0</v>
      </c>
      <c r="K158" s="419">
        <f t="shared" si="12"/>
        <v>0</v>
      </c>
    </row>
    <row r="159" spans="2:11" s="421" customFormat="1" ht="13.5">
      <c r="B159" s="442"/>
      <c r="C159" s="417" t="s">
        <v>321</v>
      </c>
      <c r="D159" s="417" t="s">
        <v>326</v>
      </c>
      <c r="E159" s="418" t="s">
        <v>327</v>
      </c>
      <c r="F159" s="417" t="s">
        <v>72</v>
      </c>
      <c r="G159" s="441">
        <v>33</v>
      </c>
      <c r="H159" s="419">
        <f>SupisPrac!I146</f>
        <v>0</v>
      </c>
      <c r="I159" s="420">
        <f t="shared" si="10"/>
        <v>0</v>
      </c>
      <c r="J159" s="420">
        <f t="shared" si="11"/>
        <v>0</v>
      </c>
      <c r="K159" s="419">
        <f t="shared" si="12"/>
        <v>0</v>
      </c>
    </row>
    <row r="160" spans="2:11" s="421" customFormat="1" ht="13.5">
      <c r="B160" s="442"/>
      <c r="C160" s="417" t="s">
        <v>329</v>
      </c>
      <c r="D160" s="417" t="s">
        <v>330</v>
      </c>
      <c r="E160" s="418" t="s">
        <v>331</v>
      </c>
      <c r="F160" s="417" t="s">
        <v>51</v>
      </c>
      <c r="G160" s="441">
        <v>132</v>
      </c>
      <c r="H160" s="419">
        <f>SupisPrac!I147</f>
        <v>0</v>
      </c>
      <c r="I160" s="420">
        <f t="shared" si="10"/>
        <v>0</v>
      </c>
      <c r="J160" s="420">
        <f t="shared" si="11"/>
        <v>0</v>
      </c>
      <c r="K160" s="419">
        <f t="shared" si="12"/>
        <v>0</v>
      </c>
    </row>
    <row r="161" spans="2:11" s="421" customFormat="1" ht="27">
      <c r="B161" s="442"/>
      <c r="C161" s="417" t="s">
        <v>332</v>
      </c>
      <c r="D161" s="417" t="s">
        <v>333</v>
      </c>
      <c r="E161" s="418" t="s">
        <v>334</v>
      </c>
      <c r="F161" s="417" t="s">
        <v>44</v>
      </c>
      <c r="G161" s="441">
        <v>20.09</v>
      </c>
      <c r="H161" s="419">
        <f>SupisPrac!I148</f>
        <v>0</v>
      </c>
      <c r="I161" s="420">
        <f t="shared" si="10"/>
        <v>0</v>
      </c>
      <c r="J161" s="420">
        <f t="shared" si="11"/>
        <v>0</v>
      </c>
      <c r="K161" s="419">
        <f t="shared" si="12"/>
        <v>0</v>
      </c>
    </row>
    <row r="162" spans="2:11" s="421" customFormat="1" ht="13.5">
      <c r="B162" s="442"/>
      <c r="C162" s="417" t="s">
        <v>336</v>
      </c>
      <c r="D162" s="417" t="s">
        <v>337</v>
      </c>
      <c r="E162" s="418" t="s">
        <v>338</v>
      </c>
      <c r="F162" s="417" t="s">
        <v>44</v>
      </c>
      <c r="G162" s="441">
        <v>84.6</v>
      </c>
      <c r="H162" s="419">
        <f>SupisPrac!I149</f>
        <v>0</v>
      </c>
      <c r="I162" s="420">
        <f t="shared" si="10"/>
        <v>0</v>
      </c>
      <c r="J162" s="420">
        <f t="shared" si="11"/>
        <v>0</v>
      </c>
      <c r="K162" s="419">
        <f t="shared" si="12"/>
        <v>0</v>
      </c>
    </row>
    <row r="163" spans="2:11" s="421" customFormat="1" ht="27">
      <c r="B163" s="442"/>
      <c r="C163" s="417" t="s">
        <v>339</v>
      </c>
      <c r="D163" s="417" t="s">
        <v>340</v>
      </c>
      <c r="E163" s="418" t="s">
        <v>341</v>
      </c>
      <c r="F163" s="417" t="s">
        <v>33</v>
      </c>
      <c r="G163" s="441">
        <v>155.4</v>
      </c>
      <c r="H163" s="419">
        <f>SupisPrac!I150</f>
        <v>0</v>
      </c>
      <c r="I163" s="420">
        <f t="shared" si="10"/>
        <v>0</v>
      </c>
      <c r="J163" s="420">
        <f t="shared" si="11"/>
        <v>0</v>
      </c>
      <c r="K163" s="419">
        <f t="shared" ref="K163:K174" si="13">J163*0.23</f>
        <v>0</v>
      </c>
    </row>
    <row r="164" spans="2:11" s="421" customFormat="1" ht="27">
      <c r="B164" s="442"/>
      <c r="C164" s="417" t="s">
        <v>339</v>
      </c>
      <c r="D164" s="417" t="s">
        <v>342</v>
      </c>
      <c r="E164" s="418" t="s">
        <v>343</v>
      </c>
      <c r="F164" s="417" t="s">
        <v>33</v>
      </c>
      <c r="G164" s="441">
        <v>102.73</v>
      </c>
      <c r="H164" s="419">
        <f>SupisPrac!I151</f>
        <v>0</v>
      </c>
      <c r="I164" s="420">
        <f t="shared" si="10"/>
        <v>0</v>
      </c>
      <c r="J164" s="420">
        <f t="shared" si="11"/>
        <v>0</v>
      </c>
      <c r="K164" s="419">
        <f t="shared" si="13"/>
        <v>0</v>
      </c>
    </row>
    <row r="165" spans="2:11" s="421" customFormat="1" ht="13.5">
      <c r="B165" s="442"/>
      <c r="C165" s="417" t="s">
        <v>339</v>
      </c>
      <c r="D165" s="417" t="s">
        <v>344</v>
      </c>
      <c r="E165" s="418" t="s">
        <v>345</v>
      </c>
      <c r="F165" s="417" t="s">
        <v>44</v>
      </c>
      <c r="G165" s="441">
        <v>70</v>
      </c>
      <c r="H165" s="419">
        <f>SupisPrac!I152</f>
        <v>0</v>
      </c>
      <c r="I165" s="420">
        <f t="shared" si="10"/>
        <v>0</v>
      </c>
      <c r="J165" s="420">
        <f t="shared" si="11"/>
        <v>0</v>
      </c>
      <c r="K165" s="419">
        <f t="shared" si="13"/>
        <v>0</v>
      </c>
    </row>
    <row r="166" spans="2:11" s="421" customFormat="1" ht="27">
      <c r="B166" s="442"/>
      <c r="C166" s="417" t="s">
        <v>339</v>
      </c>
      <c r="D166" s="417" t="s">
        <v>346</v>
      </c>
      <c r="E166" s="418" t="s">
        <v>347</v>
      </c>
      <c r="F166" s="417" t="s">
        <v>33</v>
      </c>
      <c r="G166" s="441">
        <v>32.590000000000003</v>
      </c>
      <c r="H166" s="419">
        <f>SupisPrac!I153</f>
        <v>0</v>
      </c>
      <c r="I166" s="420">
        <f t="shared" si="10"/>
        <v>0</v>
      </c>
      <c r="J166" s="420">
        <f t="shared" si="11"/>
        <v>0</v>
      </c>
      <c r="K166" s="419">
        <f t="shared" si="13"/>
        <v>0</v>
      </c>
    </row>
    <row r="167" spans="2:11" s="421" customFormat="1" ht="13.5">
      <c r="B167" s="442"/>
      <c r="C167" s="417" t="s">
        <v>349</v>
      </c>
      <c r="D167" s="417" t="s">
        <v>350</v>
      </c>
      <c r="E167" s="418" t="s">
        <v>351</v>
      </c>
      <c r="F167" s="417" t="s">
        <v>44</v>
      </c>
      <c r="G167" s="441">
        <v>803.72</v>
      </c>
      <c r="H167" s="419">
        <f>SupisPrac!I154</f>
        <v>0</v>
      </c>
      <c r="I167" s="420">
        <f t="shared" si="10"/>
        <v>0</v>
      </c>
      <c r="J167" s="420">
        <f t="shared" si="11"/>
        <v>0</v>
      </c>
      <c r="K167" s="419">
        <f t="shared" si="13"/>
        <v>0</v>
      </c>
    </row>
    <row r="168" spans="2:11" s="421" customFormat="1" ht="13.5">
      <c r="B168" s="442"/>
      <c r="C168" s="417" t="s">
        <v>349</v>
      </c>
      <c r="D168" s="417" t="s">
        <v>352</v>
      </c>
      <c r="E168" s="418" t="s">
        <v>353</v>
      </c>
      <c r="F168" s="417" t="s">
        <v>44</v>
      </c>
      <c r="G168" s="441">
        <v>29.3</v>
      </c>
      <c r="H168" s="419">
        <f>SupisPrac!I155</f>
        <v>0</v>
      </c>
      <c r="I168" s="420">
        <f t="shared" si="10"/>
        <v>0</v>
      </c>
      <c r="J168" s="420">
        <f t="shared" si="11"/>
        <v>0</v>
      </c>
      <c r="K168" s="419">
        <f t="shared" si="13"/>
        <v>0</v>
      </c>
    </row>
    <row r="169" spans="2:11" s="421" customFormat="1" ht="13.5">
      <c r="B169" s="442"/>
      <c r="C169" s="417" t="s">
        <v>349</v>
      </c>
      <c r="D169" s="417" t="s">
        <v>354</v>
      </c>
      <c r="E169" s="418" t="s">
        <v>355</v>
      </c>
      <c r="F169" s="417" t="s">
        <v>44</v>
      </c>
      <c r="G169" s="441">
        <v>22.6</v>
      </c>
      <c r="H169" s="419">
        <f>SupisPrac!I156</f>
        <v>0</v>
      </c>
      <c r="I169" s="420">
        <f t="shared" si="10"/>
        <v>0</v>
      </c>
      <c r="J169" s="420">
        <f t="shared" si="11"/>
        <v>0</v>
      </c>
      <c r="K169" s="419">
        <f t="shared" si="13"/>
        <v>0</v>
      </c>
    </row>
    <row r="170" spans="2:11" s="421" customFormat="1" ht="13.5">
      <c r="B170" s="442"/>
      <c r="C170" s="417" t="s">
        <v>349</v>
      </c>
      <c r="D170" s="417" t="s">
        <v>356</v>
      </c>
      <c r="E170" s="418" t="s">
        <v>357</v>
      </c>
      <c r="F170" s="417" t="s">
        <v>44</v>
      </c>
      <c r="G170" s="441">
        <v>7945.8</v>
      </c>
      <c r="H170" s="419">
        <f>SupisPrac!I157</f>
        <v>0</v>
      </c>
      <c r="I170" s="420">
        <f t="shared" si="10"/>
        <v>0</v>
      </c>
      <c r="J170" s="420">
        <f t="shared" si="11"/>
        <v>0</v>
      </c>
      <c r="K170" s="419">
        <f t="shared" si="13"/>
        <v>0</v>
      </c>
    </row>
    <row r="171" spans="2:11" s="421" customFormat="1" ht="13.5">
      <c r="B171" s="442"/>
      <c r="C171" s="417" t="s">
        <v>349</v>
      </c>
      <c r="D171" s="417" t="s">
        <v>358</v>
      </c>
      <c r="E171" s="418" t="s">
        <v>359</v>
      </c>
      <c r="F171" s="417" t="s">
        <v>44</v>
      </c>
      <c r="G171" s="441">
        <v>5.46</v>
      </c>
      <c r="H171" s="419">
        <f>SupisPrac!I158</f>
        <v>0</v>
      </c>
      <c r="I171" s="420">
        <f t="shared" si="10"/>
        <v>0</v>
      </c>
      <c r="J171" s="420">
        <f t="shared" si="11"/>
        <v>0</v>
      </c>
      <c r="K171" s="419">
        <f t="shared" si="13"/>
        <v>0</v>
      </c>
    </row>
    <row r="172" spans="2:11" s="421" customFormat="1" ht="13.5">
      <c r="B172" s="442"/>
      <c r="C172" s="417" t="s">
        <v>349</v>
      </c>
      <c r="D172" s="417" t="s">
        <v>360</v>
      </c>
      <c r="E172" s="418" t="s">
        <v>361</v>
      </c>
      <c r="F172" s="417" t="s">
        <v>44</v>
      </c>
      <c r="G172" s="441">
        <v>13450.22</v>
      </c>
      <c r="H172" s="419">
        <f>SupisPrac!I159</f>
        <v>0</v>
      </c>
      <c r="I172" s="420">
        <f t="shared" si="10"/>
        <v>0</v>
      </c>
      <c r="J172" s="420">
        <f t="shared" si="11"/>
        <v>0</v>
      </c>
      <c r="K172" s="419">
        <f t="shared" si="13"/>
        <v>0</v>
      </c>
    </row>
    <row r="173" spans="2:11" s="421" customFormat="1" ht="13.5">
      <c r="B173" s="442"/>
      <c r="C173" s="417" t="s">
        <v>349</v>
      </c>
      <c r="D173" s="417" t="s">
        <v>362</v>
      </c>
      <c r="E173" s="418" t="s">
        <v>363</v>
      </c>
      <c r="F173" s="417" t="s">
        <v>44</v>
      </c>
      <c r="G173" s="441">
        <v>361.5</v>
      </c>
      <c r="H173" s="419">
        <f>SupisPrac!I160</f>
        <v>0</v>
      </c>
      <c r="I173" s="420">
        <f t="shared" si="10"/>
        <v>0</v>
      </c>
      <c r="J173" s="420">
        <f t="shared" si="11"/>
        <v>0</v>
      </c>
      <c r="K173" s="419">
        <f t="shared" si="13"/>
        <v>0</v>
      </c>
    </row>
    <row r="174" spans="2:11" s="421" customFormat="1" ht="13.5">
      <c r="B174" s="443"/>
      <c r="C174" s="417" t="s">
        <v>349</v>
      </c>
      <c r="D174" s="417" t="s">
        <v>364</v>
      </c>
      <c r="E174" s="418" t="s">
        <v>365</v>
      </c>
      <c r="F174" s="417" t="s">
        <v>44</v>
      </c>
      <c r="G174" s="441">
        <v>317.99</v>
      </c>
      <c r="H174" s="419">
        <f>SupisPrac!I161</f>
        <v>0</v>
      </c>
      <c r="I174" s="420">
        <f t="shared" si="10"/>
        <v>0</v>
      </c>
      <c r="J174" s="420">
        <f t="shared" si="11"/>
        <v>0</v>
      </c>
      <c r="K174" s="419">
        <f t="shared" si="13"/>
        <v>0</v>
      </c>
    </row>
    <row r="175" spans="2:11" s="428" customFormat="1" ht="27">
      <c r="B175" s="424" t="s">
        <v>374</v>
      </c>
      <c r="C175" s="454"/>
      <c r="D175" s="454"/>
      <c r="E175" s="455"/>
      <c r="F175" s="454"/>
      <c r="G175" s="457"/>
      <c r="H175" s="457"/>
      <c r="I175" s="457"/>
      <c r="J175" s="458">
        <f>SUM(J64:J174)</f>
        <v>0</v>
      </c>
      <c r="K175" s="427">
        <f>SUM(K64:K174)</f>
        <v>0</v>
      </c>
    </row>
    <row r="176" spans="2:11">
      <c r="G176" s="465" t="s">
        <v>393</v>
      </c>
      <c r="H176" s="466"/>
      <c r="I176" s="467"/>
      <c r="J176" s="459">
        <f>J17+J63+J175</f>
        <v>0</v>
      </c>
    </row>
    <row r="177" spans="2:12">
      <c r="G177" s="468" t="s">
        <v>4</v>
      </c>
      <c r="H177" s="469"/>
      <c r="I177" s="470"/>
      <c r="J177" s="460">
        <f>ROUND(J17*0.23,2)+ROUND(J63*0.23,2)+ROUND(J175*0.23,2)</f>
        <v>0</v>
      </c>
      <c r="L177" s="461" t="s">
        <v>1512</v>
      </c>
    </row>
    <row r="178" spans="2:12">
      <c r="G178" s="468" t="s">
        <v>394</v>
      </c>
      <c r="H178" s="469"/>
      <c r="I178" s="470"/>
      <c r="J178" s="460">
        <f>J176+J177</f>
        <v>0</v>
      </c>
    </row>
    <row r="179" spans="2:12">
      <c r="B179" s="10"/>
      <c r="C179" s="9"/>
      <c r="D179" s="9"/>
      <c r="E179" s="10"/>
    </row>
    <row r="180" spans="2:12" ht="15">
      <c r="B180" s="8" t="s">
        <v>389</v>
      </c>
      <c r="C180" s="9"/>
      <c r="D180" s="8" t="s">
        <v>390</v>
      </c>
      <c r="E180" s="7"/>
    </row>
    <row r="181" spans="2:12" ht="15">
      <c r="B181" s="9"/>
      <c r="C181" s="9"/>
      <c r="D181" s="8" t="s">
        <v>391</v>
      </c>
      <c r="E181" s="7"/>
    </row>
    <row r="182" spans="2:12" ht="15">
      <c r="B182" s="9"/>
      <c r="C182" s="9"/>
      <c r="D182" s="8" t="s">
        <v>392</v>
      </c>
      <c r="E182" s="7"/>
    </row>
  </sheetData>
  <sheetProtection algorithmName="SHA-512" hashValue="x5jcJnTJyO/KHVErwY4/+9TIjU7u4WGEwjj9iQZ6FTaXJeNKRp3MoiFY8ssbhtBefnUYe1TuJRMtmKD09bth3g==" saltValue="8L6NUGhu4RLv9pITc89FQA==" spinCount="100000" sheet="1" objects="1" scenarios="1"/>
  <mergeCells count="4">
    <mergeCell ref="C3:D3"/>
    <mergeCell ref="G176:I176"/>
    <mergeCell ref="G177:I177"/>
    <mergeCell ref="G178:I178"/>
  </mergeCells>
  <pageMargins left="0.7" right="0.7" top="0.75" bottom="0.75" header="0.3" footer="0.3"/>
  <pageSetup paperSize="9" scale="78" fitToHeight="0" orientation="landscape" errors="blank" r:id="rId1"/>
  <headerFooter alignWithMargins="0"/>
  <rowBreaks count="1" manualBreakCount="1">
    <brk id="136" max="9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736B6E-DC67-4CFB-8931-D1779E57E8B5}">
  <dimension ref="A1:K87"/>
  <sheetViews>
    <sheetView zoomScaleNormal="100" workbookViewId="0">
      <selection sqref="A1:XFD1048576"/>
    </sheetView>
  </sheetViews>
  <sheetFormatPr defaultColWidth="9.140625" defaultRowHeight="15.75"/>
  <cols>
    <col min="1" max="1" width="5.7109375" style="357" customWidth="1"/>
    <col min="2" max="2" width="11.7109375" style="13" customWidth="1"/>
    <col min="3" max="3" width="11.7109375" style="16" customWidth="1"/>
    <col min="4" max="4" width="11.7109375" style="17" customWidth="1"/>
    <col min="5" max="5" width="50" style="11" customWidth="1"/>
    <col min="6" max="6" width="11.7109375" style="406" customWidth="1"/>
    <col min="7" max="7" width="4.7109375" style="14" customWidth="1"/>
    <col min="8" max="8" width="11.7109375" style="15" customWidth="1"/>
    <col min="9" max="16384" width="9.140625" style="406"/>
  </cols>
  <sheetData>
    <row r="1" spans="1:11" ht="31.15" customHeight="1">
      <c r="B1" s="11" t="s">
        <v>395</v>
      </c>
      <c r="C1" s="12"/>
      <c r="D1" s="11"/>
      <c r="E1" s="13" t="s">
        <v>396</v>
      </c>
      <c r="F1" s="471" t="s">
        <v>1490</v>
      </c>
      <c r="G1" s="472"/>
      <c r="H1" s="472"/>
      <c r="I1" s="405"/>
      <c r="J1" s="405"/>
      <c r="K1" s="405"/>
    </row>
    <row r="2" spans="1:11" ht="15">
      <c r="B2" s="11"/>
      <c r="C2" s="12"/>
      <c r="D2" s="11"/>
      <c r="E2" s="12"/>
      <c r="F2" s="472"/>
      <c r="G2" s="472"/>
      <c r="H2" s="472"/>
    </row>
    <row r="3" spans="1:11" ht="15">
      <c r="B3" s="11" t="s">
        <v>397</v>
      </c>
      <c r="C3" s="12"/>
      <c r="D3" s="11" t="s">
        <v>6</v>
      </c>
      <c r="E3" s="12" t="s">
        <v>398</v>
      </c>
      <c r="H3" s="509" t="s">
        <v>1513</v>
      </c>
    </row>
    <row r="5" spans="1:11" ht="16.5" thickBot="1"/>
    <row r="6" spans="1:11" ht="12.75">
      <c r="A6" s="473" t="s">
        <v>399</v>
      </c>
      <c r="B6" s="475" t="s">
        <v>400</v>
      </c>
      <c r="C6" s="475"/>
      <c r="D6" s="475"/>
      <c r="E6" s="476" t="s">
        <v>401</v>
      </c>
      <c r="F6" s="477"/>
      <c r="G6" s="480" t="s">
        <v>402</v>
      </c>
      <c r="H6" s="482" t="s">
        <v>403</v>
      </c>
    </row>
    <row r="7" spans="1:11" ht="12.75">
      <c r="A7" s="474"/>
      <c r="B7" s="484" t="s">
        <v>404</v>
      </c>
      <c r="C7" s="484"/>
      <c r="D7" s="407" t="s">
        <v>405</v>
      </c>
      <c r="E7" s="478"/>
      <c r="F7" s="479"/>
      <c r="G7" s="481"/>
      <c r="H7" s="483"/>
    </row>
    <row r="8" spans="1:11">
      <c r="A8" s="358"/>
      <c r="B8" s="359"/>
      <c r="C8" s="18"/>
      <c r="D8" s="19"/>
      <c r="F8" s="360"/>
      <c r="G8" s="20"/>
      <c r="H8" s="21"/>
    </row>
    <row r="9" spans="1:11" ht="31.5">
      <c r="A9" s="358"/>
      <c r="B9" s="22" t="s">
        <v>22</v>
      </c>
      <c r="C9" s="23"/>
      <c r="D9" s="24"/>
      <c r="E9" s="13" t="s">
        <v>406</v>
      </c>
      <c r="F9" s="360"/>
      <c r="G9" s="25"/>
      <c r="H9" s="21"/>
    </row>
    <row r="10" spans="1:11" ht="12.75" customHeight="1">
      <c r="A10" s="361">
        <f>MAX(A$2:A9)+1</f>
        <v>1</v>
      </c>
      <c r="B10" s="362" t="s">
        <v>22</v>
      </c>
      <c r="C10" s="26" t="s">
        <v>23</v>
      </c>
      <c r="D10" s="363"/>
      <c r="E10" s="27" t="s">
        <v>24</v>
      </c>
      <c r="F10" s="364"/>
      <c r="G10" s="365" t="s">
        <v>25</v>
      </c>
      <c r="H10" s="21">
        <f>H11</f>
        <v>1</v>
      </c>
    </row>
    <row r="11" spans="1:11">
      <c r="A11" s="366"/>
      <c r="C11" s="23"/>
      <c r="D11" s="24" t="s">
        <v>23</v>
      </c>
      <c r="E11" s="11" t="s">
        <v>24</v>
      </c>
      <c r="G11" s="28" t="s">
        <v>25</v>
      </c>
      <c r="H11" s="29">
        <v>1</v>
      </c>
    </row>
    <row r="12" spans="1:11" ht="12.75" customHeight="1">
      <c r="A12" s="361">
        <f>MAX(A$2:A11)+1</f>
        <v>2</v>
      </c>
      <c r="B12" s="362" t="s">
        <v>22</v>
      </c>
      <c r="C12" s="26" t="s">
        <v>26</v>
      </c>
      <c r="D12" s="363"/>
      <c r="E12" s="27" t="s">
        <v>27</v>
      </c>
      <c r="F12" s="364"/>
      <c r="G12" s="365" t="s">
        <v>25</v>
      </c>
      <c r="H12" s="21">
        <f>H13</f>
        <v>1</v>
      </c>
    </row>
    <row r="13" spans="1:11">
      <c r="A13" s="366"/>
      <c r="C13" s="23"/>
      <c r="D13" s="24" t="s">
        <v>26</v>
      </c>
      <c r="E13" s="11" t="s">
        <v>27</v>
      </c>
      <c r="G13" s="28" t="s">
        <v>25</v>
      </c>
      <c r="H13" s="29">
        <v>1</v>
      </c>
    </row>
    <row r="14" spans="1:11" ht="12.75" customHeight="1">
      <c r="A14" s="358"/>
      <c r="B14" s="22"/>
      <c r="C14" s="23"/>
      <c r="D14" s="30"/>
      <c r="E14" s="31" t="s">
        <v>407</v>
      </c>
      <c r="F14" s="360"/>
      <c r="G14" s="28"/>
      <c r="H14" s="29"/>
    </row>
    <row r="15" spans="1:11" ht="12.75" customHeight="1">
      <c r="A15" s="358"/>
      <c r="B15" s="22"/>
      <c r="C15" s="23"/>
      <c r="D15" s="30"/>
      <c r="E15" s="31" t="s">
        <v>408</v>
      </c>
      <c r="F15" s="360"/>
      <c r="G15" s="28"/>
      <c r="H15" s="29"/>
    </row>
    <row r="16" spans="1:11" ht="25.5">
      <c r="A16" s="361">
        <f>MAX(A$2:A15)+1</f>
        <v>3</v>
      </c>
      <c r="B16" s="32" t="s">
        <v>22</v>
      </c>
      <c r="C16" s="88" t="s">
        <v>28</v>
      </c>
      <c r="D16" s="57"/>
      <c r="E16" s="183" t="s">
        <v>29</v>
      </c>
      <c r="F16" s="33"/>
      <c r="G16" s="34" t="s">
        <v>30</v>
      </c>
      <c r="H16" s="21">
        <f>H17</f>
        <v>4176.91</v>
      </c>
    </row>
    <row r="17" spans="1:8" ht="25.5">
      <c r="A17" s="35"/>
      <c r="B17" s="367"/>
      <c r="C17" s="36"/>
      <c r="D17" s="37" t="s">
        <v>28</v>
      </c>
      <c r="E17" s="38" t="s">
        <v>29</v>
      </c>
      <c r="F17" s="39"/>
      <c r="G17" s="40" t="s">
        <v>30</v>
      </c>
      <c r="H17" s="29">
        <f>ROUND(F20,2)</f>
        <v>4176.91</v>
      </c>
    </row>
    <row r="18" spans="1:8">
      <c r="A18" s="35"/>
      <c r="B18" s="367"/>
      <c r="C18" s="36"/>
      <c r="D18" s="41"/>
      <c r="E18" s="31" t="s">
        <v>409</v>
      </c>
      <c r="F18" s="42">
        <f>ROUND('[1]101-00'!F54,2)</f>
        <v>407.14</v>
      </c>
      <c r="G18" s="40"/>
      <c r="H18" s="29"/>
    </row>
    <row r="19" spans="1:8">
      <c r="A19" s="35"/>
      <c r="B19" s="367"/>
      <c r="C19" s="36"/>
      <c r="D19" s="41"/>
      <c r="E19" s="31" t="s">
        <v>410</v>
      </c>
      <c r="F19" s="43">
        <f>ROUND('[1]201-00'!F131,2)</f>
        <v>3769.77</v>
      </c>
      <c r="G19" s="40"/>
      <c r="H19" s="29"/>
    </row>
    <row r="20" spans="1:8">
      <c r="A20" s="35"/>
      <c r="B20" s="367"/>
      <c r="C20" s="36"/>
      <c r="D20" s="41"/>
      <c r="E20" s="44" t="s">
        <v>411</v>
      </c>
      <c r="F20" s="42">
        <f>SUM(F18:F19)</f>
        <v>4176.91</v>
      </c>
      <c r="G20" s="40"/>
      <c r="H20" s="29"/>
    </row>
    <row r="21" spans="1:8" ht="12.75" customHeight="1">
      <c r="A21" s="361">
        <f>MAX(A$2:A17)+1</f>
        <v>4</v>
      </c>
      <c r="B21" s="32" t="s">
        <v>22</v>
      </c>
      <c r="C21" s="88" t="s">
        <v>31</v>
      </c>
      <c r="D21" s="57"/>
      <c r="E21" s="27" t="s">
        <v>32</v>
      </c>
      <c r="F21" s="33"/>
      <c r="G21" s="34" t="s">
        <v>33</v>
      </c>
      <c r="H21" s="21">
        <f>H22</f>
        <v>411.8</v>
      </c>
    </row>
    <row r="22" spans="1:8" ht="12.75" customHeight="1">
      <c r="A22" s="45"/>
      <c r="B22" s="46"/>
      <c r="C22" s="36"/>
      <c r="D22" s="37" t="s">
        <v>31</v>
      </c>
      <c r="E22" s="47" t="s">
        <v>32</v>
      </c>
      <c r="F22" s="39"/>
      <c r="G22" s="40" t="s">
        <v>33</v>
      </c>
      <c r="H22" s="29">
        <f>ROUND(F25,2)</f>
        <v>411.8</v>
      </c>
    </row>
    <row r="23" spans="1:8" ht="12.75" customHeight="1">
      <c r="A23" s="45"/>
      <c r="B23" s="46"/>
      <c r="C23" s="36"/>
      <c r="D23" s="41"/>
      <c r="E23" s="31" t="s">
        <v>412</v>
      </c>
      <c r="F23" s="42">
        <f>ROUND('[1]101-00'!F139,2)</f>
        <v>396</v>
      </c>
      <c r="G23" s="40"/>
      <c r="H23" s="29"/>
    </row>
    <row r="24" spans="1:8" ht="12.75" customHeight="1">
      <c r="A24" s="45"/>
      <c r="B24" s="46"/>
      <c r="C24" s="36"/>
      <c r="D24" s="41"/>
      <c r="E24" s="31" t="s">
        <v>413</v>
      </c>
      <c r="F24" s="43">
        <f>ROUND('[1]201-00'!F305,2)</f>
        <v>15.8</v>
      </c>
      <c r="G24" s="40"/>
      <c r="H24" s="29"/>
    </row>
    <row r="25" spans="1:8" ht="12.75" customHeight="1">
      <c r="A25" s="45"/>
      <c r="B25" s="46"/>
      <c r="C25" s="36"/>
      <c r="D25" s="41"/>
      <c r="E25" s="44" t="s">
        <v>411</v>
      </c>
      <c r="F25" s="42">
        <f>SUM(F23:F24)</f>
        <v>411.8</v>
      </c>
      <c r="G25" s="40"/>
      <c r="H25" s="29"/>
    </row>
    <row r="26" spans="1:8" ht="25.5">
      <c r="A26" s="361">
        <f>MAX(A$2:A22)+1</f>
        <v>5</v>
      </c>
      <c r="B26" s="32" t="s">
        <v>22</v>
      </c>
      <c r="C26" s="88" t="s">
        <v>34</v>
      </c>
      <c r="D26" s="57"/>
      <c r="E26" s="183" t="s">
        <v>35</v>
      </c>
      <c r="F26" s="33"/>
      <c r="G26" s="34" t="s">
        <v>33</v>
      </c>
      <c r="H26" s="21">
        <f>H27</f>
        <v>10</v>
      </c>
    </row>
    <row r="27" spans="1:8" ht="25.5">
      <c r="A27" s="45"/>
      <c r="B27" s="46"/>
      <c r="C27" s="36"/>
      <c r="D27" s="37" t="s">
        <v>34</v>
      </c>
      <c r="E27" s="47" t="s">
        <v>35</v>
      </c>
      <c r="F27" s="39"/>
      <c r="G27" s="40" t="s">
        <v>33</v>
      </c>
      <c r="H27" s="29">
        <f>ROUND(F28,2)</f>
        <v>10</v>
      </c>
    </row>
    <row r="28" spans="1:8" ht="13.5" customHeight="1">
      <c r="A28" s="45"/>
      <c r="B28" s="46"/>
      <c r="C28" s="36"/>
      <c r="D28" s="37"/>
      <c r="E28" s="48" t="s">
        <v>414</v>
      </c>
      <c r="F28" s="42">
        <f>100*0.1</f>
        <v>10</v>
      </c>
      <c r="G28" s="40"/>
      <c r="H28" s="49"/>
    </row>
    <row r="29" spans="1:8" ht="12.75">
      <c r="A29" s="361">
        <f>MAX(A$2:A28)+1</f>
        <v>6</v>
      </c>
      <c r="B29" s="32" t="s">
        <v>22</v>
      </c>
      <c r="C29" s="88" t="s">
        <v>36</v>
      </c>
      <c r="D29" s="57"/>
      <c r="E29" s="183" t="s">
        <v>37</v>
      </c>
      <c r="F29" s="33"/>
      <c r="G29" s="365" t="s">
        <v>25</v>
      </c>
      <c r="H29" s="21">
        <f>H30</f>
        <v>1</v>
      </c>
    </row>
    <row r="30" spans="1:8">
      <c r="A30" s="45"/>
      <c r="B30" s="46"/>
      <c r="C30" s="36"/>
      <c r="D30" s="37" t="s">
        <v>36</v>
      </c>
      <c r="E30" s="47" t="s">
        <v>37</v>
      </c>
      <c r="F30" s="39"/>
      <c r="G30" s="28" t="s">
        <v>25</v>
      </c>
      <c r="H30" s="29">
        <f>F31</f>
        <v>1</v>
      </c>
    </row>
    <row r="31" spans="1:8" ht="12.75" customHeight="1">
      <c r="A31" s="358"/>
      <c r="B31" s="22"/>
      <c r="C31" s="23"/>
      <c r="D31" s="30"/>
      <c r="E31" s="31" t="s">
        <v>415</v>
      </c>
      <c r="F31" s="42">
        <v>1</v>
      </c>
      <c r="G31" s="28"/>
      <c r="H31" s="29"/>
    </row>
    <row r="32" spans="1:8" ht="25.5">
      <c r="A32" s="361">
        <f>MAX(A$2:A31)+1</f>
        <v>7</v>
      </c>
      <c r="B32" s="362" t="s">
        <v>22</v>
      </c>
      <c r="C32" s="26" t="s">
        <v>38</v>
      </c>
      <c r="D32" s="363"/>
      <c r="E32" s="27" t="s">
        <v>39</v>
      </c>
      <c r="F32" s="364"/>
      <c r="G32" s="365" t="s">
        <v>25</v>
      </c>
      <c r="H32" s="21">
        <f>H33</f>
        <v>1</v>
      </c>
    </row>
    <row r="33" spans="1:8" ht="25.5">
      <c r="A33" s="366"/>
      <c r="C33" s="23"/>
      <c r="D33" s="24" t="s">
        <v>38</v>
      </c>
      <c r="E33" s="11" t="s">
        <v>39</v>
      </c>
      <c r="G33" s="28" t="s">
        <v>25</v>
      </c>
      <c r="H33" s="29">
        <f>F34</f>
        <v>1</v>
      </c>
    </row>
    <row r="34" spans="1:8">
      <c r="A34" s="358"/>
      <c r="B34" s="22"/>
      <c r="C34" s="23"/>
      <c r="D34" s="30"/>
      <c r="E34" s="31" t="s">
        <v>416</v>
      </c>
      <c r="F34" s="50">
        <v>1</v>
      </c>
      <c r="G34" s="28"/>
      <c r="H34" s="29"/>
    </row>
    <row r="35" spans="1:8" ht="25.5">
      <c r="A35" s="361">
        <f>MAX(A$2:A34)+1</f>
        <v>8</v>
      </c>
      <c r="B35" s="362" t="s">
        <v>22</v>
      </c>
      <c r="C35" s="26" t="s">
        <v>40</v>
      </c>
      <c r="D35" s="363"/>
      <c r="E35" s="27" t="s">
        <v>41</v>
      </c>
      <c r="F35" s="364"/>
      <c r="G35" s="365" t="s">
        <v>25</v>
      </c>
      <c r="H35" s="21">
        <f>H36</f>
        <v>1</v>
      </c>
    </row>
    <row r="36" spans="1:8" ht="25.5">
      <c r="A36" s="366"/>
      <c r="C36" s="23"/>
      <c r="D36" s="24" t="s">
        <v>40</v>
      </c>
      <c r="E36" s="11" t="s">
        <v>41</v>
      </c>
      <c r="G36" s="28" t="s">
        <v>25</v>
      </c>
      <c r="H36" s="29">
        <v>1</v>
      </c>
    </row>
    <row r="37" spans="1:8" ht="12.75" customHeight="1">
      <c r="A37" s="358"/>
      <c r="B37" s="22"/>
      <c r="C37" s="23"/>
      <c r="D37" s="30"/>
      <c r="E37" s="31" t="s">
        <v>417</v>
      </c>
      <c r="F37" s="360"/>
      <c r="G37" s="28"/>
      <c r="H37" s="29"/>
    </row>
    <row r="38" spans="1:8" ht="25.5">
      <c r="A38" s="361">
        <f>MAX(A$2:A37)+1</f>
        <v>9</v>
      </c>
      <c r="B38" s="362" t="s">
        <v>22</v>
      </c>
      <c r="C38" s="51" t="s">
        <v>42</v>
      </c>
      <c r="D38" s="52"/>
      <c r="E38" s="53" t="s">
        <v>43</v>
      </c>
      <c r="F38" s="368"/>
      <c r="G38" s="369" t="s">
        <v>44</v>
      </c>
      <c r="H38" s="370">
        <f>H39</f>
        <v>10536.67</v>
      </c>
    </row>
    <row r="39" spans="1:8" ht="25.5">
      <c r="A39" s="358"/>
      <c r="B39" s="22"/>
      <c r="C39" s="23"/>
      <c r="D39" s="24" t="s">
        <v>42</v>
      </c>
      <c r="E39" s="11" t="s">
        <v>43</v>
      </c>
      <c r="F39" s="54"/>
      <c r="G39" s="28" t="s">
        <v>44</v>
      </c>
      <c r="H39" s="29">
        <f>ROUND(F65,2)</f>
        <v>10536.67</v>
      </c>
    </row>
    <row r="40" spans="1:8" ht="12.75" customHeight="1">
      <c r="A40" s="358"/>
      <c r="B40" s="22"/>
      <c r="C40" s="23"/>
      <c r="D40" s="30"/>
      <c r="E40" s="31" t="s">
        <v>418</v>
      </c>
      <c r="F40" s="360"/>
      <c r="G40" s="28"/>
      <c r="H40" s="29"/>
    </row>
    <row r="41" spans="1:8" ht="12.75" customHeight="1">
      <c r="A41" s="358"/>
      <c r="B41" s="22"/>
      <c r="C41" s="23"/>
      <c r="D41" s="30"/>
      <c r="E41" s="31" t="s">
        <v>419</v>
      </c>
      <c r="F41" s="50">
        <v>4207</v>
      </c>
      <c r="G41" s="28"/>
      <c r="H41" s="29"/>
    </row>
    <row r="42" spans="1:8" ht="12.75" customHeight="1">
      <c r="A42" s="358"/>
      <c r="B42" s="22"/>
      <c r="C42" s="23"/>
      <c r="D42" s="30"/>
      <c r="E42" s="31" t="s">
        <v>420</v>
      </c>
      <c r="F42" s="55">
        <v>5992.39</v>
      </c>
      <c r="G42" s="28"/>
      <c r="H42" s="29"/>
    </row>
    <row r="43" spans="1:8" ht="12.75" customHeight="1">
      <c r="A43" s="358"/>
      <c r="B43" s="22"/>
      <c r="C43" s="23"/>
      <c r="D43" s="30"/>
      <c r="E43" s="44" t="s">
        <v>421</v>
      </c>
      <c r="F43" s="50">
        <f>F41+F42</f>
        <v>10199.39</v>
      </c>
      <c r="G43" s="28"/>
      <c r="H43" s="29"/>
    </row>
    <row r="44" spans="1:8" ht="25.5">
      <c r="A44" s="358"/>
      <c r="B44" s="22"/>
      <c r="C44" s="23"/>
      <c r="D44" s="30"/>
      <c r="E44" s="31" t="s">
        <v>422</v>
      </c>
      <c r="F44" s="360"/>
      <c r="G44" s="28"/>
      <c r="H44" s="29"/>
    </row>
    <row r="45" spans="1:8" ht="12.75" customHeight="1">
      <c r="A45" s="358"/>
      <c r="B45" s="22"/>
      <c r="C45" s="23"/>
      <c r="D45" s="30"/>
      <c r="E45" s="31" t="s">
        <v>423</v>
      </c>
      <c r="F45" s="50"/>
      <c r="G45" s="28"/>
      <c r="H45" s="29"/>
    </row>
    <row r="46" spans="1:8" ht="12.75" customHeight="1">
      <c r="A46" s="358"/>
      <c r="B46" s="22"/>
      <c r="C46" s="23"/>
      <c r="D46" s="30"/>
      <c r="E46" s="31" t="s">
        <v>424</v>
      </c>
      <c r="F46" s="50"/>
      <c r="G46" s="28"/>
      <c r="H46" s="29"/>
    </row>
    <row r="47" spans="1:8" ht="12.75" customHeight="1">
      <c r="A47" s="358"/>
      <c r="B47" s="22"/>
      <c r="C47" s="23"/>
      <c r="D47" s="30"/>
      <c r="E47" s="31" t="s">
        <v>425</v>
      </c>
      <c r="F47" s="50">
        <f>(4*0.3+1.5*0.8)*2*2*2</f>
        <v>19.200000000000003</v>
      </c>
      <c r="G47" s="28"/>
      <c r="H47" s="29"/>
    </row>
    <row r="48" spans="1:8" ht="12.75" customHeight="1">
      <c r="A48" s="358"/>
      <c r="B48" s="22"/>
      <c r="C48" s="23"/>
      <c r="D48" s="30"/>
      <c r="E48" s="31" t="s">
        <v>426</v>
      </c>
      <c r="F48" s="50"/>
      <c r="G48" s="28"/>
      <c r="H48" s="29"/>
    </row>
    <row r="49" spans="1:8" ht="12.75" customHeight="1">
      <c r="A49" s="358"/>
      <c r="B49" s="22"/>
      <c r="C49" s="23"/>
      <c r="D49" s="30"/>
      <c r="E49" s="31" t="s">
        <v>427</v>
      </c>
      <c r="F49" s="50">
        <f>0.9*5*2*2*2</f>
        <v>36</v>
      </c>
      <c r="G49" s="28"/>
      <c r="H49" s="29"/>
    </row>
    <row r="50" spans="1:8" ht="12.75" customHeight="1">
      <c r="A50" s="358"/>
      <c r="B50" s="22"/>
      <c r="C50" s="23"/>
      <c r="D50" s="30"/>
      <c r="E50" s="31" t="s">
        <v>428</v>
      </c>
      <c r="F50" s="50"/>
      <c r="G50" s="28"/>
      <c r="H50" s="29"/>
    </row>
    <row r="51" spans="1:8" ht="12.75" customHeight="1">
      <c r="A51" s="358"/>
      <c r="B51" s="22"/>
      <c r="C51" s="23"/>
      <c r="D51" s="30"/>
      <c r="E51" s="31" t="s">
        <v>429</v>
      </c>
      <c r="F51" s="50">
        <f>(1.5*0.8*4+2.9*0.75*4)*2*2</f>
        <v>54</v>
      </c>
      <c r="G51" s="28"/>
      <c r="H51" s="29"/>
    </row>
    <row r="52" spans="1:8" ht="12.75" customHeight="1">
      <c r="A52" s="358"/>
      <c r="B52" s="22"/>
      <c r="C52" s="23"/>
      <c r="D52" s="30"/>
      <c r="E52" s="31" t="s">
        <v>430</v>
      </c>
      <c r="F52" s="50"/>
      <c r="G52" s="28"/>
      <c r="H52" s="29"/>
    </row>
    <row r="53" spans="1:8" ht="12.75" customHeight="1">
      <c r="A53" s="358"/>
      <c r="B53" s="22"/>
      <c r="C53" s="23"/>
      <c r="D53" s="30"/>
      <c r="E53" s="31" t="s">
        <v>431</v>
      </c>
      <c r="F53" s="50">
        <f>(3.5*1)*2*2*4</f>
        <v>56</v>
      </c>
      <c r="G53" s="28"/>
      <c r="H53" s="29"/>
    </row>
    <row r="54" spans="1:8" ht="12.75" customHeight="1">
      <c r="A54" s="358"/>
      <c r="B54" s="22"/>
      <c r="C54" s="23"/>
      <c r="D54" s="30"/>
      <c r="E54" s="31" t="s">
        <v>432</v>
      </c>
      <c r="F54" s="50"/>
      <c r="G54" s="28"/>
      <c r="H54" s="29"/>
    </row>
    <row r="55" spans="1:8" ht="12.75" customHeight="1">
      <c r="A55" s="358"/>
      <c r="B55" s="22"/>
      <c r="C55" s="23"/>
      <c r="D55" s="30"/>
      <c r="E55" s="31" t="s">
        <v>433</v>
      </c>
      <c r="F55" s="50">
        <f>3.5*1.8*2*4</f>
        <v>50.4</v>
      </c>
      <c r="G55" s="28"/>
      <c r="H55" s="29"/>
    </row>
    <row r="56" spans="1:8" ht="12.75" customHeight="1">
      <c r="A56" s="358"/>
      <c r="B56" s="22"/>
      <c r="C56" s="23"/>
      <c r="D56" s="30"/>
      <c r="E56" s="31" t="s">
        <v>434</v>
      </c>
      <c r="F56" s="50"/>
      <c r="G56" s="28"/>
      <c r="H56" s="29"/>
    </row>
    <row r="57" spans="1:8" ht="12.75" customHeight="1">
      <c r="A57" s="358"/>
      <c r="B57" s="22"/>
      <c r="C57" s="23"/>
      <c r="D57" s="30"/>
      <c r="E57" s="31" t="s">
        <v>435</v>
      </c>
      <c r="F57" s="50">
        <f>0.9*0.9*2*2*4</f>
        <v>12.96</v>
      </c>
      <c r="G57" s="28"/>
      <c r="H57" s="29"/>
    </row>
    <row r="58" spans="1:8" ht="12.75" customHeight="1">
      <c r="A58" s="358"/>
      <c r="B58" s="22"/>
      <c r="C58" s="23"/>
      <c r="D58" s="30"/>
      <c r="E58" s="31" t="s">
        <v>436</v>
      </c>
      <c r="F58" s="50"/>
      <c r="G58" s="28"/>
      <c r="H58" s="29"/>
    </row>
    <row r="59" spans="1:8" ht="12.75" customHeight="1">
      <c r="A59" s="358"/>
      <c r="B59" s="22"/>
      <c r="C59" s="23"/>
      <c r="D59" s="30"/>
      <c r="E59" s="31" t="s">
        <v>437</v>
      </c>
      <c r="F59" s="50">
        <f>1.5*0.9*4*2*4</f>
        <v>43.2</v>
      </c>
      <c r="G59" s="28"/>
      <c r="H59" s="29"/>
    </row>
    <row r="60" spans="1:8" ht="12.75" customHeight="1">
      <c r="A60" s="358"/>
      <c r="B60" s="22"/>
      <c r="C60" s="23"/>
      <c r="D60" s="30"/>
      <c r="E60" s="31" t="s">
        <v>438</v>
      </c>
      <c r="F60" s="50"/>
      <c r="G60" s="28"/>
      <c r="H60" s="29"/>
    </row>
    <row r="61" spans="1:8" ht="12.75" customHeight="1">
      <c r="A61" s="358"/>
      <c r="B61" s="22"/>
      <c r="C61" s="23"/>
      <c r="D61" s="30"/>
      <c r="E61" s="31" t="s">
        <v>439</v>
      </c>
      <c r="F61" s="50">
        <f>3.5*1.8*2*2</f>
        <v>25.2</v>
      </c>
      <c r="G61" s="28"/>
      <c r="H61" s="29"/>
    </row>
    <row r="62" spans="1:8" ht="12.75" customHeight="1">
      <c r="A62" s="358"/>
      <c r="B62" s="22"/>
      <c r="C62" s="23"/>
      <c r="D62" s="30"/>
      <c r="E62" s="31" t="s">
        <v>440</v>
      </c>
      <c r="F62" s="50"/>
      <c r="G62" s="28"/>
      <c r="H62" s="29"/>
    </row>
    <row r="63" spans="1:8" ht="12.75" customHeight="1">
      <c r="A63" s="358"/>
      <c r="B63" s="22"/>
      <c r="C63" s="23"/>
      <c r="D63" s="30"/>
      <c r="E63" s="31" t="s">
        <v>441</v>
      </c>
      <c r="F63" s="55">
        <f>0.6*0.6*2*(4*2*2+2*2*4+2*2*4+2*2*2)</f>
        <v>40.32</v>
      </c>
      <c r="G63" s="28"/>
      <c r="H63" s="29"/>
    </row>
    <row r="64" spans="1:8" ht="12.75" customHeight="1">
      <c r="A64" s="358"/>
      <c r="B64" s="22"/>
      <c r="C64" s="23"/>
      <c r="D64" s="30"/>
      <c r="E64" s="44" t="s">
        <v>421</v>
      </c>
      <c r="F64" s="50">
        <f>SUM(F47:F63)</f>
        <v>337.28</v>
      </c>
      <c r="G64" s="28"/>
      <c r="H64" s="29"/>
    </row>
    <row r="65" spans="1:8" ht="12.75" customHeight="1">
      <c r="A65" s="358"/>
      <c r="B65" s="22"/>
      <c r="C65" s="23"/>
      <c r="D65" s="30"/>
      <c r="E65" s="44" t="s">
        <v>411</v>
      </c>
      <c r="F65" s="50">
        <f>F43+F64</f>
        <v>10536.67</v>
      </c>
      <c r="G65" s="28"/>
      <c r="H65" s="29"/>
    </row>
    <row r="66" spans="1:8" ht="25.5">
      <c r="A66" s="361">
        <f>MAX(A$2:A44)+1</f>
        <v>10</v>
      </c>
      <c r="B66" s="362" t="s">
        <v>22</v>
      </c>
      <c r="C66" s="56" t="s">
        <v>45</v>
      </c>
      <c r="D66" s="57"/>
      <c r="E66" s="27" t="s">
        <v>46</v>
      </c>
      <c r="F66" s="371"/>
      <c r="G66" s="372" t="s">
        <v>44</v>
      </c>
      <c r="H66" s="21">
        <f>H67</f>
        <v>34659</v>
      </c>
    </row>
    <row r="67" spans="1:8" ht="25.5">
      <c r="A67" s="358"/>
      <c r="B67" s="22"/>
      <c r="C67" s="23"/>
      <c r="D67" s="24" t="s">
        <v>45</v>
      </c>
      <c r="E67" s="11" t="s">
        <v>46</v>
      </c>
      <c r="F67" s="54"/>
      <c r="G67" s="28" t="s">
        <v>44</v>
      </c>
      <c r="H67" s="29">
        <f>ROUND(F74,2)</f>
        <v>34659</v>
      </c>
    </row>
    <row r="68" spans="1:8">
      <c r="A68" s="358"/>
      <c r="B68" s="22"/>
      <c r="C68" s="23"/>
      <c r="D68" s="30"/>
      <c r="E68" s="31" t="s">
        <v>442</v>
      </c>
      <c r="F68" s="50">
        <v>4207</v>
      </c>
      <c r="G68" s="28"/>
      <c r="H68" s="29"/>
    </row>
    <row r="69" spans="1:8" ht="12.75" customHeight="1">
      <c r="A69" s="358"/>
      <c r="B69" s="22"/>
      <c r="C69" s="23"/>
      <c r="D69" s="30"/>
      <c r="E69" s="31"/>
      <c r="F69" s="50"/>
      <c r="G69" s="28"/>
      <c r="H69" s="29"/>
    </row>
    <row r="70" spans="1:8">
      <c r="A70" s="358"/>
      <c r="B70" s="22"/>
      <c r="C70" s="23"/>
      <c r="D70" s="30"/>
      <c r="E70" s="31" t="s">
        <v>443</v>
      </c>
      <c r="F70" s="50">
        <f>850*13</f>
        <v>11050</v>
      </c>
      <c r="G70" s="28"/>
      <c r="H70" s="29"/>
    </row>
    <row r="71" spans="1:8">
      <c r="A71" s="358"/>
      <c r="B71" s="22"/>
      <c r="C71" s="23"/>
      <c r="D71" s="30"/>
      <c r="E71" s="31" t="s">
        <v>444</v>
      </c>
      <c r="F71" s="50">
        <f>850*13</f>
        <v>11050</v>
      </c>
      <c r="G71" s="28"/>
      <c r="H71" s="29"/>
    </row>
    <row r="72" spans="1:8">
      <c r="A72" s="358"/>
      <c r="B72" s="22"/>
      <c r="C72" s="23"/>
      <c r="D72" s="30"/>
      <c r="E72" s="31" t="s">
        <v>445</v>
      </c>
      <c r="F72" s="55">
        <v>8352</v>
      </c>
      <c r="G72" s="28"/>
      <c r="H72" s="29"/>
    </row>
    <row r="73" spans="1:8" ht="12.75" customHeight="1">
      <c r="A73" s="358"/>
      <c r="B73" s="22"/>
      <c r="C73" s="23"/>
      <c r="D73" s="30"/>
      <c r="E73" s="44" t="s">
        <v>421</v>
      </c>
      <c r="F73" s="50">
        <f>SUM(F70:F72)</f>
        <v>30452</v>
      </c>
      <c r="G73" s="28"/>
      <c r="H73" s="29"/>
    </row>
    <row r="74" spans="1:8" ht="12.75" customHeight="1">
      <c r="A74" s="358"/>
      <c r="B74" s="22"/>
      <c r="C74" s="23"/>
      <c r="D74" s="30"/>
      <c r="E74" s="44" t="s">
        <v>411</v>
      </c>
      <c r="F74" s="58">
        <f>F68+F73</f>
        <v>34659</v>
      </c>
      <c r="G74" s="28"/>
      <c r="H74" s="29"/>
    </row>
    <row r="75" spans="1:8" ht="25.5">
      <c r="A75" s="361">
        <f>MAX(A$2:A74)+1</f>
        <v>11</v>
      </c>
      <c r="B75" s="362" t="s">
        <v>22</v>
      </c>
      <c r="C75" s="56" t="s">
        <v>47</v>
      </c>
      <c r="D75" s="57"/>
      <c r="E75" s="27" t="s">
        <v>48</v>
      </c>
      <c r="F75" s="371"/>
      <c r="G75" s="372" t="s">
        <v>25</v>
      </c>
      <c r="H75" s="21">
        <f>H76</f>
        <v>1</v>
      </c>
    </row>
    <row r="76" spans="1:8" ht="25.5">
      <c r="A76" s="358"/>
      <c r="B76" s="22"/>
      <c r="C76" s="23"/>
      <c r="D76" s="24" t="s">
        <v>47</v>
      </c>
      <c r="E76" s="11" t="s">
        <v>48</v>
      </c>
      <c r="F76" s="54"/>
      <c r="G76" s="28" t="s">
        <v>25</v>
      </c>
      <c r="H76" s="29">
        <f>F77</f>
        <v>1</v>
      </c>
    </row>
    <row r="77" spans="1:8" ht="25.5">
      <c r="A77" s="358"/>
      <c r="B77" s="22"/>
      <c r="C77" s="23"/>
      <c r="D77" s="30"/>
      <c r="E77" s="31" t="s">
        <v>446</v>
      </c>
      <c r="F77" s="58">
        <v>1</v>
      </c>
      <c r="G77" s="28"/>
      <c r="H77" s="29"/>
    </row>
    <row r="78" spans="1:8" ht="25.5">
      <c r="A78" s="361">
        <f>MAX(A$2:A77)+1</f>
        <v>12</v>
      </c>
      <c r="B78" s="362" t="s">
        <v>22</v>
      </c>
      <c r="C78" s="51" t="s">
        <v>49</v>
      </c>
      <c r="D78" s="52"/>
      <c r="E78" s="53" t="s">
        <v>50</v>
      </c>
      <c r="F78" s="58"/>
      <c r="G78" s="372" t="s">
        <v>51</v>
      </c>
      <c r="H78" s="373">
        <f>H79</f>
        <v>850</v>
      </c>
    </row>
    <row r="79" spans="1:8" ht="12.75" customHeight="1">
      <c r="A79" s="358"/>
      <c r="B79" s="22"/>
      <c r="C79" s="56"/>
      <c r="D79" s="59" t="s">
        <v>49</v>
      </c>
      <c r="E79" s="374" t="s">
        <v>50</v>
      </c>
      <c r="F79" s="375"/>
      <c r="G79" s="28" t="s">
        <v>51</v>
      </c>
      <c r="H79" s="376">
        <f>F80</f>
        <v>850</v>
      </c>
    </row>
    <row r="80" spans="1:8" ht="25.5">
      <c r="A80" s="358"/>
      <c r="B80" s="22"/>
      <c r="C80" s="60"/>
      <c r="D80" s="61"/>
      <c r="E80" s="31" t="s">
        <v>447</v>
      </c>
      <c r="F80" s="58">
        <v>850</v>
      </c>
      <c r="G80" s="377"/>
      <c r="H80" s="378"/>
    </row>
    <row r="81" spans="1:11" ht="15">
      <c r="A81" s="361">
        <f>MAX(A$2:A80)+1</f>
        <v>13</v>
      </c>
      <c r="B81" s="362" t="s">
        <v>22</v>
      </c>
      <c r="C81" s="51" t="s">
        <v>52</v>
      </c>
      <c r="D81" s="52"/>
      <c r="E81" s="53" t="s">
        <v>53</v>
      </c>
      <c r="F81" s="58"/>
      <c r="G81" s="372" t="s">
        <v>25</v>
      </c>
      <c r="H81" s="373">
        <f>H82</f>
        <v>1</v>
      </c>
      <c r="K81" s="62"/>
    </row>
    <row r="82" spans="1:11" ht="12.75" customHeight="1">
      <c r="A82" s="358"/>
      <c r="B82" s="22"/>
      <c r="C82" s="56"/>
      <c r="D82" s="59" t="s">
        <v>52</v>
      </c>
      <c r="E82" s="374" t="s">
        <v>53</v>
      </c>
      <c r="F82" s="375"/>
      <c r="G82" s="28" t="s">
        <v>25</v>
      </c>
      <c r="H82" s="376">
        <v>1</v>
      </c>
    </row>
    <row r="83" spans="1:11">
      <c r="A83" s="358"/>
      <c r="B83" s="22"/>
      <c r="C83" s="60"/>
      <c r="D83" s="61"/>
      <c r="E83" s="31" t="s">
        <v>448</v>
      </c>
      <c r="F83" s="58"/>
      <c r="G83" s="377"/>
      <c r="H83" s="378"/>
    </row>
    <row r="84" spans="1:11">
      <c r="A84" s="358"/>
      <c r="B84" s="22"/>
      <c r="C84" s="60"/>
      <c r="D84" s="61"/>
      <c r="E84" s="31" t="s">
        <v>449</v>
      </c>
      <c r="F84" s="58"/>
      <c r="G84" s="377"/>
      <c r="H84" s="378"/>
    </row>
    <row r="85" spans="1:11" ht="38.25">
      <c r="A85" s="358"/>
      <c r="B85" s="22"/>
      <c r="C85" s="23"/>
      <c r="D85" s="30"/>
      <c r="E85" s="31" t="s">
        <v>450</v>
      </c>
      <c r="F85" s="360" t="s">
        <v>451</v>
      </c>
      <c r="G85" s="28"/>
      <c r="H85" s="29"/>
    </row>
    <row r="86" spans="1:11" ht="25.5">
      <c r="A86" s="358"/>
      <c r="B86" s="22"/>
      <c r="C86" s="23"/>
      <c r="D86" s="30"/>
      <c r="E86" s="31" t="s">
        <v>452</v>
      </c>
      <c r="F86" s="360"/>
      <c r="G86" s="28"/>
      <c r="H86" s="29"/>
    </row>
    <row r="87" spans="1:11" ht="12.75" customHeight="1" thickBot="1">
      <c r="A87" s="379"/>
      <c r="B87" s="380"/>
      <c r="C87" s="381"/>
      <c r="D87" s="63"/>
      <c r="E87" s="382"/>
      <c r="F87" s="383"/>
      <c r="G87" s="384"/>
      <c r="H87" s="64"/>
    </row>
  </sheetData>
  <sheetProtection algorithmName="SHA-512" hashValue="hR9UvDBXV2hQ21aB6mWKFftUWGacXxKMPlWiRCJp/IS//MDPaBYXnwhKiHlekOviJQLsCV1c57efnvB8/MFJ0g==" saltValue="tK5WYw+LVmkRm2jnLsZvYw==" spinCount="100000" sheet="1" objects="1" scenarios="1"/>
  <mergeCells count="7">
    <mergeCell ref="F1:H2"/>
    <mergeCell ref="A6:A7"/>
    <mergeCell ref="B6:D6"/>
    <mergeCell ref="E6:F7"/>
    <mergeCell ref="G6:G7"/>
    <mergeCell ref="H6:H7"/>
    <mergeCell ref="B7:C7"/>
  </mergeCells>
  <pageMargins left="0.7" right="0.7" top="0.75" bottom="0.75" header="0.3" footer="0.3"/>
  <pageSetup paperSize="9" scale="7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879933-BE89-486F-847A-33DA3C1FACED}">
  <dimension ref="A1:J293"/>
  <sheetViews>
    <sheetView zoomScaleNormal="100" workbookViewId="0">
      <selection sqref="A1:XFD1048576"/>
    </sheetView>
  </sheetViews>
  <sheetFormatPr defaultColWidth="9.140625" defaultRowHeight="15.75"/>
  <cols>
    <col min="1" max="1" width="5.7109375" style="65" customWidth="1"/>
    <col min="2" max="2" width="11.7109375" style="13" customWidth="1"/>
    <col min="3" max="3" width="11.7109375" style="16" customWidth="1"/>
    <col min="4" max="4" width="11.7109375" style="17" customWidth="1"/>
    <col min="5" max="5" width="50.7109375" style="11" customWidth="1"/>
    <col min="6" max="6" width="11.7109375" style="67" customWidth="1"/>
    <col min="7" max="7" width="4.7109375" style="66" customWidth="1"/>
    <col min="8" max="8" width="11.7109375" style="15" customWidth="1"/>
    <col min="9" max="16384" width="9.140625" style="406"/>
  </cols>
  <sheetData>
    <row r="1" spans="1:10" ht="31.5">
      <c r="B1" s="11" t="s">
        <v>395</v>
      </c>
      <c r="C1" s="12"/>
      <c r="D1" s="11"/>
      <c r="E1" s="13" t="s">
        <v>396</v>
      </c>
      <c r="F1" s="485" t="s">
        <v>1490</v>
      </c>
      <c r="G1" s="486"/>
      <c r="H1" s="486"/>
      <c r="I1" s="386"/>
      <c r="J1" s="386"/>
    </row>
    <row r="2" spans="1:10" ht="12.75">
      <c r="B2" s="11"/>
      <c r="C2" s="12"/>
      <c r="D2" s="11"/>
      <c r="E2" s="12"/>
      <c r="F2" s="486"/>
      <c r="G2" s="486"/>
      <c r="H2" s="486"/>
    </row>
    <row r="3" spans="1:10" ht="12.75">
      <c r="B3" s="11" t="s">
        <v>397</v>
      </c>
      <c r="C3" s="12"/>
      <c r="D3" s="11" t="s">
        <v>9</v>
      </c>
      <c r="E3" s="68" t="s">
        <v>453</v>
      </c>
      <c r="H3" s="509" t="s">
        <v>1513</v>
      </c>
    </row>
    <row r="5" spans="1:10" ht="16.5" thickBot="1"/>
    <row r="6" spans="1:10" ht="12.75">
      <c r="A6" s="487" t="s">
        <v>399</v>
      </c>
      <c r="B6" s="475" t="s">
        <v>400</v>
      </c>
      <c r="C6" s="475"/>
      <c r="D6" s="475"/>
      <c r="E6" s="475" t="s">
        <v>401</v>
      </c>
      <c r="F6" s="475"/>
      <c r="G6" s="489" t="s">
        <v>402</v>
      </c>
      <c r="H6" s="491" t="s">
        <v>403</v>
      </c>
    </row>
    <row r="7" spans="1:10" ht="12.75">
      <c r="A7" s="488"/>
      <c r="B7" s="484" t="s">
        <v>404</v>
      </c>
      <c r="C7" s="484"/>
      <c r="D7" s="407" t="s">
        <v>405</v>
      </c>
      <c r="E7" s="484"/>
      <c r="F7" s="484"/>
      <c r="G7" s="490"/>
      <c r="H7" s="492"/>
    </row>
    <row r="8" spans="1:10">
      <c r="A8" s="69"/>
      <c r="B8" s="70"/>
      <c r="C8" s="18"/>
      <c r="D8" s="19"/>
      <c r="F8" s="54"/>
      <c r="G8" s="20"/>
      <c r="H8" s="21"/>
    </row>
    <row r="9" spans="1:10">
      <c r="A9" s="69"/>
      <c r="B9" s="71" t="s">
        <v>55</v>
      </c>
      <c r="C9" s="60"/>
      <c r="D9" s="72"/>
      <c r="E9" s="13" t="s">
        <v>454</v>
      </c>
      <c r="F9" s="73"/>
      <c r="G9" s="74"/>
      <c r="H9" s="21"/>
    </row>
    <row r="10" spans="1:10" ht="25.5">
      <c r="A10" s="35">
        <f>MAX(A$2:A9)+1</f>
        <v>1</v>
      </c>
      <c r="B10" s="32" t="s">
        <v>55</v>
      </c>
      <c r="C10" s="51" t="s">
        <v>68</v>
      </c>
      <c r="D10" s="52"/>
      <c r="E10" s="53" t="s">
        <v>69</v>
      </c>
      <c r="F10" s="75"/>
      <c r="G10" s="76" t="s">
        <v>51</v>
      </c>
      <c r="H10" s="77">
        <f>H11</f>
        <v>13.19</v>
      </c>
    </row>
    <row r="11" spans="1:10" ht="25.5">
      <c r="A11" s="69"/>
      <c r="B11" s="78"/>
      <c r="C11" s="79"/>
      <c r="D11" s="80" t="s">
        <v>68</v>
      </c>
      <c r="E11" s="81" t="s">
        <v>372</v>
      </c>
      <c r="F11" s="82"/>
      <c r="G11" s="83" t="s">
        <v>51</v>
      </c>
      <c r="H11" s="49">
        <f>ROUND(F13,2)</f>
        <v>13.19</v>
      </c>
    </row>
    <row r="12" spans="1:10" ht="12.75">
      <c r="A12" s="69"/>
      <c r="B12" s="78"/>
      <c r="C12" s="84"/>
      <c r="D12" s="80"/>
      <c r="E12" s="31" t="s">
        <v>455</v>
      </c>
      <c r="F12" s="82"/>
      <c r="G12" s="83"/>
      <c r="H12" s="49"/>
    </row>
    <row r="13" spans="1:10" ht="25.5">
      <c r="A13" s="69"/>
      <c r="B13" s="85"/>
      <c r="C13" s="86"/>
      <c r="D13" s="61"/>
      <c r="E13" s="31" t="s">
        <v>456</v>
      </c>
      <c r="F13" s="58">
        <f>3.14*0.14*30</f>
        <v>13.188000000000001</v>
      </c>
      <c r="G13" s="28"/>
      <c r="H13" s="29"/>
    </row>
    <row r="14" spans="1:10" ht="25.5">
      <c r="A14" s="35">
        <f>MAX(A$2:A13)+1</f>
        <v>2</v>
      </c>
      <c r="B14" s="87" t="s">
        <v>55</v>
      </c>
      <c r="C14" s="51" t="s">
        <v>75</v>
      </c>
      <c r="D14" s="88"/>
      <c r="E14" s="53" t="s">
        <v>76</v>
      </c>
      <c r="F14" s="53"/>
      <c r="G14" s="76" t="s">
        <v>72</v>
      </c>
      <c r="H14" s="21">
        <f>H15</f>
        <v>128</v>
      </c>
    </row>
    <row r="15" spans="1:10" ht="25.5" customHeight="1">
      <c r="A15" s="69"/>
      <c r="B15" s="89"/>
      <c r="C15" s="56"/>
      <c r="D15" s="90" t="s">
        <v>75</v>
      </c>
      <c r="E15" s="11" t="s">
        <v>76</v>
      </c>
      <c r="F15" s="54"/>
      <c r="G15" s="28" t="s">
        <v>72</v>
      </c>
      <c r="H15" s="29">
        <f>F16</f>
        <v>128</v>
      </c>
    </row>
    <row r="16" spans="1:10">
      <c r="A16" s="69"/>
      <c r="B16" s="85"/>
      <c r="C16" s="86"/>
      <c r="D16" s="61"/>
      <c r="E16" s="31" t="s">
        <v>457</v>
      </c>
      <c r="F16" s="58">
        <f>64+64</f>
        <v>128</v>
      </c>
      <c r="G16" s="28"/>
      <c r="H16" s="29"/>
    </row>
    <row r="17" spans="1:8" ht="25.5">
      <c r="A17" s="69">
        <f>MAX(A$2:A16)+1</f>
        <v>3</v>
      </c>
      <c r="B17" s="87" t="s">
        <v>55</v>
      </c>
      <c r="C17" s="51" t="s">
        <v>79</v>
      </c>
      <c r="D17" s="52"/>
      <c r="E17" s="53" t="s">
        <v>80</v>
      </c>
      <c r="F17" s="75"/>
      <c r="G17" s="76" t="s">
        <v>44</v>
      </c>
      <c r="H17" s="21">
        <f>H18</f>
        <v>31.5</v>
      </c>
    </row>
    <row r="18" spans="1:8" ht="25.5">
      <c r="A18" s="69"/>
      <c r="B18" s="85"/>
      <c r="C18" s="86"/>
      <c r="D18" s="79" t="s">
        <v>458</v>
      </c>
      <c r="E18" s="91" t="s">
        <v>459</v>
      </c>
      <c r="F18" s="92"/>
      <c r="G18" s="83" t="s">
        <v>44</v>
      </c>
      <c r="H18" s="29">
        <f>ROUND(F19,2)</f>
        <v>31.5</v>
      </c>
    </row>
    <row r="19" spans="1:8">
      <c r="A19" s="69"/>
      <c r="B19" s="85"/>
      <c r="C19" s="86"/>
      <c r="D19" s="61"/>
      <c r="E19" s="31" t="s">
        <v>460</v>
      </c>
      <c r="F19" s="58">
        <f>45*0.7</f>
        <v>31.499999999999996</v>
      </c>
      <c r="G19" s="28"/>
      <c r="H19" s="29"/>
    </row>
    <row r="20" spans="1:8" ht="25.5">
      <c r="A20" s="69">
        <f>MAX(A$2:A19)+1</f>
        <v>4</v>
      </c>
      <c r="B20" s="87" t="s">
        <v>55</v>
      </c>
      <c r="C20" s="93" t="s">
        <v>81</v>
      </c>
      <c r="D20" s="72"/>
      <c r="E20" s="12" t="s">
        <v>82</v>
      </c>
      <c r="F20" s="54"/>
      <c r="G20" s="25" t="s">
        <v>44</v>
      </c>
      <c r="H20" s="21">
        <f>H21</f>
        <v>480</v>
      </c>
    </row>
    <row r="21" spans="1:8" ht="25.5" customHeight="1">
      <c r="A21" s="69"/>
      <c r="B21" s="89"/>
      <c r="C21" s="86"/>
      <c r="D21" s="79" t="s">
        <v>461</v>
      </c>
      <c r="E21" s="91" t="s">
        <v>462</v>
      </c>
      <c r="F21" s="92"/>
      <c r="G21" s="83" t="s">
        <v>44</v>
      </c>
      <c r="H21" s="29">
        <f>F23</f>
        <v>480</v>
      </c>
    </row>
    <row r="22" spans="1:8" ht="12.75" customHeight="1">
      <c r="A22" s="69"/>
      <c r="B22" s="89"/>
      <c r="C22" s="86"/>
      <c r="D22" s="84"/>
      <c r="E22" s="31" t="s">
        <v>463</v>
      </c>
      <c r="F22" s="92"/>
      <c r="G22" s="83"/>
      <c r="H22" s="29"/>
    </row>
    <row r="23" spans="1:8">
      <c r="A23" s="69"/>
      <c r="B23" s="85"/>
      <c r="C23" s="86"/>
      <c r="D23" s="61"/>
      <c r="E23" s="31" t="s">
        <v>464</v>
      </c>
      <c r="F23" s="50">
        <v>480</v>
      </c>
      <c r="G23" s="94"/>
      <c r="H23" s="29"/>
    </row>
    <row r="24" spans="1:8" ht="25.5">
      <c r="A24" s="69">
        <f>MAX(A$2:A23)+1</f>
        <v>5</v>
      </c>
      <c r="B24" s="87" t="s">
        <v>55</v>
      </c>
      <c r="C24" s="93" t="s">
        <v>83</v>
      </c>
      <c r="D24" s="59"/>
      <c r="E24" s="12" t="s">
        <v>84</v>
      </c>
      <c r="F24" s="54"/>
      <c r="G24" s="25" t="s">
        <v>44</v>
      </c>
      <c r="H24" s="21">
        <f>(+H25)</f>
        <v>450</v>
      </c>
    </row>
    <row r="25" spans="1:8" ht="25.5" customHeight="1">
      <c r="A25" s="69"/>
      <c r="B25" s="89"/>
      <c r="C25" s="95"/>
      <c r="D25" s="84" t="s">
        <v>465</v>
      </c>
      <c r="E25" s="91" t="s">
        <v>466</v>
      </c>
      <c r="F25" s="91"/>
      <c r="G25" s="83" t="s">
        <v>44</v>
      </c>
      <c r="H25" s="29">
        <f>F27</f>
        <v>450</v>
      </c>
    </row>
    <row r="26" spans="1:8" ht="12.75" customHeight="1">
      <c r="A26" s="69"/>
      <c r="B26" s="89"/>
      <c r="C26" s="95"/>
      <c r="D26" s="84"/>
      <c r="E26" s="31" t="s">
        <v>463</v>
      </c>
      <c r="F26" s="91"/>
      <c r="G26" s="83"/>
      <c r="H26" s="29"/>
    </row>
    <row r="27" spans="1:8">
      <c r="A27" s="69"/>
      <c r="B27" s="85"/>
      <c r="C27" s="86"/>
      <c r="D27" s="61"/>
      <c r="E27" s="31" t="s">
        <v>467</v>
      </c>
      <c r="F27" s="50">
        <v>450</v>
      </c>
      <c r="G27" s="94"/>
      <c r="H27" s="29"/>
    </row>
    <row r="28" spans="1:8" ht="38.25">
      <c r="A28" s="69">
        <f>MAX(A$2:A27)+1</f>
        <v>6</v>
      </c>
      <c r="B28" s="87" t="s">
        <v>55</v>
      </c>
      <c r="C28" s="51" t="s">
        <v>85</v>
      </c>
      <c r="D28" s="52"/>
      <c r="E28" s="53" t="s">
        <v>384</v>
      </c>
      <c r="F28" s="75"/>
      <c r="G28" s="76" t="s">
        <v>51</v>
      </c>
      <c r="H28" s="21">
        <f>H29</f>
        <v>80</v>
      </c>
    </row>
    <row r="29" spans="1:8" ht="38.25">
      <c r="A29" s="69"/>
      <c r="B29" s="89"/>
      <c r="C29" s="95"/>
      <c r="D29" s="84" t="s">
        <v>85</v>
      </c>
      <c r="E29" s="91" t="s">
        <v>384</v>
      </c>
      <c r="F29" s="91"/>
      <c r="G29" s="83" t="s">
        <v>51</v>
      </c>
      <c r="H29" s="29">
        <f>ROUND(F34,2)</f>
        <v>80</v>
      </c>
    </row>
    <row r="30" spans="1:8" ht="12.75" customHeight="1">
      <c r="A30" s="69"/>
      <c r="B30" s="89"/>
      <c r="C30" s="95"/>
      <c r="D30" s="84"/>
      <c r="E30" s="31" t="s">
        <v>468</v>
      </c>
      <c r="F30" s="91"/>
      <c r="G30" s="83"/>
      <c r="H30" s="29"/>
    </row>
    <row r="31" spans="1:8" ht="12.75" customHeight="1">
      <c r="A31" s="69"/>
      <c r="B31" s="89"/>
      <c r="C31" s="95"/>
      <c r="D31" s="84"/>
      <c r="E31" s="31" t="s">
        <v>469</v>
      </c>
      <c r="F31" s="91"/>
      <c r="G31" s="83"/>
      <c r="H31" s="29"/>
    </row>
    <row r="32" spans="1:8" ht="12.75" customHeight="1">
      <c r="A32" s="69"/>
      <c r="B32" s="89"/>
      <c r="C32" s="95"/>
      <c r="D32" s="84"/>
      <c r="E32" s="31" t="s">
        <v>470</v>
      </c>
      <c r="F32" s="50">
        <v>36</v>
      </c>
      <c r="G32" s="96"/>
      <c r="H32" s="29"/>
    </row>
    <row r="33" spans="1:8" ht="12.75" customHeight="1">
      <c r="A33" s="69"/>
      <c r="B33" s="89"/>
      <c r="C33" s="95"/>
      <c r="D33" s="84"/>
      <c r="E33" s="31" t="s">
        <v>471</v>
      </c>
      <c r="F33" s="55">
        <v>44</v>
      </c>
      <c r="G33" s="96"/>
      <c r="H33" s="29"/>
    </row>
    <row r="34" spans="1:8">
      <c r="A34" s="69"/>
      <c r="B34" s="85"/>
      <c r="C34" s="86"/>
      <c r="D34" s="61"/>
      <c r="E34" s="31" t="s">
        <v>411</v>
      </c>
      <c r="F34" s="50">
        <f>SUM(F32:F33)</f>
        <v>80</v>
      </c>
      <c r="G34" s="94"/>
      <c r="H34" s="29"/>
    </row>
    <row r="35" spans="1:8" ht="25.5">
      <c r="A35" s="69">
        <f>MAX(A$2:A34)+1</f>
        <v>7</v>
      </c>
      <c r="B35" s="87" t="s">
        <v>55</v>
      </c>
      <c r="C35" s="93" t="s">
        <v>87</v>
      </c>
      <c r="D35" s="59"/>
      <c r="E35" s="12" t="s">
        <v>88</v>
      </c>
      <c r="F35" s="54"/>
      <c r="G35" s="25" t="s">
        <v>51</v>
      </c>
      <c r="H35" s="21">
        <f>H36</f>
        <v>316.3</v>
      </c>
    </row>
    <row r="36" spans="1:8" ht="25.5" customHeight="1">
      <c r="A36" s="69"/>
      <c r="B36" s="89"/>
      <c r="C36" s="56"/>
      <c r="D36" s="84" t="s">
        <v>87</v>
      </c>
      <c r="E36" s="91" t="s">
        <v>88</v>
      </c>
      <c r="F36" s="91"/>
      <c r="G36" s="83" t="s">
        <v>51</v>
      </c>
      <c r="H36" s="29">
        <f>ROUND(F43,2)</f>
        <v>316.3</v>
      </c>
    </row>
    <row r="37" spans="1:8" ht="12.75" customHeight="1">
      <c r="A37" s="69"/>
      <c r="B37" s="85"/>
      <c r="C37" s="86"/>
      <c r="D37" s="61"/>
      <c r="E37" s="31" t="s">
        <v>472</v>
      </c>
      <c r="F37" s="50"/>
      <c r="G37" s="94"/>
      <c r="H37" s="29"/>
    </row>
    <row r="38" spans="1:8" ht="25.5">
      <c r="A38" s="69"/>
      <c r="B38" s="85"/>
      <c r="C38" s="86"/>
      <c r="D38" s="61"/>
      <c r="E38" s="31" t="s">
        <v>473</v>
      </c>
      <c r="F38" s="50"/>
      <c r="G38" s="94"/>
      <c r="H38" s="29"/>
    </row>
    <row r="39" spans="1:8">
      <c r="A39" s="69"/>
      <c r="B39" s="85"/>
      <c r="C39" s="86"/>
      <c r="D39" s="61"/>
      <c r="E39" s="31" t="s">
        <v>474</v>
      </c>
      <c r="F39" s="50"/>
      <c r="G39" s="94"/>
      <c r="H39" s="29"/>
    </row>
    <row r="40" spans="1:8" ht="38.25">
      <c r="A40" s="69"/>
      <c r="B40" s="85"/>
      <c r="C40" s="86"/>
      <c r="D40" s="61"/>
      <c r="E40" s="31" t="s">
        <v>475</v>
      </c>
      <c r="F40" s="50">
        <f>15.8+15.8</f>
        <v>31.6</v>
      </c>
      <c r="G40" s="94"/>
      <c r="H40" s="29"/>
    </row>
    <row r="41" spans="1:8" ht="51">
      <c r="A41" s="69"/>
      <c r="B41" s="85"/>
      <c r="C41" s="86"/>
      <c r="D41" s="61"/>
      <c r="E41" s="31" t="s">
        <v>476</v>
      </c>
      <c r="F41" s="50">
        <f>198.5+19+15.2</f>
        <v>232.7</v>
      </c>
      <c r="G41" s="94"/>
      <c r="H41" s="29"/>
    </row>
    <row r="42" spans="1:8" ht="25.5">
      <c r="A42" s="69"/>
      <c r="B42" s="85"/>
      <c r="C42" s="86"/>
      <c r="D42" s="61"/>
      <c r="E42" s="31" t="s">
        <v>477</v>
      </c>
      <c r="F42" s="55">
        <v>52</v>
      </c>
      <c r="G42" s="94"/>
      <c r="H42" s="29"/>
    </row>
    <row r="43" spans="1:8">
      <c r="A43" s="69"/>
      <c r="B43" s="85"/>
      <c r="C43" s="86"/>
      <c r="D43" s="61"/>
      <c r="E43" s="31" t="s">
        <v>411</v>
      </c>
      <c r="F43" s="50">
        <f>SUM(F40:F42)</f>
        <v>316.3</v>
      </c>
      <c r="G43" s="94"/>
      <c r="H43" s="29"/>
    </row>
    <row r="44" spans="1:8" ht="25.5">
      <c r="A44" s="69">
        <f>MAX(A$2:A43)+1</f>
        <v>8</v>
      </c>
      <c r="B44" s="87" t="s">
        <v>55</v>
      </c>
      <c r="C44" s="93" t="s">
        <v>89</v>
      </c>
      <c r="D44" s="59"/>
      <c r="E44" s="12" t="s">
        <v>90</v>
      </c>
      <c r="F44" s="54"/>
      <c r="G44" s="25" t="s">
        <v>72</v>
      </c>
      <c r="H44" s="21">
        <f>H45</f>
        <v>7</v>
      </c>
    </row>
    <row r="45" spans="1:8" ht="25.5" customHeight="1">
      <c r="A45" s="69"/>
      <c r="B45" s="89"/>
      <c r="C45" s="56"/>
      <c r="D45" s="84" t="s">
        <v>89</v>
      </c>
      <c r="E45" s="91" t="s">
        <v>90</v>
      </c>
      <c r="F45" s="91"/>
      <c r="G45" s="83" t="s">
        <v>72</v>
      </c>
      <c r="H45" s="29">
        <f>F46</f>
        <v>7</v>
      </c>
    </row>
    <row r="46" spans="1:8" ht="12.75" customHeight="1">
      <c r="A46" s="69"/>
      <c r="B46" s="85"/>
      <c r="C46" s="86"/>
      <c r="D46" s="61"/>
      <c r="E46" s="31" t="s">
        <v>478</v>
      </c>
      <c r="F46" s="50">
        <v>7</v>
      </c>
      <c r="G46" s="94"/>
      <c r="H46" s="29"/>
    </row>
    <row r="47" spans="1:8" ht="12.75">
      <c r="A47" s="69">
        <f>MAX(A$2:A46)+1</f>
        <v>9</v>
      </c>
      <c r="B47" s="87" t="s">
        <v>55</v>
      </c>
      <c r="C47" s="93" t="s">
        <v>91</v>
      </c>
      <c r="D47" s="72"/>
      <c r="E47" s="12" t="s">
        <v>92</v>
      </c>
      <c r="F47" s="54"/>
      <c r="G47" s="25" t="s">
        <v>30</v>
      </c>
      <c r="H47" s="21">
        <f>H48</f>
        <v>1404.36</v>
      </c>
    </row>
    <row r="48" spans="1:8" ht="12.75" customHeight="1">
      <c r="A48" s="69"/>
      <c r="B48" s="89"/>
      <c r="C48" s="60"/>
      <c r="D48" s="84" t="s">
        <v>479</v>
      </c>
      <c r="E48" s="91" t="s">
        <v>480</v>
      </c>
      <c r="F48" s="91"/>
      <c r="G48" s="83" t="s">
        <v>30</v>
      </c>
      <c r="H48" s="29">
        <f>ROUND(F63,2)</f>
        <v>1404.36</v>
      </c>
    </row>
    <row r="49" spans="1:9" ht="25.5">
      <c r="A49" s="69"/>
      <c r="B49" s="85"/>
      <c r="C49" s="86"/>
      <c r="D49" s="61"/>
      <c r="E49" s="31" t="s">
        <v>481</v>
      </c>
      <c r="F49" s="50"/>
      <c r="G49" s="94"/>
      <c r="H49" s="29"/>
    </row>
    <row r="50" spans="1:9" ht="12.75" customHeight="1">
      <c r="A50" s="69"/>
      <c r="B50" s="85"/>
      <c r="C50" s="97"/>
      <c r="D50" s="72"/>
      <c r="E50" s="31" t="s">
        <v>482</v>
      </c>
      <c r="F50" s="50">
        <f>480*0.44</f>
        <v>211.2</v>
      </c>
      <c r="G50" s="25"/>
      <c r="H50" s="21"/>
    </row>
    <row r="51" spans="1:9">
      <c r="A51" s="69"/>
      <c r="B51" s="85"/>
      <c r="C51" s="97"/>
      <c r="D51" s="72"/>
      <c r="E51" s="31" t="s">
        <v>483</v>
      </c>
      <c r="F51" s="50">
        <f xml:space="preserve"> 450*0.4</f>
        <v>180</v>
      </c>
      <c r="G51" s="25"/>
      <c r="H51" s="21"/>
    </row>
    <row r="52" spans="1:9">
      <c r="A52" s="69"/>
      <c r="B52" s="85"/>
      <c r="C52" s="97"/>
      <c r="D52" s="72"/>
      <c r="E52" s="31" t="s">
        <v>484</v>
      </c>
      <c r="F52" s="50">
        <f>31.5*0.505</f>
        <v>15.907500000000001</v>
      </c>
      <c r="G52" s="25"/>
      <c r="H52" s="21"/>
    </row>
    <row r="53" spans="1:9">
      <c r="A53" s="69"/>
      <c r="B53" s="85"/>
      <c r="C53" s="97"/>
      <c r="D53" s="72"/>
      <c r="E53" s="31" t="s">
        <v>485</v>
      </c>
      <c r="F53" s="55">
        <f>128*0.0002</f>
        <v>2.5600000000000001E-2</v>
      </c>
      <c r="G53" s="25"/>
      <c r="H53" s="21"/>
    </row>
    <row r="54" spans="1:9">
      <c r="A54" s="69"/>
      <c r="B54" s="85"/>
      <c r="C54" s="97"/>
      <c r="D54" s="72"/>
      <c r="E54" s="31" t="s">
        <v>486</v>
      </c>
      <c r="F54" s="50">
        <f>SUM(F50:F53)</f>
        <v>407.13310000000001</v>
      </c>
      <c r="G54" s="25"/>
      <c r="H54" s="21"/>
    </row>
    <row r="55" spans="1:9" ht="12.75" customHeight="1">
      <c r="A55" s="69"/>
      <c r="B55" s="85"/>
      <c r="C55" s="86"/>
      <c r="D55" s="61"/>
      <c r="E55" s="31" t="s">
        <v>487</v>
      </c>
      <c r="F55" s="50"/>
      <c r="G55" s="94"/>
      <c r="H55" s="29"/>
    </row>
    <row r="56" spans="1:9" ht="12.75" customHeight="1">
      <c r="A56" s="69"/>
      <c r="B56" s="85"/>
      <c r="C56" s="86"/>
      <c r="D56" s="61"/>
      <c r="E56" s="31" t="s">
        <v>488</v>
      </c>
      <c r="F56" s="50">
        <f>4616*0.102+2034*0.153+510*0.267</f>
        <v>918.20399999999995</v>
      </c>
      <c r="G56" s="94"/>
      <c r="H56" s="29"/>
    </row>
    <row r="57" spans="1:9" ht="12.75" customHeight="1">
      <c r="A57" s="69"/>
      <c r="B57" s="85"/>
      <c r="C57" s="86"/>
      <c r="D57" s="61"/>
      <c r="E57" s="31" t="s">
        <v>1480</v>
      </c>
      <c r="F57" s="50"/>
      <c r="G57" s="94"/>
      <c r="H57" s="29"/>
    </row>
    <row r="58" spans="1:9" ht="12.75" customHeight="1">
      <c r="A58" s="69"/>
      <c r="B58" s="85"/>
      <c r="C58" s="86"/>
      <c r="D58" s="61"/>
      <c r="E58" s="31" t="s">
        <v>1481</v>
      </c>
      <c r="F58" s="50">
        <f>80/4*3.783</f>
        <v>75.66</v>
      </c>
      <c r="G58" s="94"/>
      <c r="H58" s="29"/>
    </row>
    <row r="59" spans="1:9" ht="12.75" customHeight="1">
      <c r="A59" s="69"/>
      <c r="B59" s="85"/>
      <c r="C59" s="86"/>
      <c r="D59" s="61"/>
      <c r="E59" s="189" t="s">
        <v>1478</v>
      </c>
      <c r="F59" s="385">
        <f>30*0.05</f>
        <v>1.5</v>
      </c>
      <c r="G59" s="94"/>
      <c r="H59" s="29"/>
    </row>
    <row r="60" spans="1:9" ht="12.75" customHeight="1">
      <c r="A60" s="69"/>
      <c r="B60" s="85"/>
      <c r="C60" s="86"/>
      <c r="D60" s="61"/>
      <c r="E60" s="31"/>
      <c r="F60" s="50">
        <f>SUM(F58:F59)</f>
        <v>77.16</v>
      </c>
      <c r="G60" s="94"/>
      <c r="H60" s="29"/>
    </row>
    <row r="61" spans="1:9" ht="12.75" customHeight="1">
      <c r="A61" s="69"/>
      <c r="B61" s="85"/>
      <c r="C61" s="86"/>
      <c r="D61" s="61"/>
      <c r="E61" s="31" t="s">
        <v>1479</v>
      </c>
      <c r="F61" s="50"/>
      <c r="G61" s="94"/>
      <c r="H61" s="29"/>
    </row>
    <row r="62" spans="1:9" ht="12.75" customHeight="1">
      <c r="A62" s="69"/>
      <c r="B62" s="85"/>
      <c r="C62" s="86"/>
      <c r="D62" s="61"/>
      <c r="E62" s="31" t="s">
        <v>1482</v>
      </c>
      <c r="F62" s="55">
        <f>124*0.015</f>
        <v>1.8599999999999999</v>
      </c>
      <c r="G62" s="94"/>
      <c r="H62" s="29"/>
      <c r="I62" s="98"/>
    </row>
    <row r="63" spans="1:9" ht="12.75" customHeight="1">
      <c r="A63" s="69"/>
      <c r="B63" s="85"/>
      <c r="C63" s="86"/>
      <c r="D63" s="61"/>
      <c r="E63" s="31" t="s">
        <v>489</v>
      </c>
      <c r="F63" s="50">
        <f>F54+F56++F60+F62</f>
        <v>1404.3570999999999</v>
      </c>
      <c r="G63" s="94"/>
      <c r="H63" s="29"/>
    </row>
    <row r="64" spans="1:9" ht="25.5">
      <c r="A64" s="69">
        <f>MAX(A$2:A63)+1</f>
        <v>10</v>
      </c>
      <c r="B64" s="87" t="s">
        <v>55</v>
      </c>
      <c r="C64" s="51" t="s">
        <v>103</v>
      </c>
      <c r="D64" s="99"/>
      <c r="E64" s="53" t="s">
        <v>104</v>
      </c>
      <c r="F64" s="53"/>
      <c r="G64" s="76" t="s">
        <v>44</v>
      </c>
      <c r="H64" s="21">
        <f>H65+H70+H74</f>
        <v>7160</v>
      </c>
    </row>
    <row r="65" spans="1:8" ht="25.5">
      <c r="A65" s="69"/>
      <c r="B65" s="89"/>
      <c r="C65" s="100"/>
      <c r="D65" s="84" t="s">
        <v>490</v>
      </c>
      <c r="E65" s="91" t="s">
        <v>491</v>
      </c>
      <c r="F65" s="91"/>
      <c r="G65" s="83" t="s">
        <v>44</v>
      </c>
      <c r="H65" s="29">
        <f>ROUND(F69,2)</f>
        <v>4616</v>
      </c>
    </row>
    <row r="66" spans="1:8" ht="12.75">
      <c r="A66" s="69"/>
      <c r="B66" s="89"/>
      <c r="C66" s="100"/>
      <c r="D66" s="101"/>
      <c r="E66" s="31" t="s">
        <v>492</v>
      </c>
      <c r="F66" s="50">
        <f>75+75+125+40+195</f>
        <v>510</v>
      </c>
      <c r="G66" s="83"/>
      <c r="H66" s="29"/>
    </row>
    <row r="67" spans="1:8" ht="12.75">
      <c r="A67" s="69"/>
      <c r="B67" s="89"/>
      <c r="C67" s="100"/>
      <c r="D67" s="101"/>
      <c r="E67" s="31" t="s">
        <v>493</v>
      </c>
      <c r="F67" s="50">
        <f>(242+331)+(195+226+530)</f>
        <v>1524</v>
      </c>
      <c r="G67" s="83"/>
      <c r="H67" s="29"/>
    </row>
    <row r="68" spans="1:8" ht="25.5">
      <c r="A68" s="69"/>
      <c r="B68" s="85"/>
      <c r="C68" s="60"/>
      <c r="D68" s="61"/>
      <c r="E68" s="31" t="s">
        <v>494</v>
      </c>
      <c r="F68" s="55">
        <f>(375+347+342+406+22+2+22+2+5+5)+(473+531)+50</f>
        <v>2582</v>
      </c>
      <c r="G68" s="28"/>
      <c r="H68" s="29"/>
    </row>
    <row r="69" spans="1:8">
      <c r="A69" s="69"/>
      <c r="B69" s="85"/>
      <c r="C69" s="60"/>
      <c r="D69" s="61"/>
      <c r="E69" s="31"/>
      <c r="F69" s="58">
        <f>SUM(F66:F68)</f>
        <v>4616</v>
      </c>
      <c r="G69" s="28"/>
      <c r="H69" s="29"/>
    </row>
    <row r="70" spans="1:8" ht="25.5">
      <c r="A70" s="69"/>
      <c r="B70" s="89"/>
      <c r="C70" s="100"/>
      <c r="D70" s="84" t="s">
        <v>495</v>
      </c>
      <c r="E70" s="91" t="s">
        <v>496</v>
      </c>
      <c r="F70" s="91"/>
      <c r="G70" s="83" t="s">
        <v>44</v>
      </c>
      <c r="H70" s="29">
        <f>ROUND(F73,2)</f>
        <v>2034</v>
      </c>
    </row>
    <row r="71" spans="1:8" ht="12.75">
      <c r="A71" s="69"/>
      <c r="B71" s="89"/>
      <c r="C71" s="100"/>
      <c r="D71" s="84"/>
      <c r="E71" s="31" t="s">
        <v>497</v>
      </c>
      <c r="F71" s="50">
        <f>75+75+125+40+195</f>
        <v>510</v>
      </c>
      <c r="G71" s="83"/>
      <c r="H71" s="29"/>
    </row>
    <row r="72" spans="1:8" ht="12.75">
      <c r="A72" s="69"/>
      <c r="B72" s="89"/>
      <c r="C72" s="100"/>
      <c r="D72" s="101"/>
      <c r="E72" s="31" t="s">
        <v>493</v>
      </c>
      <c r="F72" s="55">
        <f>(242+331)+(195+226+530)</f>
        <v>1524</v>
      </c>
      <c r="G72" s="83"/>
      <c r="H72" s="29"/>
    </row>
    <row r="73" spans="1:8">
      <c r="A73" s="69"/>
      <c r="B73" s="85"/>
      <c r="C73" s="60"/>
      <c r="D73" s="61"/>
      <c r="E73" s="31"/>
      <c r="F73" s="58">
        <f>SUM(F70:F72)</f>
        <v>2034</v>
      </c>
      <c r="G73" s="83"/>
      <c r="H73" s="29"/>
    </row>
    <row r="74" spans="1:8" ht="25.5">
      <c r="A74" s="69"/>
      <c r="B74" s="85"/>
      <c r="C74" s="60"/>
      <c r="D74" s="79" t="s">
        <v>498</v>
      </c>
      <c r="E74" s="91" t="s">
        <v>499</v>
      </c>
      <c r="F74" s="92"/>
      <c r="G74" s="83" t="s">
        <v>44</v>
      </c>
      <c r="H74" s="29">
        <f>ROUND(F75,2)</f>
        <v>510</v>
      </c>
    </row>
    <row r="75" spans="1:8">
      <c r="A75" s="69"/>
      <c r="B75" s="85"/>
      <c r="C75" s="86"/>
      <c r="D75" s="61"/>
      <c r="E75" s="31" t="s">
        <v>492</v>
      </c>
      <c r="F75" s="58">
        <f>75+75+125+40+195</f>
        <v>510</v>
      </c>
      <c r="G75" s="83"/>
      <c r="H75" s="29"/>
    </row>
    <row r="76" spans="1:8" ht="25.5">
      <c r="A76" s="69">
        <f>MAX(A$2:A75)+1</f>
        <v>11</v>
      </c>
      <c r="B76" s="87" t="s">
        <v>55</v>
      </c>
      <c r="C76" s="51" t="s">
        <v>105</v>
      </c>
      <c r="D76" s="99"/>
      <c r="E76" s="53" t="s">
        <v>106</v>
      </c>
      <c r="F76" s="53"/>
      <c r="G76" s="76" t="s">
        <v>51</v>
      </c>
      <c r="H76" s="21">
        <f>H77</f>
        <v>229</v>
      </c>
    </row>
    <row r="77" spans="1:8" ht="25.5">
      <c r="A77" s="69"/>
      <c r="B77" s="89"/>
      <c r="C77" s="100"/>
      <c r="D77" s="84" t="s">
        <v>500</v>
      </c>
      <c r="E77" s="91" t="s">
        <v>501</v>
      </c>
      <c r="F77" s="91"/>
      <c r="G77" s="83" t="s">
        <v>51</v>
      </c>
      <c r="H77" s="29">
        <f>ROUND(F81,2)</f>
        <v>229</v>
      </c>
    </row>
    <row r="78" spans="1:8" ht="25.5">
      <c r="A78" s="69"/>
      <c r="B78" s="85"/>
      <c r="C78" s="86"/>
      <c r="D78" s="61"/>
      <c r="E78" s="31" t="s">
        <v>502</v>
      </c>
      <c r="F78" s="58">
        <f xml:space="preserve"> 42*2+3+9*2+3+10*2+48*2+3</f>
        <v>227</v>
      </c>
      <c r="G78" s="28"/>
      <c r="H78" s="29"/>
    </row>
    <row r="79" spans="1:8">
      <c r="A79" s="69"/>
      <c r="B79" s="85"/>
      <c r="C79" s="86"/>
      <c r="D79" s="61"/>
      <c r="E79" s="31" t="s">
        <v>503</v>
      </c>
      <c r="F79" s="58">
        <v>1</v>
      </c>
      <c r="G79" s="28"/>
      <c r="H79" s="29"/>
    </row>
    <row r="80" spans="1:8">
      <c r="A80" s="69"/>
      <c r="B80" s="85"/>
      <c r="C80" s="86"/>
      <c r="D80" s="61"/>
      <c r="E80" s="31" t="s">
        <v>504</v>
      </c>
      <c r="F80" s="55">
        <v>1</v>
      </c>
      <c r="G80" s="28"/>
      <c r="H80" s="29"/>
    </row>
    <row r="81" spans="1:8">
      <c r="A81" s="69"/>
      <c r="B81" s="85"/>
      <c r="C81" s="86"/>
      <c r="D81" s="61"/>
      <c r="E81" s="44" t="s">
        <v>411</v>
      </c>
      <c r="F81" s="58">
        <f>SUM(F78:F80)</f>
        <v>229</v>
      </c>
      <c r="G81" s="28"/>
      <c r="H81" s="29"/>
    </row>
    <row r="82" spans="1:8" ht="25.5">
      <c r="A82" s="69">
        <f>MAX(A$2:A79)+1</f>
        <v>12</v>
      </c>
      <c r="B82" s="87" t="s">
        <v>55</v>
      </c>
      <c r="C82" s="51" t="s">
        <v>107</v>
      </c>
      <c r="D82" s="88"/>
      <c r="E82" s="53" t="s">
        <v>108</v>
      </c>
      <c r="F82" s="53"/>
      <c r="G82" s="76" t="s">
        <v>51</v>
      </c>
      <c r="H82" s="21">
        <f>H83+H93</f>
        <v>652</v>
      </c>
    </row>
    <row r="83" spans="1:8" ht="25.5">
      <c r="A83" s="69"/>
      <c r="B83" s="89"/>
      <c r="C83" s="102"/>
      <c r="D83" s="84" t="s">
        <v>505</v>
      </c>
      <c r="E83" s="91" t="s">
        <v>506</v>
      </c>
      <c r="F83" s="91"/>
      <c r="G83" s="83" t="s">
        <v>51</v>
      </c>
      <c r="H83" s="29">
        <f>ROUND(F92,2)</f>
        <v>608</v>
      </c>
    </row>
    <row r="84" spans="1:8">
      <c r="A84" s="69"/>
      <c r="B84" s="85"/>
      <c r="C84" s="86"/>
      <c r="D84" s="61"/>
      <c r="E84" s="31" t="s">
        <v>507</v>
      </c>
      <c r="F84" s="58"/>
      <c r="G84" s="83"/>
      <c r="H84" s="29"/>
    </row>
    <row r="85" spans="1:8" ht="25.5" customHeight="1">
      <c r="A85" s="69"/>
      <c r="B85" s="89"/>
      <c r="C85" s="102"/>
      <c r="D85" s="84"/>
      <c r="E85" s="31" t="s">
        <v>508</v>
      </c>
      <c r="F85" s="50">
        <f>112+113+101</f>
        <v>326</v>
      </c>
      <c r="G85" s="94"/>
      <c r="H85" s="29"/>
    </row>
    <row r="86" spans="1:8" ht="17.25" customHeight="1">
      <c r="A86" s="69"/>
      <c r="B86" s="89"/>
      <c r="C86" s="102"/>
      <c r="D86" s="84"/>
      <c r="E86" s="31" t="s">
        <v>509</v>
      </c>
      <c r="F86" s="103">
        <f>6*10</f>
        <v>60</v>
      </c>
      <c r="G86" s="94"/>
      <c r="H86" s="29"/>
    </row>
    <row r="87" spans="1:8">
      <c r="A87" s="69"/>
      <c r="B87" s="85"/>
      <c r="C87" s="56"/>
      <c r="D87" s="104"/>
      <c r="E87" s="44" t="s">
        <v>421</v>
      </c>
      <c r="F87" s="50">
        <f>SUM(F85:F86)</f>
        <v>386</v>
      </c>
      <c r="G87" s="94"/>
      <c r="H87" s="29"/>
    </row>
    <row r="88" spans="1:8">
      <c r="A88" s="69"/>
      <c r="B88" s="85"/>
      <c r="C88" s="86"/>
      <c r="D88" s="61"/>
      <c r="E88" s="31" t="s">
        <v>510</v>
      </c>
      <c r="F88" s="58"/>
      <c r="G88" s="83"/>
      <c r="H88" s="29"/>
    </row>
    <row r="89" spans="1:8" ht="25.5">
      <c r="A89" s="69"/>
      <c r="B89" s="85"/>
      <c r="C89" s="56"/>
      <c r="D89" s="104"/>
      <c r="E89" s="31" t="s">
        <v>511</v>
      </c>
      <c r="F89" s="50">
        <f>90+26+104</f>
        <v>220</v>
      </c>
      <c r="G89" s="94"/>
      <c r="H89" s="29"/>
    </row>
    <row r="90" spans="1:8" ht="25.5">
      <c r="A90" s="69"/>
      <c r="B90" s="85"/>
      <c r="C90" s="56"/>
      <c r="D90" s="104"/>
      <c r="E90" s="31" t="s">
        <v>512</v>
      </c>
      <c r="F90" s="55">
        <v>2</v>
      </c>
      <c r="G90" s="94"/>
      <c r="H90" s="29"/>
    </row>
    <row r="91" spans="1:8">
      <c r="A91" s="69"/>
      <c r="B91" s="85"/>
      <c r="C91" s="56"/>
      <c r="D91" s="104"/>
      <c r="E91" s="44" t="s">
        <v>421</v>
      </c>
      <c r="F91" s="50">
        <f>SUM(F89:F90)</f>
        <v>222</v>
      </c>
      <c r="G91" s="94"/>
      <c r="H91" s="29"/>
    </row>
    <row r="92" spans="1:8">
      <c r="A92" s="69"/>
      <c r="B92" s="85"/>
      <c r="C92" s="60"/>
      <c r="D92" s="61"/>
      <c r="E92" s="44" t="s">
        <v>411</v>
      </c>
      <c r="F92" s="58">
        <f>F87+F91</f>
        <v>608</v>
      </c>
      <c r="G92" s="28"/>
      <c r="H92" s="29"/>
    </row>
    <row r="93" spans="1:8" ht="25.5">
      <c r="A93" s="69"/>
      <c r="B93" s="85"/>
      <c r="C93" s="60"/>
      <c r="D93" s="79" t="s">
        <v>513</v>
      </c>
      <c r="E93" s="91" t="s">
        <v>514</v>
      </c>
      <c r="F93" s="92"/>
      <c r="G93" s="83" t="s">
        <v>51</v>
      </c>
      <c r="H93" s="29">
        <f>ROUND(F96,2)</f>
        <v>44</v>
      </c>
    </row>
    <row r="94" spans="1:8" ht="25.5">
      <c r="A94" s="69"/>
      <c r="B94" s="85"/>
      <c r="C94" s="60"/>
      <c r="D94" s="84"/>
      <c r="E94" s="31" t="s">
        <v>515</v>
      </c>
      <c r="F94" s="50">
        <v>22</v>
      </c>
      <c r="G94" s="83"/>
      <c r="H94" s="29"/>
    </row>
    <row r="95" spans="1:8" ht="25.5">
      <c r="A95" s="69"/>
      <c r="B95" s="85"/>
      <c r="C95" s="60"/>
      <c r="D95" s="84"/>
      <c r="E95" s="31" t="s">
        <v>516</v>
      </c>
      <c r="F95" s="55">
        <v>22</v>
      </c>
      <c r="G95" s="83"/>
      <c r="H95" s="29"/>
    </row>
    <row r="96" spans="1:8">
      <c r="A96" s="69"/>
      <c r="B96" s="85"/>
      <c r="C96" s="60"/>
      <c r="D96" s="61"/>
      <c r="E96" s="44" t="s">
        <v>411</v>
      </c>
      <c r="F96" s="58">
        <f>SUM(F94:F95)</f>
        <v>44</v>
      </c>
      <c r="G96" s="28"/>
      <c r="H96" s="29"/>
    </row>
    <row r="97" spans="1:8" ht="12.75">
      <c r="A97" s="69">
        <f>MAX(A$2:A94)+1</f>
        <v>13</v>
      </c>
      <c r="B97" s="87" t="s">
        <v>55</v>
      </c>
      <c r="C97" s="390" t="s">
        <v>1501</v>
      </c>
      <c r="D97" s="396"/>
      <c r="E97" s="391" t="s">
        <v>1498</v>
      </c>
      <c r="F97" s="106"/>
      <c r="G97" s="76" t="s">
        <v>51</v>
      </c>
      <c r="H97" s="21">
        <f>H98</f>
        <v>9</v>
      </c>
    </row>
    <row r="98" spans="1:8">
      <c r="A98" s="69"/>
      <c r="B98" s="85"/>
      <c r="C98" s="60"/>
      <c r="D98" s="396" t="s">
        <v>1501</v>
      </c>
      <c r="E98" s="397" t="s">
        <v>1498</v>
      </c>
      <c r="F98" s="92"/>
      <c r="G98" s="83" t="s">
        <v>51</v>
      </c>
      <c r="H98" s="29">
        <f>ROUND(F99,2)</f>
        <v>9</v>
      </c>
    </row>
    <row r="99" spans="1:8" ht="25.5">
      <c r="A99" s="69"/>
      <c r="B99" s="85"/>
      <c r="C99" s="60"/>
      <c r="D99" s="61"/>
      <c r="E99" s="31" t="s">
        <v>517</v>
      </c>
      <c r="F99" s="58">
        <f>30*0.3</f>
        <v>9</v>
      </c>
      <c r="G99" s="28"/>
      <c r="H99" s="29"/>
    </row>
    <row r="100" spans="1:8">
      <c r="A100" s="69"/>
      <c r="B100" s="71" t="s">
        <v>124</v>
      </c>
      <c r="C100" s="56"/>
      <c r="D100" s="59"/>
      <c r="E100" s="13" t="s">
        <v>518</v>
      </c>
      <c r="F100" s="54"/>
      <c r="G100" s="25"/>
      <c r="H100" s="29"/>
    </row>
    <row r="101" spans="1:8" ht="12.75" customHeight="1">
      <c r="A101" s="69">
        <f>MAX(A$2:A100)+1</f>
        <v>14</v>
      </c>
      <c r="B101" s="87" t="s">
        <v>124</v>
      </c>
      <c r="C101" s="51" t="s">
        <v>125</v>
      </c>
      <c r="D101" s="52"/>
      <c r="E101" s="53" t="s">
        <v>126</v>
      </c>
      <c r="F101" s="75"/>
      <c r="G101" s="76" t="s">
        <v>33</v>
      </c>
      <c r="H101" s="21">
        <f>H102</f>
        <v>6.45</v>
      </c>
    </row>
    <row r="102" spans="1:8" ht="25.5">
      <c r="A102" s="69"/>
      <c r="B102" s="71"/>
      <c r="C102" s="102"/>
      <c r="D102" s="79" t="s">
        <v>519</v>
      </c>
      <c r="E102" s="91" t="s">
        <v>520</v>
      </c>
      <c r="F102" s="92"/>
      <c r="G102" s="83" t="s">
        <v>33</v>
      </c>
      <c r="H102" s="29">
        <f>ROUND(F103,2)</f>
        <v>6.45</v>
      </c>
    </row>
    <row r="103" spans="1:8" ht="12.75" customHeight="1">
      <c r="A103" s="69"/>
      <c r="B103" s="71"/>
      <c r="C103" s="56"/>
      <c r="D103" s="104"/>
      <c r="E103" s="31" t="s">
        <v>521</v>
      </c>
      <c r="F103" s="58">
        <f xml:space="preserve"> 0.15*43</f>
        <v>6.45</v>
      </c>
      <c r="G103" s="25"/>
      <c r="H103" s="29"/>
    </row>
    <row r="104" spans="1:8" ht="12.75" customHeight="1">
      <c r="A104" s="69">
        <f>MAX(A$2:A103)+1</f>
        <v>15</v>
      </c>
      <c r="B104" s="87" t="s">
        <v>124</v>
      </c>
      <c r="C104" s="51" t="s">
        <v>127</v>
      </c>
      <c r="D104" s="52"/>
      <c r="E104" s="53" t="s">
        <v>128</v>
      </c>
      <c r="F104" s="75"/>
      <c r="G104" s="76" t="s">
        <v>33</v>
      </c>
      <c r="H104" s="29">
        <f>H105</f>
        <v>6.45</v>
      </c>
    </row>
    <row r="105" spans="1:8" ht="25.5">
      <c r="A105" s="69"/>
      <c r="B105" s="71"/>
      <c r="C105" s="102"/>
      <c r="D105" s="79" t="s">
        <v>522</v>
      </c>
      <c r="E105" s="91" t="s">
        <v>523</v>
      </c>
      <c r="F105" s="92"/>
      <c r="G105" s="83" t="s">
        <v>33</v>
      </c>
      <c r="H105" s="29">
        <f>H102</f>
        <v>6.45</v>
      </c>
    </row>
    <row r="106" spans="1:8" ht="25.5">
      <c r="A106" s="69">
        <f>MAX(A$2:A105)+1</f>
        <v>16</v>
      </c>
      <c r="B106" s="87" t="s">
        <v>124</v>
      </c>
      <c r="C106" s="51" t="s">
        <v>129</v>
      </c>
      <c r="D106" s="52"/>
      <c r="E106" s="53" t="s">
        <v>130</v>
      </c>
      <c r="F106" s="75"/>
      <c r="G106" s="76" t="s">
        <v>44</v>
      </c>
      <c r="H106" s="21">
        <f>H107</f>
        <v>43</v>
      </c>
    </row>
    <row r="107" spans="1:8" ht="25.5">
      <c r="A107" s="69"/>
      <c r="B107" s="71"/>
      <c r="C107" s="56"/>
      <c r="D107" s="79" t="s">
        <v>524</v>
      </c>
      <c r="E107" s="91" t="s">
        <v>525</v>
      </c>
      <c r="F107" s="92"/>
      <c r="G107" s="83" t="s">
        <v>44</v>
      </c>
      <c r="H107" s="29">
        <f>ROUND(F108,2)</f>
        <v>43</v>
      </c>
    </row>
    <row r="108" spans="1:8" ht="12.75" customHeight="1">
      <c r="A108" s="69"/>
      <c r="B108" s="71"/>
      <c r="C108" s="56"/>
      <c r="D108" s="104"/>
      <c r="E108" s="31" t="s">
        <v>526</v>
      </c>
      <c r="F108" s="58">
        <f>20+23</f>
        <v>43</v>
      </c>
      <c r="G108" s="25"/>
      <c r="H108" s="29"/>
    </row>
    <row r="109" spans="1:8" ht="25.5">
      <c r="A109" s="69">
        <f>MAX(A$2:A108)+1</f>
        <v>17</v>
      </c>
      <c r="B109" s="87" t="s">
        <v>124</v>
      </c>
      <c r="C109" s="51" t="s">
        <v>131</v>
      </c>
      <c r="D109" s="52"/>
      <c r="E109" s="53" t="s">
        <v>132</v>
      </c>
      <c r="F109" s="75"/>
      <c r="G109" s="76" t="s">
        <v>44</v>
      </c>
      <c r="H109" s="21">
        <f>H110</f>
        <v>43</v>
      </c>
    </row>
    <row r="110" spans="1:8" ht="25.5">
      <c r="A110" s="69"/>
      <c r="B110" s="71"/>
      <c r="C110" s="56"/>
      <c r="D110" s="79" t="s">
        <v>527</v>
      </c>
      <c r="E110" s="91" t="s">
        <v>528</v>
      </c>
      <c r="F110" s="92"/>
      <c r="G110" s="83" t="s">
        <v>44</v>
      </c>
      <c r="H110" s="29">
        <f>H107</f>
        <v>43</v>
      </c>
    </row>
    <row r="111" spans="1:8" ht="25.5">
      <c r="A111" s="69">
        <f>MAX(A$2:A110)+1</f>
        <v>18</v>
      </c>
      <c r="B111" s="87" t="s">
        <v>124</v>
      </c>
      <c r="C111" s="51" t="s">
        <v>133</v>
      </c>
      <c r="D111" s="52"/>
      <c r="E111" s="53" t="s">
        <v>134</v>
      </c>
      <c r="F111" s="75"/>
      <c r="G111" s="76" t="s">
        <v>44</v>
      </c>
      <c r="H111" s="21">
        <f>H112</f>
        <v>43</v>
      </c>
    </row>
    <row r="112" spans="1:8" ht="25.5">
      <c r="A112" s="69"/>
      <c r="B112" s="71"/>
      <c r="C112" s="56"/>
      <c r="D112" s="79" t="s">
        <v>529</v>
      </c>
      <c r="E112" s="91" t="s">
        <v>530</v>
      </c>
      <c r="F112" s="92"/>
      <c r="G112" s="83" t="s">
        <v>44</v>
      </c>
      <c r="H112" s="29">
        <f>H107</f>
        <v>43</v>
      </c>
    </row>
    <row r="113" spans="1:8">
      <c r="A113" s="69"/>
      <c r="B113" s="71" t="s">
        <v>136</v>
      </c>
      <c r="C113" s="60"/>
      <c r="D113" s="72"/>
      <c r="E113" s="13" t="s">
        <v>531</v>
      </c>
      <c r="F113" s="54"/>
      <c r="G113" s="25"/>
      <c r="H113" s="21"/>
    </row>
    <row r="114" spans="1:8" ht="12.75">
      <c r="A114" s="69">
        <f>MAX(A$2:A113)+1</f>
        <v>19</v>
      </c>
      <c r="B114" s="87" t="s">
        <v>136</v>
      </c>
      <c r="C114" s="107" t="s">
        <v>137</v>
      </c>
      <c r="D114" s="59"/>
      <c r="E114" s="12" t="s">
        <v>138</v>
      </c>
      <c r="F114" s="54"/>
      <c r="G114" s="25" t="s">
        <v>33</v>
      </c>
      <c r="H114" s="21">
        <f>(+H115)</f>
        <v>396</v>
      </c>
    </row>
    <row r="115" spans="1:8" ht="12.75" customHeight="1">
      <c r="A115" s="69"/>
      <c r="B115" s="89"/>
      <c r="C115" s="56"/>
      <c r="D115" s="84" t="s">
        <v>532</v>
      </c>
      <c r="E115" s="91" t="s">
        <v>533</v>
      </c>
      <c r="F115" s="108"/>
      <c r="G115" s="96" t="s">
        <v>33</v>
      </c>
      <c r="H115" s="29">
        <f>ROUND(F119,2)</f>
        <v>396</v>
      </c>
    </row>
    <row r="116" spans="1:8">
      <c r="A116" s="69"/>
      <c r="B116" s="85"/>
      <c r="C116" s="95"/>
      <c r="D116" s="104"/>
      <c r="E116" s="31" t="s">
        <v>534</v>
      </c>
      <c r="F116" s="109">
        <f xml:space="preserve"> 0.5*450</f>
        <v>225</v>
      </c>
      <c r="G116" s="94"/>
      <c r="H116" s="29"/>
    </row>
    <row r="117" spans="1:8" ht="25.5">
      <c r="A117" s="69"/>
      <c r="B117" s="85"/>
      <c r="C117" s="95"/>
      <c r="D117" s="104"/>
      <c r="E117" s="31" t="s">
        <v>535</v>
      </c>
      <c r="F117" s="109">
        <f xml:space="preserve"> 0.5*202</f>
        <v>101</v>
      </c>
      <c r="G117" s="94"/>
      <c r="H117" s="29"/>
    </row>
    <row r="118" spans="1:8" ht="25.5">
      <c r="A118" s="69"/>
      <c r="B118" s="85"/>
      <c r="C118" s="56"/>
      <c r="D118" s="104"/>
      <c r="E118" s="31" t="s">
        <v>536</v>
      </c>
      <c r="F118" s="110">
        <f>(55+85)*0.5</f>
        <v>70</v>
      </c>
      <c r="G118" s="28"/>
      <c r="H118" s="29"/>
    </row>
    <row r="119" spans="1:8" ht="12.75" customHeight="1">
      <c r="A119" s="69"/>
      <c r="B119" s="85"/>
      <c r="C119" s="56"/>
      <c r="D119" s="104"/>
      <c r="E119" s="44" t="s">
        <v>411</v>
      </c>
      <c r="F119" s="58">
        <f>SUM(F116:F118)</f>
        <v>396</v>
      </c>
      <c r="G119" s="28"/>
      <c r="H119" s="29"/>
    </row>
    <row r="120" spans="1:8" ht="12.75" customHeight="1">
      <c r="A120" s="388">
        <f>MAX(A$2:A119)+1</f>
        <v>20</v>
      </c>
      <c r="B120" s="389" t="s">
        <v>136</v>
      </c>
      <c r="C120" s="390" t="s">
        <v>1491</v>
      </c>
      <c r="D120" s="162"/>
      <c r="E120" s="391" t="s">
        <v>1492</v>
      </c>
      <c r="F120" s="392"/>
      <c r="G120" s="393" t="s">
        <v>33</v>
      </c>
      <c r="H120" s="394">
        <f>H121</f>
        <v>225</v>
      </c>
    </row>
    <row r="121" spans="1:8" ht="12.75" customHeight="1">
      <c r="A121" s="388"/>
      <c r="B121" s="395"/>
      <c r="C121" s="60"/>
      <c r="D121" s="396" t="s">
        <v>1493</v>
      </c>
      <c r="E121" s="397" t="s">
        <v>1494</v>
      </c>
      <c r="F121" s="398"/>
      <c r="G121" s="188" t="s">
        <v>33</v>
      </c>
      <c r="H121" s="378">
        <f>ROUND(F123,2)</f>
        <v>225</v>
      </c>
    </row>
    <row r="122" spans="1:8" ht="12.75" customHeight="1">
      <c r="A122" s="69"/>
      <c r="B122" s="85"/>
      <c r="C122" s="56"/>
      <c r="D122" s="104"/>
      <c r="E122" s="189" t="s">
        <v>1495</v>
      </c>
      <c r="F122" s="399"/>
      <c r="G122" s="28"/>
      <c r="H122" s="29"/>
    </row>
    <row r="123" spans="1:8" ht="12.75" customHeight="1">
      <c r="A123" s="69"/>
      <c r="B123" s="85"/>
      <c r="C123" s="56"/>
      <c r="D123" s="104"/>
      <c r="E123" s="189" t="s">
        <v>1496</v>
      </c>
      <c r="F123" s="399">
        <f>0.5*450</f>
        <v>225</v>
      </c>
      <c r="G123" s="28"/>
      <c r="H123" s="29"/>
    </row>
    <row r="124" spans="1:8" ht="25.5">
      <c r="A124" s="69">
        <f>MAX(A$2:A119)+1</f>
        <v>20</v>
      </c>
      <c r="B124" s="87" t="s">
        <v>136</v>
      </c>
      <c r="C124" s="51" t="s">
        <v>141</v>
      </c>
      <c r="D124" s="52"/>
      <c r="E124" s="53" t="s">
        <v>142</v>
      </c>
      <c r="F124" s="75"/>
      <c r="G124" s="76" t="s">
        <v>44</v>
      </c>
      <c r="H124" s="21">
        <f>H125</f>
        <v>1584</v>
      </c>
    </row>
    <row r="125" spans="1:8" ht="25.5">
      <c r="A125" s="69"/>
      <c r="B125" s="85"/>
      <c r="C125" s="102"/>
      <c r="D125" s="79" t="s">
        <v>537</v>
      </c>
      <c r="E125" s="91" t="s">
        <v>538</v>
      </c>
      <c r="F125" s="92"/>
      <c r="G125" s="83" t="s">
        <v>44</v>
      </c>
      <c r="H125" s="29">
        <f>ROUND(F132,2)</f>
        <v>1584</v>
      </c>
    </row>
    <row r="126" spans="1:8">
      <c r="A126" s="69"/>
      <c r="B126" s="85"/>
      <c r="C126" s="102"/>
      <c r="D126" s="84"/>
      <c r="E126" s="31" t="s">
        <v>539</v>
      </c>
      <c r="F126" s="109">
        <v>450</v>
      </c>
      <c r="G126" s="83"/>
      <c r="H126" s="29"/>
    </row>
    <row r="127" spans="1:8">
      <c r="A127" s="69"/>
      <c r="B127" s="85"/>
      <c r="C127" s="102"/>
      <c r="D127" s="84"/>
      <c r="E127" s="189" t="s">
        <v>1497</v>
      </c>
      <c r="F127" s="400">
        <v>450</v>
      </c>
      <c r="G127" s="83"/>
      <c r="H127" s="29"/>
    </row>
    <row r="128" spans="1:8" ht="25.5">
      <c r="A128" s="69"/>
      <c r="B128" s="85"/>
      <c r="C128" s="56"/>
      <c r="D128" s="104"/>
      <c r="E128" s="111" t="s">
        <v>540</v>
      </c>
      <c r="F128" s="58">
        <v>202</v>
      </c>
      <c r="G128" s="28"/>
      <c r="H128" s="29"/>
    </row>
    <row r="129" spans="1:8" ht="25.5">
      <c r="A129" s="69"/>
      <c r="B129" s="85"/>
      <c r="C129" s="56"/>
      <c r="D129" s="104"/>
      <c r="E129" s="31" t="s">
        <v>541</v>
      </c>
      <c r="F129" s="58">
        <v>140</v>
      </c>
      <c r="G129" s="28"/>
      <c r="H129" s="29"/>
    </row>
    <row r="130" spans="1:8" ht="12.75" customHeight="1">
      <c r="A130" s="69"/>
      <c r="B130" s="85"/>
      <c r="C130" s="102"/>
      <c r="D130" s="84"/>
      <c r="E130" s="31" t="s">
        <v>542</v>
      </c>
      <c r="F130" s="109">
        <v>202</v>
      </c>
      <c r="G130" s="83"/>
      <c r="H130" s="29"/>
    </row>
    <row r="131" spans="1:8">
      <c r="A131" s="69"/>
      <c r="B131" s="85"/>
      <c r="C131" s="56"/>
      <c r="D131" s="104"/>
      <c r="E131" s="31" t="s">
        <v>543</v>
      </c>
      <c r="F131" s="112">
        <v>140</v>
      </c>
      <c r="G131" s="28"/>
      <c r="H131" s="29"/>
    </row>
    <row r="132" spans="1:8" ht="12.75" customHeight="1">
      <c r="A132" s="69"/>
      <c r="B132" s="85"/>
      <c r="C132" s="56"/>
      <c r="D132" s="104"/>
      <c r="E132" s="44" t="s">
        <v>411</v>
      </c>
      <c r="F132" s="58">
        <f>SUM(F126:F131)</f>
        <v>1584</v>
      </c>
      <c r="G132" s="28"/>
      <c r="H132" s="29"/>
    </row>
    <row r="133" spans="1:8" ht="12.75" customHeight="1">
      <c r="A133" s="69">
        <f>MAX(A$2:A132)+1</f>
        <v>21</v>
      </c>
      <c r="B133" s="87" t="s">
        <v>136</v>
      </c>
      <c r="C133" s="51" t="s">
        <v>143</v>
      </c>
      <c r="D133" s="52"/>
      <c r="E133" s="53" t="s">
        <v>144</v>
      </c>
      <c r="F133" s="75"/>
      <c r="G133" s="76" t="s">
        <v>44</v>
      </c>
      <c r="H133" s="21">
        <f>H134</f>
        <v>793</v>
      </c>
    </row>
    <row r="134" spans="1:8" ht="12.75" customHeight="1">
      <c r="A134" s="69"/>
      <c r="B134" s="85"/>
      <c r="C134" s="102"/>
      <c r="D134" s="79" t="s">
        <v>544</v>
      </c>
      <c r="E134" s="91" t="s">
        <v>545</v>
      </c>
      <c r="F134" s="92"/>
      <c r="G134" s="83" t="s">
        <v>44</v>
      </c>
      <c r="H134" s="29">
        <f>ROUND(F139,2)</f>
        <v>793</v>
      </c>
    </row>
    <row r="135" spans="1:8">
      <c r="A135" s="69"/>
      <c r="B135" s="85"/>
      <c r="C135" s="102"/>
      <c r="D135" s="79"/>
      <c r="E135" s="31" t="s">
        <v>539</v>
      </c>
      <c r="F135" s="113">
        <v>450</v>
      </c>
      <c r="G135" s="83"/>
      <c r="H135" s="29"/>
    </row>
    <row r="136" spans="1:8" ht="12.75" customHeight="1">
      <c r="A136" s="69"/>
      <c r="B136" s="85"/>
      <c r="C136" s="102"/>
      <c r="D136" s="79"/>
      <c r="E136" s="31" t="s">
        <v>546</v>
      </c>
      <c r="F136" s="113">
        <v>202</v>
      </c>
      <c r="G136" s="83"/>
      <c r="H136" s="29"/>
    </row>
    <row r="137" spans="1:8" ht="25.5">
      <c r="A137" s="69"/>
      <c r="B137" s="85"/>
      <c r="C137" s="102"/>
      <c r="D137" s="79"/>
      <c r="E137" s="31" t="s">
        <v>547</v>
      </c>
      <c r="F137" s="113">
        <v>140</v>
      </c>
      <c r="G137" s="83"/>
      <c r="H137" s="29"/>
    </row>
    <row r="138" spans="1:8">
      <c r="A138" s="69"/>
      <c r="B138" s="85"/>
      <c r="C138" s="102"/>
      <c r="D138" s="79"/>
      <c r="E138" s="31" t="s">
        <v>548</v>
      </c>
      <c r="F138" s="112">
        <v>1</v>
      </c>
      <c r="G138" s="83"/>
      <c r="H138" s="29"/>
    </row>
    <row r="139" spans="1:8" ht="12.75" customHeight="1">
      <c r="A139" s="69"/>
      <c r="B139" s="85"/>
      <c r="C139" s="102"/>
      <c r="D139" s="79"/>
      <c r="E139" s="44" t="s">
        <v>411</v>
      </c>
      <c r="F139" s="113">
        <f>SUM(F135:F138)</f>
        <v>793</v>
      </c>
      <c r="G139" s="83"/>
      <c r="H139" s="29"/>
    </row>
    <row r="140" spans="1:8">
      <c r="A140" s="69"/>
      <c r="B140" s="71" t="s">
        <v>146</v>
      </c>
      <c r="C140" s="56"/>
      <c r="D140" s="59"/>
      <c r="E140" s="13" t="s">
        <v>549</v>
      </c>
      <c r="F140" s="54"/>
      <c r="G140" s="25"/>
      <c r="H140" s="21"/>
    </row>
    <row r="141" spans="1:8" ht="12.75">
      <c r="A141" s="69">
        <f>MAX(A$2:A140)+1</f>
        <v>22</v>
      </c>
      <c r="B141" s="114" t="s">
        <v>146</v>
      </c>
      <c r="C141" s="107" t="s">
        <v>121</v>
      </c>
      <c r="D141" s="59"/>
      <c r="E141" s="12" t="s">
        <v>147</v>
      </c>
      <c r="F141" s="73"/>
      <c r="G141" s="74" t="s">
        <v>33</v>
      </c>
      <c r="H141" s="21">
        <f>(+H142)</f>
        <v>396</v>
      </c>
    </row>
    <row r="142" spans="1:8" ht="25.5">
      <c r="A142" s="69"/>
      <c r="B142" s="89"/>
      <c r="C142" s="102"/>
      <c r="D142" s="79" t="s">
        <v>550</v>
      </c>
      <c r="E142" s="91" t="s">
        <v>551</v>
      </c>
      <c r="F142" s="92"/>
      <c r="G142" s="83" t="s">
        <v>33</v>
      </c>
      <c r="H142" s="29">
        <f>ROUND(F146,2)</f>
        <v>396</v>
      </c>
    </row>
    <row r="143" spans="1:8">
      <c r="A143" s="69"/>
      <c r="B143" s="85"/>
      <c r="C143" s="60"/>
      <c r="D143" s="61"/>
      <c r="E143" s="31" t="s">
        <v>552</v>
      </c>
      <c r="F143" s="109">
        <f>F116</f>
        <v>225</v>
      </c>
      <c r="G143" s="94"/>
      <c r="H143" s="29"/>
    </row>
    <row r="144" spans="1:8" ht="25.5">
      <c r="A144" s="69"/>
      <c r="B144" s="85"/>
      <c r="C144" s="60"/>
      <c r="D144" s="61"/>
      <c r="E144" s="31" t="s">
        <v>553</v>
      </c>
      <c r="F144" s="109">
        <f>F117</f>
        <v>101</v>
      </c>
      <c r="G144" s="94"/>
      <c r="H144" s="29"/>
    </row>
    <row r="145" spans="1:8" ht="25.5">
      <c r="A145" s="69"/>
      <c r="B145" s="85"/>
      <c r="C145" s="60"/>
      <c r="D145" s="61"/>
      <c r="E145" s="31" t="s">
        <v>554</v>
      </c>
      <c r="F145" s="110">
        <f>F118</f>
        <v>70</v>
      </c>
      <c r="G145" s="28"/>
      <c r="H145" s="29"/>
    </row>
    <row r="146" spans="1:8">
      <c r="A146" s="69"/>
      <c r="B146" s="85"/>
      <c r="C146" s="60"/>
      <c r="D146" s="61"/>
      <c r="E146" s="44" t="s">
        <v>411</v>
      </c>
      <c r="F146" s="58">
        <f>SUM(F143:F145)</f>
        <v>396</v>
      </c>
      <c r="G146" s="28"/>
      <c r="H146" s="29"/>
    </row>
    <row r="147" spans="1:8" ht="31.5">
      <c r="A147" s="69"/>
      <c r="B147" s="71" t="s">
        <v>219</v>
      </c>
      <c r="C147" s="56"/>
      <c r="D147" s="59"/>
      <c r="E147" s="13" t="s">
        <v>555</v>
      </c>
      <c r="F147" s="54" t="s">
        <v>556</v>
      </c>
      <c r="G147" s="25"/>
      <c r="H147" s="21"/>
    </row>
    <row r="148" spans="1:8" ht="12.75">
      <c r="A148" s="69">
        <f>MAX(A$2:A147)+1</f>
        <v>23</v>
      </c>
      <c r="B148" s="114" t="s">
        <v>219</v>
      </c>
      <c r="C148" s="51" t="s">
        <v>220</v>
      </c>
      <c r="D148" s="52"/>
      <c r="E148" s="53" t="s">
        <v>221</v>
      </c>
      <c r="F148" s="75"/>
      <c r="G148" s="76" t="s">
        <v>33</v>
      </c>
      <c r="H148" s="21">
        <f>H149</f>
        <v>0.2</v>
      </c>
    </row>
    <row r="149" spans="1:8" s="98" customFormat="1" ht="12.75">
      <c r="A149" s="115"/>
      <c r="B149" s="116"/>
      <c r="C149" s="79"/>
      <c r="D149" s="79" t="s">
        <v>220</v>
      </c>
      <c r="E149" s="91" t="s">
        <v>221</v>
      </c>
      <c r="F149" s="92"/>
      <c r="G149" s="83" t="s">
        <v>33</v>
      </c>
      <c r="H149" s="29">
        <f>F151</f>
        <v>0.2</v>
      </c>
    </row>
    <row r="150" spans="1:8" ht="25.5">
      <c r="A150" s="69"/>
      <c r="B150" s="85"/>
      <c r="C150" s="60"/>
      <c r="D150" s="61"/>
      <c r="E150" s="31" t="s">
        <v>557</v>
      </c>
      <c r="F150" s="58"/>
      <c r="G150" s="28"/>
      <c r="H150" s="29"/>
    </row>
    <row r="151" spans="1:8">
      <c r="A151" s="69"/>
      <c r="B151" s="85"/>
      <c r="C151" s="60"/>
      <c r="D151" s="61"/>
      <c r="E151" s="31" t="s">
        <v>558</v>
      </c>
      <c r="F151" s="58">
        <f>0.2*0.25*2*2</f>
        <v>0.2</v>
      </c>
      <c r="G151" s="28"/>
      <c r="H151" s="29"/>
    </row>
    <row r="152" spans="1:8" ht="31.5">
      <c r="A152" s="69"/>
      <c r="B152" s="71" t="s">
        <v>227</v>
      </c>
      <c r="C152" s="60"/>
      <c r="D152" s="72"/>
      <c r="E152" s="13" t="s">
        <v>559</v>
      </c>
      <c r="F152" s="54"/>
      <c r="G152" s="25"/>
      <c r="H152" s="21"/>
    </row>
    <row r="153" spans="1:8" ht="25.5">
      <c r="A153" s="69">
        <f>MAX(A$2:A152)+1</f>
        <v>24</v>
      </c>
      <c r="B153" s="114" t="s">
        <v>227</v>
      </c>
      <c r="C153" s="51" t="s">
        <v>228</v>
      </c>
      <c r="D153" s="88"/>
      <c r="E153" s="53" t="s">
        <v>229</v>
      </c>
      <c r="F153" s="53"/>
      <c r="G153" s="76" t="s">
        <v>33</v>
      </c>
      <c r="H153" s="21">
        <f>(+H154)</f>
        <v>0.7</v>
      </c>
    </row>
    <row r="154" spans="1:8" ht="38.25">
      <c r="A154" s="69"/>
      <c r="B154" s="89"/>
      <c r="C154" s="102"/>
      <c r="D154" s="79" t="s">
        <v>560</v>
      </c>
      <c r="E154" s="91" t="s">
        <v>561</v>
      </c>
      <c r="F154" s="92"/>
      <c r="G154" s="83" t="s">
        <v>33</v>
      </c>
      <c r="H154" s="29">
        <f>ROUND(F157,2)</f>
        <v>0.7</v>
      </c>
    </row>
    <row r="155" spans="1:8" ht="25.5">
      <c r="A155" s="69"/>
      <c r="B155" s="71"/>
      <c r="C155" s="60"/>
      <c r="D155" s="61"/>
      <c r="E155" s="31" t="s">
        <v>562</v>
      </c>
      <c r="F155" s="117">
        <v>0.5</v>
      </c>
      <c r="G155" s="25"/>
      <c r="H155" s="21"/>
    </row>
    <row r="156" spans="1:8" ht="25.5">
      <c r="A156" s="69"/>
      <c r="B156" s="71"/>
      <c r="C156" s="60"/>
      <c r="D156" s="61"/>
      <c r="E156" s="31" t="s">
        <v>563</v>
      </c>
      <c r="F156" s="55">
        <v>0.2</v>
      </c>
      <c r="G156" s="25"/>
      <c r="H156" s="21"/>
    </row>
    <row r="157" spans="1:8">
      <c r="A157" s="69"/>
      <c r="B157" s="71"/>
      <c r="C157" s="60"/>
      <c r="D157" s="61"/>
      <c r="E157" s="31"/>
      <c r="F157" s="58">
        <f>SUM(F155:F156)</f>
        <v>0.7</v>
      </c>
      <c r="G157" s="25"/>
      <c r="H157" s="21"/>
    </row>
    <row r="158" spans="1:8" ht="25.5" customHeight="1">
      <c r="A158" s="69">
        <f>MAX(A$2:A155)+1</f>
        <v>25</v>
      </c>
      <c r="B158" s="114" t="s">
        <v>227</v>
      </c>
      <c r="C158" s="51" t="s">
        <v>230</v>
      </c>
      <c r="D158" s="88"/>
      <c r="E158" s="53" t="s">
        <v>231</v>
      </c>
      <c r="F158" s="53"/>
      <c r="G158" s="76" t="s">
        <v>44</v>
      </c>
      <c r="H158" s="21">
        <f>H159</f>
        <v>6640</v>
      </c>
    </row>
    <row r="159" spans="1:8" ht="25.5">
      <c r="A159" s="69"/>
      <c r="B159" s="85"/>
      <c r="C159" s="102"/>
      <c r="D159" s="84" t="s">
        <v>564</v>
      </c>
      <c r="E159" s="91" t="s">
        <v>565</v>
      </c>
      <c r="F159" s="91"/>
      <c r="G159" s="83" t="s">
        <v>44</v>
      </c>
      <c r="H159" s="29">
        <f>ROUND(F164,2)</f>
        <v>6640</v>
      </c>
    </row>
    <row r="160" spans="1:8" ht="12.75" customHeight="1">
      <c r="A160" s="69"/>
      <c r="B160" s="85"/>
      <c r="C160" s="60"/>
      <c r="D160" s="61"/>
      <c r="E160" s="31" t="s">
        <v>566</v>
      </c>
      <c r="F160" s="50"/>
      <c r="G160" s="94"/>
      <c r="H160" s="29"/>
    </row>
    <row r="161" spans="1:8" ht="12.75" customHeight="1">
      <c r="A161" s="69"/>
      <c r="B161" s="85"/>
      <c r="C161" s="60"/>
      <c r="D161" s="61"/>
      <c r="E161" s="31" t="s">
        <v>567</v>
      </c>
      <c r="F161" s="50">
        <f xml:space="preserve"> 510+510</f>
        <v>1020</v>
      </c>
      <c r="G161" s="94"/>
      <c r="H161" s="29"/>
    </row>
    <row r="162" spans="1:8" ht="12.75" customHeight="1">
      <c r="A162" s="69"/>
      <c r="B162" s="85"/>
      <c r="C162" s="60"/>
      <c r="D162" s="61"/>
      <c r="E162" s="31" t="s">
        <v>568</v>
      </c>
      <c r="F162" s="50">
        <f>1524+1514</f>
        <v>3038</v>
      </c>
      <c r="G162" s="94"/>
      <c r="H162" s="29"/>
    </row>
    <row r="163" spans="1:8" ht="12.75" customHeight="1">
      <c r="A163" s="69"/>
      <c r="B163" s="85"/>
      <c r="C163" s="60"/>
      <c r="D163" s="61"/>
      <c r="E163" s="31" t="s">
        <v>569</v>
      </c>
      <c r="F163" s="55">
        <v>2582</v>
      </c>
      <c r="G163" s="94"/>
      <c r="H163" s="29"/>
    </row>
    <row r="164" spans="1:8" ht="12.75" customHeight="1">
      <c r="A164" s="69"/>
      <c r="B164" s="85"/>
      <c r="C164" s="60"/>
      <c r="D164" s="61"/>
      <c r="E164" s="44" t="s">
        <v>411</v>
      </c>
      <c r="F164" s="50">
        <f>SUM(F161:F163)</f>
        <v>6640</v>
      </c>
      <c r="G164" s="94"/>
      <c r="H164" s="29"/>
    </row>
    <row r="165" spans="1:8" ht="25.5" customHeight="1">
      <c r="A165" s="69">
        <f>MAX(A$2:A164)+1</f>
        <v>26</v>
      </c>
      <c r="B165" s="114" t="s">
        <v>227</v>
      </c>
      <c r="C165" s="51" t="s">
        <v>234</v>
      </c>
      <c r="D165" s="88"/>
      <c r="E165" s="53" t="s">
        <v>235</v>
      </c>
      <c r="F165" s="118"/>
      <c r="G165" s="119" t="s">
        <v>33</v>
      </c>
      <c r="H165" s="21">
        <f>H166+H169</f>
        <v>212.76000000000002</v>
      </c>
    </row>
    <row r="166" spans="1:8" ht="25.5">
      <c r="A166" s="69"/>
      <c r="B166" s="89"/>
      <c r="C166" s="102"/>
      <c r="D166" s="84" t="s">
        <v>570</v>
      </c>
      <c r="E166" s="91" t="s">
        <v>571</v>
      </c>
      <c r="F166" s="108"/>
      <c r="G166" s="96" t="s">
        <v>33</v>
      </c>
      <c r="H166" s="29">
        <f>ROUND(F168,2)</f>
        <v>45.9</v>
      </c>
    </row>
    <row r="167" spans="1:8" ht="12.75" customHeight="1">
      <c r="A167" s="69"/>
      <c r="B167" s="85"/>
      <c r="C167" s="86"/>
      <c r="D167" s="61"/>
      <c r="E167" s="31" t="s">
        <v>572</v>
      </c>
      <c r="F167" s="50"/>
      <c r="G167" s="94"/>
      <c r="H167" s="29"/>
    </row>
    <row r="168" spans="1:8" ht="12.75" customHeight="1">
      <c r="A168" s="69"/>
      <c r="B168" s="85"/>
      <c r="C168" s="86"/>
      <c r="D168" s="61"/>
      <c r="E168" s="31" t="s">
        <v>573</v>
      </c>
      <c r="F168" s="50">
        <f>510*0.09</f>
        <v>45.9</v>
      </c>
      <c r="G168" s="94"/>
      <c r="H168" s="29"/>
    </row>
    <row r="169" spans="1:8" ht="25.5">
      <c r="A169" s="69"/>
      <c r="B169" s="85"/>
      <c r="C169" s="86"/>
      <c r="D169" s="79" t="s">
        <v>574</v>
      </c>
      <c r="E169" s="91" t="s">
        <v>575</v>
      </c>
      <c r="F169" s="92"/>
      <c r="G169" s="83" t="s">
        <v>33</v>
      </c>
      <c r="H169" s="29">
        <f>ROUND(F173,2)</f>
        <v>166.86</v>
      </c>
    </row>
    <row r="170" spans="1:8" ht="12.75" customHeight="1">
      <c r="A170" s="69"/>
      <c r="B170" s="85"/>
      <c r="C170" s="86"/>
      <c r="D170" s="61"/>
      <c r="E170" s="31" t="s">
        <v>576</v>
      </c>
      <c r="F170" s="50"/>
      <c r="G170" s="94"/>
      <c r="H170" s="29"/>
    </row>
    <row r="171" spans="1:8" ht="12.75" customHeight="1">
      <c r="A171" s="69"/>
      <c r="B171" s="85"/>
      <c r="C171" s="86"/>
      <c r="D171" s="61"/>
      <c r="E171" s="31" t="s">
        <v>577</v>
      </c>
      <c r="F171" s="50">
        <f>510*0.06</f>
        <v>30.599999999999998</v>
      </c>
      <c r="G171" s="94"/>
      <c r="H171" s="29"/>
    </row>
    <row r="172" spans="1:8" ht="12.75" customHeight="1">
      <c r="A172" s="69"/>
      <c r="B172" s="85"/>
      <c r="C172" s="86"/>
      <c r="D172" s="61"/>
      <c r="E172" s="31" t="s">
        <v>578</v>
      </c>
      <c r="F172" s="55">
        <f>1514*0.09</f>
        <v>136.26</v>
      </c>
      <c r="G172" s="94"/>
      <c r="H172" s="29"/>
    </row>
    <row r="173" spans="1:8" ht="12.75" customHeight="1">
      <c r="A173" s="69"/>
      <c r="B173" s="85"/>
      <c r="C173" s="86"/>
      <c r="D173" s="61"/>
      <c r="E173" s="44" t="s">
        <v>411</v>
      </c>
      <c r="F173" s="50">
        <f>SUM(F171:F172)</f>
        <v>166.85999999999999</v>
      </c>
      <c r="G173" s="94"/>
      <c r="H173" s="29"/>
    </row>
    <row r="174" spans="1:8" ht="25.5">
      <c r="A174" s="69">
        <f>MAX(A$2:A173)+1</f>
        <v>27</v>
      </c>
      <c r="B174" s="114" t="s">
        <v>227</v>
      </c>
      <c r="C174" s="51" t="s">
        <v>236</v>
      </c>
      <c r="D174" s="88"/>
      <c r="E174" s="53" t="s">
        <v>237</v>
      </c>
      <c r="F174" s="53"/>
      <c r="G174" s="76" t="s">
        <v>33</v>
      </c>
      <c r="H174" s="21">
        <f>H175</f>
        <v>184.64</v>
      </c>
    </row>
    <row r="175" spans="1:8" ht="25.5">
      <c r="A175" s="69"/>
      <c r="B175" s="85"/>
      <c r="C175" s="95"/>
      <c r="D175" s="84" t="s">
        <v>579</v>
      </c>
      <c r="E175" s="91" t="s">
        <v>580</v>
      </c>
      <c r="F175" s="91"/>
      <c r="G175" s="83" t="s">
        <v>33</v>
      </c>
      <c r="H175" s="29">
        <f>ROUND(F180,2)</f>
        <v>184.64</v>
      </c>
    </row>
    <row r="176" spans="1:8" ht="12.75" customHeight="1">
      <c r="A176" s="69"/>
      <c r="B176" s="85"/>
      <c r="C176" s="60"/>
      <c r="D176" s="61"/>
      <c r="E176" s="31" t="s">
        <v>581</v>
      </c>
      <c r="F176" s="58"/>
      <c r="G176" s="28"/>
      <c r="H176" s="29"/>
    </row>
    <row r="177" spans="1:8" ht="12.75" customHeight="1">
      <c r="A177" s="69"/>
      <c r="B177" s="85"/>
      <c r="C177" s="60"/>
      <c r="D177" s="61"/>
      <c r="E177" s="31" t="s">
        <v>582</v>
      </c>
      <c r="F177" s="58">
        <f xml:space="preserve"> 510*0.04</f>
        <v>20.400000000000002</v>
      </c>
      <c r="G177" s="28"/>
      <c r="H177" s="29"/>
    </row>
    <row r="178" spans="1:8" ht="12.75" customHeight="1">
      <c r="A178" s="69"/>
      <c r="B178" s="85"/>
      <c r="C178" s="60"/>
      <c r="D178" s="61"/>
      <c r="E178" s="31" t="s">
        <v>583</v>
      </c>
      <c r="F178" s="58">
        <f>1524*0.04</f>
        <v>60.96</v>
      </c>
      <c r="G178" s="28"/>
      <c r="H178" s="29"/>
    </row>
    <row r="179" spans="1:8" ht="12.75" customHeight="1">
      <c r="A179" s="69"/>
      <c r="B179" s="85"/>
      <c r="C179" s="60"/>
      <c r="D179" s="61"/>
      <c r="E179" s="31" t="s">
        <v>584</v>
      </c>
      <c r="F179" s="55">
        <f>2582*0.04</f>
        <v>103.28</v>
      </c>
      <c r="G179" s="28"/>
      <c r="H179" s="29"/>
    </row>
    <row r="180" spans="1:8" ht="12.75" customHeight="1">
      <c r="A180" s="69"/>
      <c r="B180" s="85"/>
      <c r="C180" s="60"/>
      <c r="D180" s="61"/>
      <c r="E180" s="44" t="s">
        <v>421</v>
      </c>
      <c r="F180" s="58">
        <f>SUM(F177:F179)</f>
        <v>184.64</v>
      </c>
      <c r="G180" s="28"/>
      <c r="H180" s="29"/>
    </row>
    <row r="181" spans="1:8" ht="25.5">
      <c r="A181" s="69">
        <f>MAX(A$2:A180)+1</f>
        <v>28</v>
      </c>
      <c r="B181" s="114" t="s">
        <v>227</v>
      </c>
      <c r="C181" s="51" t="s">
        <v>242</v>
      </c>
      <c r="D181" s="52"/>
      <c r="E181" s="53" t="s">
        <v>243</v>
      </c>
      <c r="F181" s="75"/>
      <c r="G181" s="76" t="s">
        <v>51</v>
      </c>
      <c r="H181" s="21">
        <f>H182</f>
        <v>608</v>
      </c>
    </row>
    <row r="182" spans="1:8" ht="25.5">
      <c r="A182" s="69"/>
      <c r="B182" s="85"/>
      <c r="C182" s="60"/>
      <c r="D182" s="79" t="s">
        <v>585</v>
      </c>
      <c r="E182" s="91" t="s">
        <v>586</v>
      </c>
      <c r="F182" s="92"/>
      <c r="G182" s="83" t="s">
        <v>51</v>
      </c>
      <c r="H182" s="29">
        <f>ROUND(F191,2)</f>
        <v>608</v>
      </c>
    </row>
    <row r="183" spans="1:8">
      <c r="A183" s="69"/>
      <c r="B183" s="85"/>
      <c r="C183" s="60"/>
      <c r="D183" s="84"/>
      <c r="E183" s="31" t="s">
        <v>507</v>
      </c>
      <c r="F183" s="92"/>
      <c r="G183" s="83"/>
      <c r="H183" s="29"/>
    </row>
    <row r="184" spans="1:8" ht="25.5">
      <c r="A184" s="69"/>
      <c r="B184" s="85"/>
      <c r="C184" s="60"/>
      <c r="D184" s="84"/>
      <c r="E184" s="31" t="s">
        <v>587</v>
      </c>
      <c r="F184" s="50">
        <v>326</v>
      </c>
      <c r="G184" s="83"/>
      <c r="H184" s="29"/>
    </row>
    <row r="185" spans="1:8">
      <c r="A185" s="69"/>
      <c r="B185" s="85"/>
      <c r="C185" s="60"/>
      <c r="D185" s="84"/>
      <c r="E185" s="31" t="s">
        <v>588</v>
      </c>
      <c r="F185" s="55">
        <v>60</v>
      </c>
      <c r="G185" s="83"/>
      <c r="H185" s="29"/>
    </row>
    <row r="186" spans="1:8" ht="12.75" customHeight="1">
      <c r="A186" s="69"/>
      <c r="B186" s="85"/>
      <c r="C186" s="60"/>
      <c r="D186" s="61"/>
      <c r="E186" s="44" t="s">
        <v>421</v>
      </c>
      <c r="F186" s="58">
        <f>SUM(F184:F185)</f>
        <v>386</v>
      </c>
      <c r="G186" s="28"/>
      <c r="H186" s="29"/>
    </row>
    <row r="187" spans="1:8" ht="12.75" customHeight="1">
      <c r="A187" s="69"/>
      <c r="B187" s="85"/>
      <c r="C187" s="60"/>
      <c r="D187" s="61"/>
      <c r="E187" s="31" t="s">
        <v>510</v>
      </c>
      <c r="F187" s="58"/>
      <c r="G187" s="28"/>
      <c r="H187" s="29"/>
    </row>
    <row r="188" spans="1:8" ht="25.5">
      <c r="A188" s="69"/>
      <c r="B188" s="85"/>
      <c r="C188" s="60"/>
      <c r="D188" s="61"/>
      <c r="E188" s="31" t="s">
        <v>589</v>
      </c>
      <c r="F188" s="58">
        <v>220</v>
      </c>
      <c r="G188" s="28"/>
      <c r="H188" s="29"/>
    </row>
    <row r="189" spans="1:8" ht="25.5">
      <c r="A189" s="69"/>
      <c r="B189" s="85"/>
      <c r="C189" s="60"/>
      <c r="D189" s="61"/>
      <c r="E189" s="31" t="s">
        <v>590</v>
      </c>
      <c r="F189" s="55">
        <v>2</v>
      </c>
      <c r="G189" s="28"/>
      <c r="H189" s="29"/>
    </row>
    <row r="190" spans="1:8" ht="12.75" customHeight="1">
      <c r="A190" s="69"/>
      <c r="B190" s="85"/>
      <c r="C190" s="60"/>
      <c r="D190" s="61"/>
      <c r="E190" s="44" t="s">
        <v>421</v>
      </c>
      <c r="F190" s="58">
        <f>SUM(F188:F189)</f>
        <v>222</v>
      </c>
      <c r="G190" s="28"/>
      <c r="H190" s="29"/>
    </row>
    <row r="191" spans="1:8" ht="12.75" customHeight="1">
      <c r="A191" s="69"/>
      <c r="B191" s="85"/>
      <c r="C191" s="60"/>
      <c r="D191" s="61"/>
      <c r="E191" s="44" t="s">
        <v>411</v>
      </c>
      <c r="F191" s="58">
        <f>F186+F190</f>
        <v>608</v>
      </c>
      <c r="G191" s="28"/>
      <c r="H191" s="29"/>
    </row>
    <row r="192" spans="1:8" ht="12.75" customHeight="1">
      <c r="A192" s="69">
        <f>MAX(A$2:A186)+1</f>
        <v>29</v>
      </c>
      <c r="B192" s="114" t="s">
        <v>227</v>
      </c>
      <c r="C192" s="51" t="s">
        <v>250</v>
      </c>
      <c r="D192" s="52"/>
      <c r="E192" s="53" t="s">
        <v>251</v>
      </c>
      <c r="F192" s="75"/>
      <c r="G192" s="76" t="s">
        <v>51</v>
      </c>
      <c r="H192" s="21">
        <f>H193</f>
        <v>164</v>
      </c>
    </row>
    <row r="193" spans="1:8" ht="12.75" customHeight="1">
      <c r="A193" s="69"/>
      <c r="B193" s="120"/>
      <c r="C193" s="52"/>
      <c r="D193" s="79" t="s">
        <v>591</v>
      </c>
      <c r="E193" s="91" t="s">
        <v>592</v>
      </c>
      <c r="F193" s="92"/>
      <c r="G193" s="83" t="s">
        <v>51</v>
      </c>
      <c r="H193" s="29">
        <f>ROUND(F201,2)</f>
        <v>164</v>
      </c>
    </row>
    <row r="194" spans="1:8" ht="12.75" customHeight="1">
      <c r="A194" s="69"/>
      <c r="B194" s="120"/>
      <c r="C194" s="52"/>
      <c r="D194" s="84"/>
      <c r="E194" s="31" t="s">
        <v>593</v>
      </c>
      <c r="F194" s="92"/>
      <c r="G194" s="83"/>
      <c r="H194" s="29"/>
    </row>
    <row r="195" spans="1:8" ht="12.75" customHeight="1">
      <c r="A195" s="69"/>
      <c r="B195" s="85"/>
      <c r="C195" s="60"/>
      <c r="D195" s="61"/>
      <c r="E195" s="31" t="s">
        <v>470</v>
      </c>
      <c r="F195" s="58"/>
      <c r="G195" s="28"/>
      <c r="H195" s="29"/>
    </row>
    <row r="196" spans="1:8" ht="25.5">
      <c r="A196" s="69"/>
      <c r="B196" s="85"/>
      <c r="C196" s="60"/>
      <c r="D196" s="61"/>
      <c r="E196" s="31" t="s">
        <v>594</v>
      </c>
      <c r="F196" s="58">
        <v>72</v>
      </c>
      <c r="G196" s="28"/>
      <c r="H196" s="29"/>
    </row>
    <row r="197" spans="1:8" ht="12.75" customHeight="1">
      <c r="A197" s="69"/>
      <c r="B197" s="85"/>
      <c r="C197" s="60"/>
      <c r="D197" s="61"/>
      <c r="E197" s="31" t="s">
        <v>595</v>
      </c>
      <c r="F197" s="58">
        <v>8</v>
      </c>
      <c r="G197" s="28"/>
      <c r="H197" s="29"/>
    </row>
    <row r="198" spans="1:8" ht="12.75" customHeight="1">
      <c r="A198" s="69"/>
      <c r="B198" s="85"/>
      <c r="C198" s="60"/>
      <c r="D198" s="61"/>
      <c r="E198" s="31" t="s">
        <v>471</v>
      </c>
      <c r="F198" s="58"/>
      <c r="G198" s="28"/>
      <c r="H198" s="29"/>
    </row>
    <row r="199" spans="1:8" ht="12.75" customHeight="1">
      <c r="A199" s="69"/>
      <c r="B199" s="85"/>
      <c r="C199" s="60"/>
      <c r="D199" s="61"/>
      <c r="E199" s="31" t="s">
        <v>596</v>
      </c>
      <c r="F199" s="58">
        <v>76</v>
      </c>
      <c r="G199" s="28"/>
      <c r="H199" s="29"/>
    </row>
    <row r="200" spans="1:8" ht="12.75" customHeight="1">
      <c r="A200" s="69"/>
      <c r="B200" s="85"/>
      <c r="C200" s="60"/>
      <c r="D200" s="61"/>
      <c r="E200" s="31" t="s">
        <v>595</v>
      </c>
      <c r="F200" s="55">
        <v>8</v>
      </c>
      <c r="G200" s="28"/>
      <c r="H200" s="29"/>
    </row>
    <row r="201" spans="1:8" ht="12.75" customHeight="1">
      <c r="A201" s="69"/>
      <c r="B201" s="85"/>
      <c r="C201" s="60"/>
      <c r="D201" s="61"/>
      <c r="E201" s="44" t="s">
        <v>411</v>
      </c>
      <c r="F201" s="58">
        <f>SUM(F196:F200)</f>
        <v>164</v>
      </c>
      <c r="G201" s="28"/>
      <c r="H201" s="29"/>
    </row>
    <row r="202" spans="1:8" ht="25.5">
      <c r="A202" s="69">
        <f>MAX(A$2:A201)+1</f>
        <v>30</v>
      </c>
      <c r="B202" s="114" t="s">
        <v>227</v>
      </c>
      <c r="C202" s="51" t="s">
        <v>252</v>
      </c>
      <c r="D202" s="52"/>
      <c r="E202" s="53" t="s">
        <v>253</v>
      </c>
      <c r="F202" s="75"/>
      <c r="G202" s="76" t="s">
        <v>51</v>
      </c>
      <c r="H202" s="21">
        <f>H203</f>
        <v>164</v>
      </c>
    </row>
    <row r="203" spans="1:8" ht="12.75" customHeight="1">
      <c r="A203" s="69"/>
      <c r="B203" s="120"/>
      <c r="C203" s="52"/>
      <c r="D203" s="79" t="s">
        <v>252</v>
      </c>
      <c r="E203" s="91" t="s">
        <v>253</v>
      </c>
      <c r="F203" s="92"/>
      <c r="G203" s="83" t="s">
        <v>51</v>
      </c>
      <c r="H203" s="29">
        <f>ROUND(F218,2)</f>
        <v>164</v>
      </c>
    </row>
    <row r="204" spans="1:8" ht="25.5">
      <c r="A204" s="69"/>
      <c r="B204" s="120"/>
      <c r="C204" s="52"/>
      <c r="D204" s="84"/>
      <c r="E204" s="31" t="s">
        <v>597</v>
      </c>
      <c r="F204" s="92"/>
      <c r="G204" s="83"/>
      <c r="H204" s="29"/>
    </row>
    <row r="205" spans="1:8" ht="25.5">
      <c r="A205" s="69"/>
      <c r="B205" s="120"/>
      <c r="C205" s="52"/>
      <c r="D205" s="84"/>
      <c r="E205" s="31" t="s">
        <v>598</v>
      </c>
      <c r="F205" s="92"/>
      <c r="G205" s="83"/>
      <c r="H205" s="29"/>
    </row>
    <row r="206" spans="1:8" ht="12.75">
      <c r="A206" s="69"/>
      <c r="B206" s="120"/>
      <c r="C206" s="52"/>
      <c r="D206" s="84"/>
      <c r="E206" s="31" t="s">
        <v>599</v>
      </c>
      <c r="F206" s="92"/>
      <c r="G206" s="83"/>
      <c r="H206" s="29"/>
    </row>
    <row r="207" spans="1:8" ht="12.75">
      <c r="A207" s="69"/>
      <c r="B207" s="120"/>
      <c r="C207" s="52"/>
      <c r="D207" s="84"/>
      <c r="E207" s="31" t="s">
        <v>600</v>
      </c>
      <c r="F207" s="92"/>
      <c r="G207" s="83"/>
      <c r="H207" s="29"/>
    </row>
    <row r="208" spans="1:8" ht="12.75">
      <c r="A208" s="69"/>
      <c r="B208" s="120"/>
      <c r="C208" s="52"/>
      <c r="D208" s="84"/>
      <c r="E208" s="31" t="s">
        <v>595</v>
      </c>
      <c r="F208" s="58">
        <v>8</v>
      </c>
      <c r="G208" s="83"/>
      <c r="H208" s="29"/>
    </row>
    <row r="209" spans="1:8" ht="12.75">
      <c r="A209" s="69"/>
      <c r="B209" s="120"/>
      <c r="C209" s="52"/>
      <c r="D209" s="84"/>
      <c r="E209" s="31" t="s">
        <v>596</v>
      </c>
      <c r="F209" s="55">
        <v>72</v>
      </c>
      <c r="G209" s="83"/>
      <c r="H209" s="29"/>
    </row>
    <row r="210" spans="1:8" ht="12.75" customHeight="1">
      <c r="A210" s="69"/>
      <c r="B210" s="120"/>
      <c r="C210" s="52"/>
      <c r="D210" s="84"/>
      <c r="E210" s="44" t="s">
        <v>421</v>
      </c>
      <c r="F210" s="58">
        <f>SUM(F208:F209)</f>
        <v>80</v>
      </c>
      <c r="G210" s="83"/>
      <c r="H210" s="29"/>
    </row>
    <row r="211" spans="1:8" ht="25.5">
      <c r="A211" s="69"/>
      <c r="B211" s="120"/>
      <c r="C211" s="52"/>
      <c r="D211" s="84"/>
      <c r="E211" s="31" t="s">
        <v>601</v>
      </c>
      <c r="F211" s="58"/>
      <c r="G211" s="83"/>
      <c r="H211" s="29"/>
    </row>
    <row r="212" spans="1:8" ht="12.75" customHeight="1">
      <c r="A212" s="69"/>
      <c r="B212" s="120"/>
      <c r="C212" s="52"/>
      <c r="D212" s="84"/>
      <c r="E212" s="31" t="s">
        <v>602</v>
      </c>
      <c r="F212" s="58"/>
      <c r="G212" s="83"/>
      <c r="H212" s="29"/>
    </row>
    <row r="213" spans="1:8" ht="12.75" customHeight="1">
      <c r="A213" s="69"/>
      <c r="B213" s="120"/>
      <c r="C213" s="52"/>
      <c r="D213" s="84"/>
      <c r="E213" s="31" t="s">
        <v>603</v>
      </c>
      <c r="F213" s="58"/>
      <c r="G213" s="83"/>
      <c r="H213" s="29"/>
    </row>
    <row r="214" spans="1:8" ht="12.75" customHeight="1">
      <c r="A214" s="69"/>
      <c r="B214" s="120"/>
      <c r="C214" s="52"/>
      <c r="D214" s="84"/>
      <c r="E214" s="31" t="s">
        <v>604</v>
      </c>
      <c r="F214" s="58"/>
      <c r="G214" s="83"/>
      <c r="H214" s="29"/>
    </row>
    <row r="215" spans="1:8" ht="12.75" customHeight="1">
      <c r="A215" s="69"/>
      <c r="B215" s="120"/>
      <c r="C215" s="52"/>
      <c r="D215" s="84"/>
      <c r="E215" s="31" t="s">
        <v>595</v>
      </c>
      <c r="F215" s="58">
        <v>8</v>
      </c>
      <c r="G215" s="83"/>
      <c r="H215" s="29"/>
    </row>
    <row r="216" spans="1:8" ht="12.75" customHeight="1">
      <c r="A216" s="69"/>
      <c r="B216" s="120"/>
      <c r="C216" s="52"/>
      <c r="D216" s="84"/>
      <c r="E216" s="31" t="s">
        <v>596</v>
      </c>
      <c r="F216" s="55">
        <v>76</v>
      </c>
      <c r="G216" s="83"/>
      <c r="H216" s="29"/>
    </row>
    <row r="217" spans="1:8" ht="12.75" customHeight="1">
      <c r="A217" s="69"/>
      <c r="B217" s="120"/>
      <c r="C217" s="52"/>
      <c r="D217" s="84"/>
      <c r="E217" s="44" t="s">
        <v>421</v>
      </c>
      <c r="F217" s="58">
        <f>SUM(F215:F216)</f>
        <v>84</v>
      </c>
      <c r="G217" s="83"/>
      <c r="H217" s="29"/>
    </row>
    <row r="218" spans="1:8" ht="12.75" customHeight="1">
      <c r="A218" s="69"/>
      <c r="B218" s="85"/>
      <c r="C218" s="60"/>
      <c r="D218" s="61"/>
      <c r="E218" s="44" t="s">
        <v>411</v>
      </c>
      <c r="F218" s="58">
        <f>F210+F217</f>
        <v>164</v>
      </c>
      <c r="G218" s="28"/>
      <c r="H218" s="29"/>
    </row>
    <row r="219" spans="1:8" ht="25.5">
      <c r="A219" s="69">
        <f>MAX(A$2:A218)+1</f>
        <v>31</v>
      </c>
      <c r="B219" s="114" t="s">
        <v>227</v>
      </c>
      <c r="C219" s="51" t="s">
        <v>254</v>
      </c>
      <c r="D219" s="52"/>
      <c r="E219" s="53" t="s">
        <v>255</v>
      </c>
      <c r="F219" s="75"/>
      <c r="G219" s="76" t="s">
        <v>51</v>
      </c>
      <c r="H219" s="21">
        <f>H220</f>
        <v>31.6</v>
      </c>
    </row>
    <row r="220" spans="1:8" ht="25.5">
      <c r="A220" s="69"/>
      <c r="B220" s="85"/>
      <c r="C220" s="60"/>
      <c r="D220" s="79" t="s">
        <v>254</v>
      </c>
      <c r="E220" s="91" t="s">
        <v>255</v>
      </c>
      <c r="F220" s="92"/>
      <c r="G220" s="83" t="s">
        <v>51</v>
      </c>
      <c r="H220" s="29">
        <f>F225</f>
        <v>31.6</v>
      </c>
    </row>
    <row r="221" spans="1:8" ht="25.5">
      <c r="A221" s="69"/>
      <c r="B221" s="85"/>
      <c r="C221" s="60"/>
      <c r="D221" s="61"/>
      <c r="E221" s="31" t="s">
        <v>605</v>
      </c>
      <c r="F221" s="58"/>
      <c r="G221" s="28"/>
      <c r="H221" s="29"/>
    </row>
    <row r="222" spans="1:8" ht="25.5">
      <c r="A222" s="69"/>
      <c r="B222" s="85"/>
      <c r="C222" s="60"/>
      <c r="D222" s="61"/>
      <c r="E222" s="31" t="s">
        <v>606</v>
      </c>
      <c r="F222" s="58"/>
      <c r="G222" s="28"/>
      <c r="H222" s="29"/>
    </row>
    <row r="223" spans="1:8" ht="12.75" customHeight="1">
      <c r="A223" s="69"/>
      <c r="B223" s="85"/>
      <c r="C223" s="60"/>
      <c r="D223" s="61"/>
      <c r="E223" s="31" t="s">
        <v>607</v>
      </c>
      <c r="F223" s="58">
        <v>15.8</v>
      </c>
      <c r="G223" s="28"/>
      <c r="H223" s="29"/>
    </row>
    <row r="224" spans="1:8" ht="12.75" customHeight="1">
      <c r="A224" s="69"/>
      <c r="B224" s="85"/>
      <c r="C224" s="60"/>
      <c r="D224" s="61"/>
      <c r="E224" s="31" t="s">
        <v>608</v>
      </c>
      <c r="F224" s="55">
        <v>15.8</v>
      </c>
      <c r="G224" s="28"/>
      <c r="H224" s="29"/>
    </row>
    <row r="225" spans="1:8" ht="12.75" customHeight="1">
      <c r="A225" s="69"/>
      <c r="B225" s="85"/>
      <c r="C225" s="60"/>
      <c r="D225" s="61"/>
      <c r="E225" s="44" t="s">
        <v>411</v>
      </c>
      <c r="F225" s="58">
        <f>SUM(F223:F224)</f>
        <v>31.6</v>
      </c>
      <c r="G225" s="28"/>
      <c r="H225" s="29"/>
    </row>
    <row r="226" spans="1:8" ht="25.5" customHeight="1">
      <c r="A226" s="69">
        <f>MAX(A$2:A225)+1</f>
        <v>32</v>
      </c>
      <c r="B226" s="114" t="s">
        <v>227</v>
      </c>
      <c r="C226" s="51" t="s">
        <v>256</v>
      </c>
      <c r="D226" s="99"/>
      <c r="E226" s="53" t="s">
        <v>257</v>
      </c>
      <c r="F226" s="53"/>
      <c r="G226" s="76" t="s">
        <v>51</v>
      </c>
      <c r="H226" s="21">
        <f>H227</f>
        <v>113</v>
      </c>
    </row>
    <row r="227" spans="1:8" ht="25.5">
      <c r="A227" s="69"/>
      <c r="B227" s="89"/>
      <c r="C227" s="100"/>
      <c r="D227" s="84" t="s">
        <v>256</v>
      </c>
      <c r="E227" s="91" t="s">
        <v>257</v>
      </c>
      <c r="F227" s="91"/>
      <c r="G227" s="83" t="s">
        <v>51</v>
      </c>
      <c r="H227" s="29">
        <f>ROUND(F233,2)</f>
        <v>113</v>
      </c>
    </row>
    <row r="228" spans="1:8" ht="12.75">
      <c r="A228" s="69"/>
      <c r="B228" s="89"/>
      <c r="C228" s="100"/>
      <c r="D228" s="101"/>
      <c r="E228" s="31" t="s">
        <v>609</v>
      </c>
      <c r="F228" s="58"/>
      <c r="G228" s="83"/>
      <c r="H228" s="29"/>
    </row>
    <row r="229" spans="1:8" ht="38.25">
      <c r="A229" s="69"/>
      <c r="B229" s="85"/>
      <c r="C229" s="60"/>
      <c r="D229" s="61"/>
      <c r="E229" s="31" t="s">
        <v>610</v>
      </c>
      <c r="F229" s="58"/>
      <c r="G229" s="28"/>
      <c r="H229" s="29"/>
    </row>
    <row r="230" spans="1:8">
      <c r="A230" s="69"/>
      <c r="B230" s="85"/>
      <c r="C230" s="60"/>
      <c r="D230" s="61"/>
      <c r="E230" s="31" t="s">
        <v>607</v>
      </c>
      <c r="F230" s="58">
        <v>76</v>
      </c>
      <c r="G230" s="28"/>
      <c r="H230" s="29"/>
    </row>
    <row r="231" spans="1:8">
      <c r="A231" s="69"/>
      <c r="B231" s="85"/>
      <c r="C231" s="60"/>
      <c r="D231" s="61"/>
      <c r="E231" s="31" t="s">
        <v>608</v>
      </c>
      <c r="F231" s="58">
        <v>19</v>
      </c>
      <c r="G231" s="28"/>
      <c r="H231" s="29"/>
    </row>
    <row r="232" spans="1:8">
      <c r="A232" s="69"/>
      <c r="B232" s="85"/>
      <c r="C232" s="60"/>
      <c r="D232" s="61"/>
      <c r="E232" s="31" t="s">
        <v>471</v>
      </c>
      <c r="F232" s="55">
        <v>18</v>
      </c>
      <c r="G232" s="28"/>
      <c r="H232" s="29"/>
    </row>
    <row r="233" spans="1:8">
      <c r="A233" s="69"/>
      <c r="B233" s="85"/>
      <c r="C233" s="60"/>
      <c r="D233" s="61"/>
      <c r="E233" s="44" t="s">
        <v>411</v>
      </c>
      <c r="F233" s="58">
        <f>SUM(F230:F232)</f>
        <v>113</v>
      </c>
      <c r="G233" s="28"/>
      <c r="H233" s="29"/>
    </row>
    <row r="234" spans="1:8" ht="12.75" customHeight="1">
      <c r="A234" s="69"/>
      <c r="B234" s="85"/>
      <c r="C234" s="60"/>
      <c r="D234" s="61"/>
      <c r="E234" s="31" t="s">
        <v>611</v>
      </c>
      <c r="F234" s="58"/>
      <c r="G234" s="28"/>
      <c r="H234" s="29"/>
    </row>
    <row r="235" spans="1:8" ht="38.25">
      <c r="A235" s="69">
        <f>MAX(A$2:A234)+1</f>
        <v>33</v>
      </c>
      <c r="B235" s="114" t="s">
        <v>227</v>
      </c>
      <c r="C235" s="51" t="s">
        <v>258</v>
      </c>
      <c r="D235" s="88"/>
      <c r="E235" s="53" t="s">
        <v>612</v>
      </c>
      <c r="F235" s="53"/>
      <c r="G235" s="76" t="s">
        <v>72</v>
      </c>
      <c r="H235" s="21">
        <f>H236</f>
        <v>10</v>
      </c>
    </row>
    <row r="236" spans="1:8" ht="25.5">
      <c r="A236" s="69"/>
      <c r="B236" s="89"/>
      <c r="C236" s="102"/>
      <c r="D236" s="84" t="s">
        <v>258</v>
      </c>
      <c r="E236" s="91" t="s">
        <v>385</v>
      </c>
      <c r="F236" s="91"/>
      <c r="G236" s="83" t="s">
        <v>72</v>
      </c>
      <c r="H236" s="29">
        <f>ROUND(F239,2)</f>
        <v>10</v>
      </c>
    </row>
    <row r="237" spans="1:8" ht="12.75" customHeight="1">
      <c r="A237" s="69"/>
      <c r="B237" s="89"/>
      <c r="C237" s="100"/>
      <c r="D237" s="101"/>
      <c r="E237" s="31" t="s">
        <v>613</v>
      </c>
      <c r="F237" s="58">
        <v>4</v>
      </c>
      <c r="G237" s="83"/>
      <c r="H237" s="29"/>
    </row>
    <row r="238" spans="1:8">
      <c r="A238" s="69"/>
      <c r="B238" s="85"/>
      <c r="C238" s="60"/>
      <c r="D238" s="61"/>
      <c r="E238" s="31" t="s">
        <v>614</v>
      </c>
      <c r="F238" s="55">
        <v>6</v>
      </c>
      <c r="G238" s="28"/>
      <c r="H238" s="29"/>
    </row>
    <row r="239" spans="1:8">
      <c r="A239" s="69"/>
      <c r="B239" s="85"/>
      <c r="C239" s="60"/>
      <c r="D239" s="61"/>
      <c r="E239" s="44" t="s">
        <v>411</v>
      </c>
      <c r="F239" s="58">
        <f>SUM(F237:F238)</f>
        <v>10</v>
      </c>
      <c r="G239" s="28"/>
      <c r="H239" s="29"/>
    </row>
    <row r="240" spans="1:8" ht="38.25">
      <c r="A240" s="69">
        <f>MAX(A$2:A239)+1</f>
        <v>34</v>
      </c>
      <c r="B240" s="114" t="s">
        <v>227</v>
      </c>
      <c r="C240" s="51" t="s">
        <v>260</v>
      </c>
      <c r="D240" s="88"/>
      <c r="E240" s="53" t="s">
        <v>615</v>
      </c>
      <c r="F240" s="53"/>
      <c r="G240" s="76" t="s">
        <v>72</v>
      </c>
      <c r="H240" s="21">
        <f>H241</f>
        <v>2</v>
      </c>
    </row>
    <row r="241" spans="1:8" ht="25.5">
      <c r="A241" s="69"/>
      <c r="B241" s="89"/>
      <c r="C241" s="102"/>
      <c r="D241" s="84" t="s">
        <v>260</v>
      </c>
      <c r="E241" s="91" t="s">
        <v>615</v>
      </c>
      <c r="F241" s="91"/>
      <c r="G241" s="83" t="s">
        <v>72</v>
      </c>
      <c r="H241" s="29">
        <f>F242</f>
        <v>2</v>
      </c>
    </row>
    <row r="242" spans="1:8">
      <c r="A242" s="69"/>
      <c r="B242" s="85"/>
      <c r="C242" s="60"/>
      <c r="D242" s="61"/>
      <c r="E242" s="31" t="s">
        <v>614</v>
      </c>
      <c r="F242" s="58">
        <v>2</v>
      </c>
      <c r="G242" s="28"/>
      <c r="H242" s="29"/>
    </row>
    <row r="243" spans="1:8" ht="25.5">
      <c r="A243" s="69">
        <f>MAX(A$2:A242)+1</f>
        <v>35</v>
      </c>
      <c r="B243" s="114" t="s">
        <v>227</v>
      </c>
      <c r="C243" s="51" t="s">
        <v>262</v>
      </c>
      <c r="D243" s="52"/>
      <c r="E243" s="53" t="s">
        <v>263</v>
      </c>
      <c r="F243" s="75"/>
      <c r="G243" s="76" t="s">
        <v>72</v>
      </c>
      <c r="H243" s="21">
        <f>H244</f>
        <v>26</v>
      </c>
    </row>
    <row r="244" spans="1:8" ht="12.75">
      <c r="A244" s="69"/>
      <c r="B244" s="89"/>
      <c r="C244" s="102"/>
      <c r="D244" s="84" t="s">
        <v>262</v>
      </c>
      <c r="E244" s="91" t="s">
        <v>263</v>
      </c>
      <c r="F244" s="91"/>
      <c r="G244" s="83" t="s">
        <v>72</v>
      </c>
      <c r="H244" s="29">
        <f>ROUND(F247,2)</f>
        <v>26</v>
      </c>
    </row>
    <row r="245" spans="1:8">
      <c r="A245" s="69"/>
      <c r="B245" s="85"/>
      <c r="C245" s="60"/>
      <c r="D245" s="61"/>
      <c r="E245" s="31" t="s">
        <v>616</v>
      </c>
      <c r="F245" s="58">
        <v>8</v>
      </c>
      <c r="G245" s="28"/>
      <c r="H245" s="29"/>
    </row>
    <row r="246" spans="1:8">
      <c r="A246" s="69"/>
      <c r="B246" s="85"/>
      <c r="C246" s="60"/>
      <c r="D246" s="61"/>
      <c r="E246" s="31" t="s">
        <v>617</v>
      </c>
      <c r="F246" s="55">
        <v>18</v>
      </c>
      <c r="G246" s="28"/>
      <c r="H246" s="29"/>
    </row>
    <row r="247" spans="1:8">
      <c r="A247" s="69"/>
      <c r="B247" s="85"/>
      <c r="C247" s="60"/>
      <c r="D247" s="61"/>
      <c r="E247" s="44" t="s">
        <v>411</v>
      </c>
      <c r="F247" s="58">
        <f>SUM(F245:F246)</f>
        <v>26</v>
      </c>
      <c r="G247" s="28"/>
      <c r="H247" s="29"/>
    </row>
    <row r="248" spans="1:8" ht="25.5" customHeight="1">
      <c r="A248" s="69">
        <f>MAX(A$2:A247)+1</f>
        <v>36</v>
      </c>
      <c r="B248" s="114" t="s">
        <v>227</v>
      </c>
      <c r="C248" s="51" t="s">
        <v>264</v>
      </c>
      <c r="D248" s="88"/>
      <c r="E248" s="53" t="s">
        <v>265</v>
      </c>
      <c r="F248" s="53"/>
      <c r="G248" s="76" t="s">
        <v>72</v>
      </c>
      <c r="H248" s="21">
        <f>H249</f>
        <v>128</v>
      </c>
    </row>
    <row r="249" spans="1:8" ht="25.5">
      <c r="A249" s="69"/>
      <c r="B249" s="89"/>
      <c r="C249" s="102"/>
      <c r="D249" s="84" t="s">
        <v>264</v>
      </c>
      <c r="E249" s="91" t="s">
        <v>265</v>
      </c>
      <c r="F249" s="91"/>
      <c r="G249" s="83" t="s">
        <v>72</v>
      </c>
      <c r="H249" s="29">
        <f>F252</f>
        <v>128</v>
      </c>
    </row>
    <row r="250" spans="1:8">
      <c r="A250" s="69"/>
      <c r="B250" s="85"/>
      <c r="C250" s="86"/>
      <c r="D250" s="61"/>
      <c r="E250" s="31" t="s">
        <v>618</v>
      </c>
      <c r="F250" s="50">
        <v>64</v>
      </c>
      <c r="G250" s="94"/>
      <c r="H250" s="29"/>
    </row>
    <row r="251" spans="1:8">
      <c r="A251" s="69"/>
      <c r="B251" s="85"/>
      <c r="C251" s="86"/>
      <c r="D251" s="61"/>
      <c r="E251" s="31" t="s">
        <v>619</v>
      </c>
      <c r="F251" s="55">
        <v>64</v>
      </c>
      <c r="G251" s="94"/>
      <c r="H251" s="29"/>
    </row>
    <row r="252" spans="1:8">
      <c r="A252" s="69"/>
      <c r="B252" s="85"/>
      <c r="C252" s="86"/>
      <c r="D252" s="61"/>
      <c r="E252" s="44" t="s">
        <v>411</v>
      </c>
      <c r="F252" s="50">
        <f>SUM(F250:F251)</f>
        <v>128</v>
      </c>
      <c r="G252" s="94"/>
      <c r="H252" s="29"/>
    </row>
    <row r="253" spans="1:8" ht="25.5" customHeight="1">
      <c r="A253" s="69">
        <f>MAX(A$2:A252)+1</f>
        <v>37</v>
      </c>
      <c r="B253" s="114" t="s">
        <v>227</v>
      </c>
      <c r="C253" s="51" t="s">
        <v>268</v>
      </c>
      <c r="D253" s="88"/>
      <c r="E253" s="53" t="s">
        <v>269</v>
      </c>
      <c r="F253" s="53"/>
      <c r="G253" s="76" t="s">
        <v>72</v>
      </c>
      <c r="H253" s="21">
        <f>H254</f>
        <v>7</v>
      </c>
    </row>
    <row r="254" spans="1:8" ht="25.5">
      <c r="A254" s="69"/>
      <c r="B254" s="89"/>
      <c r="C254" s="102"/>
      <c r="D254" s="84" t="s">
        <v>620</v>
      </c>
      <c r="E254" s="91" t="s">
        <v>621</v>
      </c>
      <c r="F254" s="91"/>
      <c r="G254" s="83" t="s">
        <v>72</v>
      </c>
      <c r="H254" s="29">
        <f>F255</f>
        <v>7</v>
      </c>
    </row>
    <row r="255" spans="1:8">
      <c r="A255" s="69"/>
      <c r="B255" s="85"/>
      <c r="C255" s="86"/>
      <c r="D255" s="61"/>
      <c r="E255" s="31" t="s">
        <v>478</v>
      </c>
      <c r="F255" s="58">
        <v>7</v>
      </c>
      <c r="G255" s="28"/>
      <c r="H255" s="29"/>
    </row>
    <row r="256" spans="1:8" ht="25.5">
      <c r="A256" s="69">
        <f>MAX(A$2:A255)+1</f>
        <v>38</v>
      </c>
      <c r="B256" s="114" t="s">
        <v>227</v>
      </c>
      <c r="C256" s="51" t="s">
        <v>270</v>
      </c>
      <c r="D256" s="52"/>
      <c r="E256" s="53" t="s">
        <v>271</v>
      </c>
      <c r="F256" s="75"/>
      <c r="G256" s="76" t="s">
        <v>72</v>
      </c>
      <c r="H256" s="21">
        <f>H257</f>
        <v>8</v>
      </c>
    </row>
    <row r="257" spans="1:8" ht="25.5">
      <c r="A257" s="69"/>
      <c r="B257" s="85"/>
      <c r="C257" s="86"/>
      <c r="D257" s="79" t="s">
        <v>622</v>
      </c>
      <c r="E257" s="91" t="s">
        <v>623</v>
      </c>
      <c r="F257" s="92"/>
      <c r="G257" s="83" t="s">
        <v>72</v>
      </c>
      <c r="H257" s="29">
        <f>F261</f>
        <v>8</v>
      </c>
    </row>
    <row r="258" spans="1:8">
      <c r="A258" s="69"/>
      <c r="B258" s="85"/>
      <c r="C258" s="86"/>
      <c r="D258" s="84"/>
      <c r="E258" s="31" t="s">
        <v>624</v>
      </c>
      <c r="F258" s="58">
        <v>2</v>
      </c>
      <c r="G258" s="83"/>
      <c r="H258" s="29"/>
    </row>
    <row r="259" spans="1:8">
      <c r="A259" s="69"/>
      <c r="B259" s="85"/>
      <c r="C259" s="86"/>
      <c r="D259" s="61"/>
      <c r="E259" s="31" t="s">
        <v>625</v>
      </c>
      <c r="F259" s="58">
        <v>2</v>
      </c>
      <c r="G259" s="28"/>
      <c r="H259" s="29"/>
    </row>
    <row r="260" spans="1:8">
      <c r="A260" s="69"/>
      <c r="B260" s="85"/>
      <c r="C260" s="86"/>
      <c r="D260" s="61"/>
      <c r="E260" s="31" t="s">
        <v>626</v>
      </c>
      <c r="F260" s="55">
        <v>4</v>
      </c>
      <c r="G260" s="28"/>
      <c r="H260" s="29"/>
    </row>
    <row r="261" spans="1:8">
      <c r="A261" s="69"/>
      <c r="B261" s="85"/>
      <c r="C261" s="86"/>
      <c r="D261" s="61"/>
      <c r="E261" s="44" t="s">
        <v>411</v>
      </c>
      <c r="F261" s="58">
        <f>SUM(F258:F260)</f>
        <v>8</v>
      </c>
      <c r="G261" s="28"/>
      <c r="H261" s="29"/>
    </row>
    <row r="262" spans="1:8" ht="31.5">
      <c r="A262" s="69"/>
      <c r="B262" s="71" t="s">
        <v>277</v>
      </c>
      <c r="C262" s="60"/>
      <c r="D262" s="72"/>
      <c r="E262" s="13" t="s">
        <v>627</v>
      </c>
      <c r="F262" s="54"/>
      <c r="G262" s="25"/>
      <c r="H262" s="21"/>
    </row>
    <row r="263" spans="1:8" ht="25.5">
      <c r="A263" s="69">
        <f>MAX(A$2:A262)+1</f>
        <v>39</v>
      </c>
      <c r="B263" s="114" t="s">
        <v>277</v>
      </c>
      <c r="C263" s="51" t="s">
        <v>278</v>
      </c>
      <c r="D263" s="88"/>
      <c r="E263" s="53" t="s">
        <v>279</v>
      </c>
      <c r="F263" s="53"/>
      <c r="G263" s="76" t="s">
        <v>33</v>
      </c>
      <c r="H263" s="21">
        <f>H264</f>
        <v>99.2</v>
      </c>
    </row>
    <row r="264" spans="1:8" ht="12.75" customHeight="1">
      <c r="A264" s="69"/>
      <c r="B264" s="89"/>
      <c r="C264" s="102"/>
      <c r="D264" s="84" t="s">
        <v>278</v>
      </c>
      <c r="E264" s="91" t="s">
        <v>279</v>
      </c>
      <c r="F264" s="91"/>
      <c r="G264" s="83" t="s">
        <v>33</v>
      </c>
      <c r="H264" s="29">
        <f>ROUND(F269,2)</f>
        <v>99.2</v>
      </c>
    </row>
    <row r="265" spans="1:8" ht="12.75" customHeight="1">
      <c r="A265" s="69"/>
      <c r="B265" s="89"/>
      <c r="C265" s="102"/>
      <c r="D265" s="84"/>
      <c r="E265" s="31" t="s">
        <v>628</v>
      </c>
      <c r="F265" s="91"/>
      <c r="G265" s="83"/>
      <c r="H265" s="29"/>
    </row>
    <row r="266" spans="1:8" ht="12.75" customHeight="1">
      <c r="A266" s="69"/>
      <c r="B266" s="89"/>
      <c r="C266" s="102"/>
      <c r="D266" s="84"/>
      <c r="E266" s="31" t="s">
        <v>629</v>
      </c>
      <c r="F266" s="58">
        <f>0.2*1</f>
        <v>0.2</v>
      </c>
      <c r="G266" s="83"/>
      <c r="H266" s="29"/>
    </row>
    <row r="267" spans="1:8" ht="12.75" customHeight="1">
      <c r="A267" s="69"/>
      <c r="B267" s="89"/>
      <c r="C267" s="102"/>
      <c r="D267" s="84"/>
      <c r="E267" s="31" t="s">
        <v>630</v>
      </c>
      <c r="F267" s="91"/>
      <c r="G267" s="83"/>
      <c r="H267" s="29"/>
    </row>
    <row r="268" spans="1:8" ht="12.75" customHeight="1">
      <c r="A268" s="69"/>
      <c r="B268" s="89"/>
      <c r="C268" s="102"/>
      <c r="D268" s="84"/>
      <c r="E268" s="31" t="s">
        <v>631</v>
      </c>
      <c r="F268" s="55">
        <f>450*0.22</f>
        <v>99</v>
      </c>
      <c r="G268" s="83"/>
      <c r="H268" s="29"/>
    </row>
    <row r="269" spans="1:8">
      <c r="A269" s="69"/>
      <c r="B269" s="85"/>
      <c r="C269" s="56"/>
      <c r="D269" s="104"/>
      <c r="E269" s="44" t="s">
        <v>411</v>
      </c>
      <c r="F269" s="58">
        <f>SUM(F266:F268)</f>
        <v>99.2</v>
      </c>
      <c r="G269" s="28"/>
      <c r="H269" s="29"/>
    </row>
    <row r="270" spans="1:8" ht="25.5">
      <c r="A270" s="69">
        <f>MAX(A$2:A269)+1</f>
        <v>40</v>
      </c>
      <c r="B270" s="114" t="s">
        <v>277</v>
      </c>
      <c r="C270" s="51" t="s">
        <v>280</v>
      </c>
      <c r="D270" s="52"/>
      <c r="E270" s="53" t="s">
        <v>281</v>
      </c>
      <c r="F270" s="75"/>
      <c r="G270" s="76" t="s">
        <v>33</v>
      </c>
      <c r="H270" s="21">
        <f>H271</f>
        <v>136.80000000000001</v>
      </c>
    </row>
    <row r="271" spans="1:8" ht="25.5">
      <c r="A271" s="69"/>
      <c r="B271" s="85"/>
      <c r="C271" s="95"/>
      <c r="D271" s="79" t="s">
        <v>632</v>
      </c>
      <c r="E271" s="91" t="s">
        <v>633</v>
      </c>
      <c r="F271" s="92"/>
      <c r="G271" s="83" t="s">
        <v>33</v>
      </c>
      <c r="H271" s="29">
        <f>ROUND(F274,2)</f>
        <v>136.80000000000001</v>
      </c>
    </row>
    <row r="272" spans="1:8" ht="25.5">
      <c r="A272" s="69"/>
      <c r="B272" s="85"/>
      <c r="C272" s="95"/>
      <c r="D272" s="104"/>
      <c r="E272" s="31" t="s">
        <v>634</v>
      </c>
      <c r="F272" s="113">
        <f xml:space="preserve"> (40+76+56+30)*0.4</f>
        <v>80.800000000000011</v>
      </c>
      <c r="G272" s="28"/>
      <c r="H272" s="29"/>
    </row>
    <row r="273" spans="1:8" ht="25.5">
      <c r="A273" s="69"/>
      <c r="B273" s="85"/>
      <c r="C273" s="95"/>
      <c r="D273" s="104"/>
      <c r="E273" s="31" t="s">
        <v>635</v>
      </c>
      <c r="F273" s="112">
        <f>(55+85)*0.4</f>
        <v>56</v>
      </c>
      <c r="G273" s="28"/>
      <c r="H273" s="29"/>
    </row>
    <row r="274" spans="1:8">
      <c r="A274" s="69"/>
      <c r="B274" s="85"/>
      <c r="C274" s="95"/>
      <c r="D274" s="104"/>
      <c r="E274" s="44" t="s">
        <v>411</v>
      </c>
      <c r="F274" s="58">
        <f>SUM(F272:F273)</f>
        <v>136.80000000000001</v>
      </c>
      <c r="G274" s="28"/>
      <c r="H274" s="29"/>
    </row>
    <row r="275" spans="1:8" ht="25.5">
      <c r="A275" s="69">
        <f>MAX(A$2:A274)+1</f>
        <v>41</v>
      </c>
      <c r="B275" s="114" t="s">
        <v>277</v>
      </c>
      <c r="C275" s="51" t="s">
        <v>282</v>
      </c>
      <c r="D275" s="88"/>
      <c r="E275" s="53" t="s">
        <v>283</v>
      </c>
      <c r="F275" s="53"/>
      <c r="G275" s="76" t="s">
        <v>33</v>
      </c>
      <c r="H275" s="21">
        <f>H276</f>
        <v>34.200000000000003</v>
      </c>
    </row>
    <row r="276" spans="1:8" ht="25.5">
      <c r="A276" s="69"/>
      <c r="B276" s="89"/>
      <c r="C276" s="102"/>
      <c r="D276" s="84" t="s">
        <v>282</v>
      </c>
      <c r="E276" s="91" t="s">
        <v>283</v>
      </c>
      <c r="F276" s="91"/>
      <c r="G276" s="83" t="s">
        <v>33</v>
      </c>
      <c r="H276" s="29">
        <f>ROUND(F280,2)</f>
        <v>34.200000000000003</v>
      </c>
    </row>
    <row r="277" spans="1:8">
      <c r="A277" s="69"/>
      <c r="B277" s="85"/>
      <c r="C277" s="95"/>
      <c r="D277" s="104"/>
      <c r="E277" s="31" t="s">
        <v>636</v>
      </c>
      <c r="F277" s="113"/>
      <c r="G277" s="28"/>
      <c r="H277" s="29"/>
    </row>
    <row r="278" spans="1:8">
      <c r="A278" s="69"/>
      <c r="B278" s="85"/>
      <c r="C278" s="95"/>
      <c r="D278" s="104"/>
      <c r="E278" s="31" t="s">
        <v>637</v>
      </c>
      <c r="F278" s="113">
        <f>0.1* (40+76+56+30)</f>
        <v>20.200000000000003</v>
      </c>
      <c r="G278" s="28"/>
      <c r="H278" s="29"/>
    </row>
    <row r="279" spans="1:8">
      <c r="A279" s="69"/>
      <c r="B279" s="85"/>
      <c r="C279" s="95"/>
      <c r="D279" s="104"/>
      <c r="E279" s="31" t="s">
        <v>638</v>
      </c>
      <c r="F279" s="112">
        <f>0.1*(55+85)</f>
        <v>14</v>
      </c>
      <c r="G279" s="28"/>
      <c r="H279" s="29"/>
    </row>
    <row r="280" spans="1:8" ht="12.75" customHeight="1">
      <c r="A280" s="69"/>
      <c r="B280" s="85"/>
      <c r="C280" s="86"/>
      <c r="D280" s="61"/>
      <c r="E280" s="44" t="s">
        <v>411</v>
      </c>
      <c r="F280" s="58">
        <f>SUM(F278:F279)</f>
        <v>34.200000000000003</v>
      </c>
      <c r="G280" s="28"/>
      <c r="H280" s="29"/>
    </row>
    <row r="281" spans="1:8" ht="38.25">
      <c r="A281" s="69">
        <f>MAX(A$2:A280)+1</f>
        <v>42</v>
      </c>
      <c r="B281" s="114" t="s">
        <v>277</v>
      </c>
      <c r="C281" s="51" t="s">
        <v>284</v>
      </c>
      <c r="D281" s="88"/>
      <c r="E281" s="53" t="s">
        <v>639</v>
      </c>
      <c r="F281" s="118"/>
      <c r="G281" s="76" t="s">
        <v>33</v>
      </c>
      <c r="H281" s="21">
        <f>(+H282)</f>
        <v>96</v>
      </c>
    </row>
    <row r="282" spans="1:8" ht="38.25">
      <c r="A282" s="69"/>
      <c r="B282" s="89"/>
      <c r="C282" s="102"/>
      <c r="D282" s="84" t="s">
        <v>640</v>
      </c>
      <c r="E282" s="91" t="s">
        <v>641</v>
      </c>
      <c r="F282" s="91"/>
      <c r="G282" s="83" t="s">
        <v>33</v>
      </c>
      <c r="H282" s="29">
        <f>ROUND(F283,2)</f>
        <v>96</v>
      </c>
    </row>
    <row r="283" spans="1:8" ht="25.5">
      <c r="A283" s="69"/>
      <c r="B283" s="85"/>
      <c r="C283" s="86"/>
      <c r="D283" s="104"/>
      <c r="E283" s="31" t="s">
        <v>642</v>
      </c>
      <c r="F283" s="109">
        <f>480*0.2</f>
        <v>96</v>
      </c>
      <c r="G283" s="94"/>
      <c r="H283" s="29"/>
    </row>
    <row r="284" spans="1:8" ht="24.95" customHeight="1">
      <c r="A284" s="69">
        <f>MAX(A$2:A283)+1</f>
        <v>43</v>
      </c>
      <c r="B284" s="114" t="s">
        <v>277</v>
      </c>
      <c r="C284" s="51" t="s">
        <v>286</v>
      </c>
      <c r="D284" s="88"/>
      <c r="E284" s="53" t="s">
        <v>387</v>
      </c>
      <c r="F284" s="53"/>
      <c r="G284" s="76" t="s">
        <v>44</v>
      </c>
      <c r="H284" s="21">
        <f>H285</f>
        <v>510</v>
      </c>
    </row>
    <row r="285" spans="1:8" ht="25.5">
      <c r="A285" s="69"/>
      <c r="B285" s="89"/>
      <c r="C285" s="102"/>
      <c r="D285" s="84" t="s">
        <v>643</v>
      </c>
      <c r="E285" s="91" t="s">
        <v>644</v>
      </c>
      <c r="F285" s="91"/>
      <c r="G285" s="83" t="s">
        <v>44</v>
      </c>
      <c r="H285" s="29">
        <f>ROUND(F286,2)</f>
        <v>510</v>
      </c>
    </row>
    <row r="286" spans="1:8" ht="12.75" customHeight="1">
      <c r="A286" s="69"/>
      <c r="B286" s="85"/>
      <c r="C286" s="95"/>
      <c r="D286" s="104"/>
      <c r="E286" s="31" t="s">
        <v>645</v>
      </c>
      <c r="F286" s="50">
        <v>510</v>
      </c>
      <c r="G286" s="94"/>
      <c r="H286" s="29"/>
    </row>
    <row r="287" spans="1:8">
      <c r="A287" s="69"/>
      <c r="B287" s="71" t="s">
        <v>305</v>
      </c>
      <c r="C287" s="60"/>
      <c r="D287" s="72"/>
      <c r="E287" s="13" t="s">
        <v>646</v>
      </c>
      <c r="F287" s="54"/>
      <c r="G287" s="25"/>
      <c r="H287" s="21"/>
    </row>
    <row r="288" spans="1:8" ht="25.5">
      <c r="A288" s="69">
        <f>MAX(A$2:A287)+1</f>
        <v>44</v>
      </c>
      <c r="B288" s="114" t="s">
        <v>305</v>
      </c>
      <c r="C288" s="51" t="s">
        <v>306</v>
      </c>
      <c r="D288" s="52"/>
      <c r="E288" s="53" t="s">
        <v>307</v>
      </c>
      <c r="F288" s="75"/>
      <c r="G288" s="76" t="s">
        <v>44</v>
      </c>
      <c r="H288" s="21">
        <f>H289</f>
        <v>342</v>
      </c>
    </row>
    <row r="289" spans="1:8" ht="25.5">
      <c r="A289" s="69"/>
      <c r="B289" s="85"/>
      <c r="C289" s="60"/>
      <c r="D289" s="79" t="s">
        <v>647</v>
      </c>
      <c r="E289" s="91" t="s">
        <v>648</v>
      </c>
      <c r="F289" s="50"/>
      <c r="G289" s="83" t="s">
        <v>44</v>
      </c>
      <c r="H289" s="29">
        <f>ROUND(F292,2)</f>
        <v>342</v>
      </c>
    </row>
    <row r="290" spans="1:8" ht="12.75" customHeight="1">
      <c r="A290" s="69"/>
      <c r="B290" s="85"/>
      <c r="C290" s="60"/>
      <c r="D290" s="84"/>
      <c r="E290" s="31" t="s">
        <v>649</v>
      </c>
      <c r="F290" s="50">
        <v>202</v>
      </c>
      <c r="G290" s="96"/>
      <c r="H290" s="29"/>
    </row>
    <row r="291" spans="1:8" ht="12.75" customHeight="1">
      <c r="A291" s="69"/>
      <c r="B291" s="85"/>
      <c r="C291" s="60"/>
      <c r="D291" s="84"/>
      <c r="E291" s="31" t="s">
        <v>650</v>
      </c>
      <c r="F291" s="55">
        <v>140</v>
      </c>
      <c r="G291" s="96"/>
      <c r="H291" s="29"/>
    </row>
    <row r="292" spans="1:8" ht="12.75" customHeight="1">
      <c r="A292" s="69"/>
      <c r="B292" s="85"/>
      <c r="C292" s="60"/>
      <c r="D292" s="61"/>
      <c r="E292" s="44" t="s">
        <v>411</v>
      </c>
      <c r="F292" s="50">
        <f>SUM(F290:F291)</f>
        <v>342</v>
      </c>
      <c r="G292" s="94"/>
      <c r="H292" s="29"/>
    </row>
    <row r="293" spans="1:8" ht="12.75" customHeight="1" thickBot="1">
      <c r="A293" s="121"/>
      <c r="B293" s="122"/>
      <c r="C293" s="123"/>
      <c r="D293" s="63"/>
      <c r="E293" s="124"/>
      <c r="F293" s="125"/>
      <c r="G293" s="126"/>
      <c r="H293" s="64"/>
    </row>
  </sheetData>
  <sheetProtection algorithmName="SHA-512" hashValue="dT5mCda9aSIbYHt5GLhlpgbTkzDXSgvXkZkK/QC+ikhWoeBddEGqWeiTm1BW2PZLhEOJpTO1JDScdMfXyzQ0GQ==" saltValue="dUUDxi7Mfgg19vGM3OAwXg==" spinCount="100000" sheet="1" objects="1" scenarios="1"/>
  <mergeCells count="7">
    <mergeCell ref="F1:H2"/>
    <mergeCell ref="A6:A7"/>
    <mergeCell ref="B6:D6"/>
    <mergeCell ref="E6:F7"/>
    <mergeCell ref="G6:G7"/>
    <mergeCell ref="H6:H7"/>
    <mergeCell ref="B7:C7"/>
  </mergeCells>
  <pageMargins left="0.7" right="0.7" top="0.75" bottom="0.75" header="0.3" footer="0.3"/>
  <pageSetup paperSize="9" scale="74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BBF250-D41F-4212-A1B4-133BB7B54B32}">
  <dimension ref="A1:N1529"/>
  <sheetViews>
    <sheetView zoomScaleNormal="100" workbookViewId="0">
      <selection sqref="A1:XFD1048576"/>
    </sheetView>
  </sheetViews>
  <sheetFormatPr defaultColWidth="9.140625" defaultRowHeight="15.75"/>
  <cols>
    <col min="1" max="1" width="4.7109375" style="341" bestFit="1" customWidth="1"/>
    <col min="2" max="2" width="10.140625" style="13" bestFit="1" customWidth="1"/>
    <col min="3" max="3" width="9.28515625" style="16" bestFit="1" customWidth="1"/>
    <col min="4" max="4" width="11.85546875" style="17" bestFit="1" customWidth="1"/>
    <col min="5" max="5" width="52.140625" style="11" customWidth="1"/>
    <col min="6" max="6" width="12.42578125" style="348" bestFit="1" customWidth="1"/>
    <col min="7" max="7" width="4.7109375" style="349" customWidth="1"/>
    <col min="8" max="8" width="9.42578125" style="132" bestFit="1" customWidth="1"/>
    <col min="9" max="9" width="19.140625" style="406" customWidth="1"/>
    <col min="10" max="10" width="9.140625" style="406"/>
    <col min="11" max="11" width="9.42578125" style="406" bestFit="1" customWidth="1"/>
    <col min="12" max="16384" width="9.140625" style="406"/>
  </cols>
  <sheetData>
    <row r="1" spans="1:14" ht="31.5">
      <c r="A1" s="127"/>
      <c r="B1" s="128" t="s">
        <v>395</v>
      </c>
      <c r="C1" s="129"/>
      <c r="D1" s="130"/>
      <c r="E1" s="13" t="s">
        <v>396</v>
      </c>
      <c r="F1" s="493" t="s">
        <v>1490</v>
      </c>
      <c r="G1" s="494"/>
      <c r="H1" s="494"/>
      <c r="I1" s="387"/>
      <c r="J1" s="387"/>
    </row>
    <row r="2" spans="1:14" ht="6" customHeight="1">
      <c r="A2" s="127"/>
      <c r="B2" s="128"/>
      <c r="C2" s="129"/>
      <c r="D2" s="130"/>
      <c r="E2" s="133"/>
      <c r="F2" s="494"/>
      <c r="G2" s="494"/>
      <c r="H2" s="494"/>
    </row>
    <row r="3" spans="1:14" ht="15">
      <c r="A3" s="127"/>
      <c r="B3" s="128" t="s">
        <v>397</v>
      </c>
      <c r="C3" s="129"/>
      <c r="D3" s="135" t="s">
        <v>651</v>
      </c>
      <c r="E3" s="136" t="s">
        <v>652</v>
      </c>
      <c r="F3" s="134"/>
      <c r="G3" s="131"/>
      <c r="H3" s="510" t="s">
        <v>1513</v>
      </c>
    </row>
    <row r="4" spans="1:14" ht="16.5" thickBot="1">
      <c r="A4" s="137"/>
      <c r="B4" s="138"/>
      <c r="C4" s="139"/>
      <c r="D4" s="140"/>
      <c r="E4" s="47"/>
      <c r="F4" s="134"/>
      <c r="G4" s="131"/>
    </row>
    <row r="5" spans="1:14" ht="12.75">
      <c r="A5" s="495" t="s">
        <v>399</v>
      </c>
      <c r="B5" s="497" t="s">
        <v>400</v>
      </c>
      <c r="C5" s="497"/>
      <c r="D5" s="497"/>
      <c r="E5" s="497" t="s">
        <v>401</v>
      </c>
      <c r="F5" s="498"/>
      <c r="G5" s="501" t="s">
        <v>402</v>
      </c>
      <c r="H5" s="503" t="s">
        <v>403</v>
      </c>
    </row>
    <row r="6" spans="1:14" ht="12.75">
      <c r="A6" s="496"/>
      <c r="B6" s="499" t="s">
        <v>404</v>
      </c>
      <c r="C6" s="499"/>
      <c r="D6" s="141" t="s">
        <v>405</v>
      </c>
      <c r="E6" s="499"/>
      <c r="F6" s="500"/>
      <c r="G6" s="502"/>
      <c r="H6" s="504"/>
    </row>
    <row r="7" spans="1:14">
      <c r="A7" s="45"/>
      <c r="B7" s="142"/>
      <c r="C7" s="143"/>
      <c r="D7" s="144"/>
      <c r="E7" s="47"/>
      <c r="F7" s="39"/>
      <c r="G7" s="145"/>
      <c r="H7" s="146"/>
    </row>
    <row r="8" spans="1:14" ht="15">
      <c r="A8" s="45"/>
      <c r="B8" s="147" t="s">
        <v>55</v>
      </c>
      <c r="C8" s="148"/>
      <c r="D8" s="149"/>
      <c r="E8" s="150" t="s">
        <v>454</v>
      </c>
      <c r="F8" s="39"/>
      <c r="G8" s="151"/>
      <c r="H8" s="146"/>
    </row>
    <row r="9" spans="1:14" s="62" customFormat="1" ht="12.75" customHeight="1">
      <c r="A9" s="35">
        <f>MAX(A$2:A8)+1</f>
        <v>1</v>
      </c>
      <c r="B9" s="32" t="s">
        <v>55</v>
      </c>
      <c r="C9" s="51" t="s">
        <v>56</v>
      </c>
      <c r="D9" s="88"/>
      <c r="E9" s="53" t="s">
        <v>57</v>
      </c>
      <c r="F9" s="106"/>
      <c r="G9" s="76" t="s">
        <v>33</v>
      </c>
      <c r="H9" s="77">
        <f>H10</f>
        <v>23.755629000000003</v>
      </c>
    </row>
    <row r="10" spans="1:14" s="62" customFormat="1" ht="12.75" customHeight="1">
      <c r="A10" s="152"/>
      <c r="B10" s="153"/>
      <c r="C10" s="52"/>
      <c r="D10" s="102" t="s">
        <v>56</v>
      </c>
      <c r="E10" s="154" t="s">
        <v>57</v>
      </c>
      <c r="F10" s="155"/>
      <c r="G10" s="156" t="s">
        <v>33</v>
      </c>
      <c r="H10" s="49">
        <f>F19</f>
        <v>23.755629000000003</v>
      </c>
      <c r="I10" s="157"/>
      <c r="J10" s="158"/>
      <c r="K10" s="53"/>
      <c r="L10" s="53"/>
      <c r="M10" s="159"/>
      <c r="N10" s="160"/>
    </row>
    <row r="11" spans="1:14" ht="12.75" customHeight="1">
      <c r="A11" s="45"/>
      <c r="B11" s="161"/>
      <c r="C11" s="162"/>
      <c r="D11" s="163"/>
      <c r="E11" s="48" t="s">
        <v>653</v>
      </c>
      <c r="F11" s="164"/>
      <c r="G11" s="165"/>
      <c r="H11" s="166"/>
    </row>
    <row r="12" spans="1:14" ht="12.75" customHeight="1">
      <c r="A12" s="45"/>
      <c r="B12" s="161"/>
      <c r="C12" s="162"/>
      <c r="D12" s="163"/>
      <c r="E12" s="48" t="s">
        <v>654</v>
      </c>
      <c r="F12" s="42">
        <f>2*6*0.1*10.15</f>
        <v>12.180000000000001</v>
      </c>
      <c r="G12" s="165" t="s">
        <v>451</v>
      </c>
      <c r="H12" s="167"/>
    </row>
    <row r="13" spans="1:14" ht="25.5">
      <c r="A13" s="45"/>
      <c r="B13" s="161"/>
      <c r="C13" s="162"/>
      <c r="D13" s="163"/>
      <c r="E13" s="48" t="s">
        <v>655</v>
      </c>
      <c r="F13" s="42"/>
      <c r="G13" s="165"/>
      <c r="H13" s="167"/>
    </row>
    <row r="14" spans="1:14" ht="12.75" customHeight="1">
      <c r="A14" s="45"/>
      <c r="B14" s="161"/>
      <c r="C14" s="162"/>
      <c r="D14" s="163"/>
      <c r="E14" s="48" t="s">
        <v>656</v>
      </c>
      <c r="F14" s="42">
        <f>53.59*1.215*0.2*0.1</f>
        <v>1.3022370000000003</v>
      </c>
      <c r="G14" s="165" t="s">
        <v>451</v>
      </c>
      <c r="H14" s="167"/>
    </row>
    <row r="15" spans="1:14" ht="12.75" customHeight="1">
      <c r="A15" s="45"/>
      <c r="B15" s="161"/>
      <c r="C15" s="162"/>
      <c r="D15" s="163"/>
      <c r="E15" s="48" t="s">
        <v>657</v>
      </c>
      <c r="F15" s="42" t="s">
        <v>451</v>
      </c>
      <c r="G15" s="165" t="s">
        <v>451</v>
      </c>
      <c r="H15" s="167"/>
    </row>
    <row r="16" spans="1:14" ht="12.75" customHeight="1">
      <c r="A16" s="45"/>
      <c r="B16" s="161"/>
      <c r="C16" s="162"/>
      <c r="D16" s="163"/>
      <c r="E16" s="48" t="s">
        <v>658</v>
      </c>
      <c r="F16" s="42">
        <f>0.1*(223.63+70.61+24.58)*1.08*0.2</f>
        <v>6.8865120000000006</v>
      </c>
      <c r="G16" s="165"/>
      <c r="H16" s="167"/>
    </row>
    <row r="17" spans="1:8" ht="12.75" customHeight="1">
      <c r="A17" s="45"/>
      <c r="B17" s="161"/>
      <c r="C17" s="162"/>
      <c r="D17" s="163"/>
      <c r="E17" s="48" t="s">
        <v>659</v>
      </c>
      <c r="F17" s="42"/>
      <c r="G17" s="165"/>
      <c r="H17" s="167"/>
    </row>
    <row r="18" spans="1:8" ht="12.75" customHeight="1">
      <c r="A18" s="45"/>
      <c r="B18" s="161"/>
      <c r="C18" s="162"/>
      <c r="D18" s="163"/>
      <c r="E18" s="48" t="s">
        <v>660</v>
      </c>
      <c r="F18" s="43">
        <f>0.2*78.4*1.08*0.2</f>
        <v>3.386880000000001</v>
      </c>
      <c r="G18" s="165" t="s">
        <v>451</v>
      </c>
      <c r="H18" s="167"/>
    </row>
    <row r="19" spans="1:8">
      <c r="A19" s="45"/>
      <c r="B19" s="161"/>
      <c r="C19" s="168"/>
      <c r="D19" s="41"/>
      <c r="E19" s="169" t="s">
        <v>411</v>
      </c>
      <c r="F19" s="42">
        <f>F12+F14+F16+F18</f>
        <v>23.755629000000003</v>
      </c>
      <c r="G19" s="40"/>
      <c r="H19" s="170"/>
    </row>
    <row r="20" spans="1:8" s="62" customFormat="1" ht="25.5">
      <c r="A20" s="35">
        <f>MAX(A$2:A19)+1</f>
        <v>2</v>
      </c>
      <c r="B20" s="32" t="s">
        <v>55</v>
      </c>
      <c r="C20" s="51" t="s">
        <v>58</v>
      </c>
      <c r="D20" s="88"/>
      <c r="E20" s="53" t="s">
        <v>59</v>
      </c>
      <c r="F20" s="106"/>
      <c r="G20" s="76" t="s">
        <v>33</v>
      </c>
      <c r="H20" s="77">
        <f>H21</f>
        <v>38.380000000000003</v>
      </c>
    </row>
    <row r="21" spans="1:8" s="62" customFormat="1" ht="12.75" customHeight="1">
      <c r="A21" s="152"/>
      <c r="B21" s="171"/>
      <c r="C21" s="88"/>
      <c r="D21" s="102" t="s">
        <v>58</v>
      </c>
      <c r="E21" s="154" t="s">
        <v>59</v>
      </c>
      <c r="F21" s="155"/>
      <c r="G21" s="156" t="s">
        <v>33</v>
      </c>
      <c r="H21" s="49">
        <f>ROUND(F28,2)</f>
        <v>38.380000000000003</v>
      </c>
    </row>
    <row r="22" spans="1:8" ht="12.75" customHeight="1">
      <c r="A22" s="45"/>
      <c r="B22" s="161"/>
      <c r="C22" s="162"/>
      <c r="D22" s="163"/>
      <c r="E22" s="48" t="s">
        <v>661</v>
      </c>
      <c r="F22" s="42"/>
      <c r="G22" s="165"/>
      <c r="H22" s="167"/>
    </row>
    <row r="23" spans="1:8" ht="12.75" customHeight="1">
      <c r="A23" s="45"/>
      <c r="B23" s="161"/>
      <c r="C23" s="162"/>
      <c r="D23" s="163"/>
      <c r="E23" s="48" t="s">
        <v>662</v>
      </c>
      <c r="F23" s="42">
        <f>2*6*0.271*10.15</f>
        <v>33.007800000000003</v>
      </c>
      <c r="G23" s="165" t="s">
        <v>451</v>
      </c>
      <c r="H23" s="167"/>
    </row>
    <row r="24" spans="1:8" ht="12.75" customHeight="1">
      <c r="A24" s="45"/>
      <c r="B24" s="161"/>
      <c r="C24" s="162"/>
      <c r="D24" s="163"/>
      <c r="E24" s="48" t="s">
        <v>663</v>
      </c>
      <c r="F24" s="42"/>
      <c r="G24" s="165"/>
      <c r="H24" s="167"/>
    </row>
    <row r="25" spans="1:8" ht="12.75" customHeight="1">
      <c r="A25" s="45"/>
      <c r="B25" s="161"/>
      <c r="C25" s="162"/>
      <c r="D25" s="163"/>
      <c r="E25" s="48" t="s">
        <v>664</v>
      </c>
      <c r="F25" s="42">
        <f>1.5*1*0.22*6*1.2</f>
        <v>2.3759999999999999</v>
      </c>
      <c r="G25" s="165"/>
      <c r="H25" s="167"/>
    </row>
    <row r="26" spans="1:8" ht="12.75" customHeight="1">
      <c r="A26" s="45"/>
      <c r="B26" s="161"/>
      <c r="C26" s="162"/>
      <c r="D26" s="163"/>
      <c r="E26" s="48" t="s">
        <v>665</v>
      </c>
      <c r="F26" s="42"/>
      <c r="G26" s="165"/>
      <c r="H26" s="167"/>
    </row>
    <row r="27" spans="1:8">
      <c r="A27" s="45"/>
      <c r="B27" s="161"/>
      <c r="C27" s="162"/>
      <c r="D27" s="163"/>
      <c r="E27" s="48" t="s">
        <v>666</v>
      </c>
      <c r="F27" s="43">
        <v>3</v>
      </c>
      <c r="G27" s="165"/>
      <c r="H27" s="167"/>
    </row>
    <row r="28" spans="1:8" ht="12.75" customHeight="1">
      <c r="A28" s="45"/>
      <c r="B28" s="46"/>
      <c r="C28" s="36"/>
      <c r="D28" s="37"/>
      <c r="E28" s="169" t="s">
        <v>411</v>
      </c>
      <c r="F28" s="42">
        <f>SUM(F23:F27)</f>
        <v>38.383800000000001</v>
      </c>
      <c r="G28" s="40"/>
      <c r="H28" s="172"/>
    </row>
    <row r="29" spans="1:8" ht="25.5">
      <c r="A29" s="35">
        <f>MAX(A$2:A28)+1</f>
        <v>3</v>
      </c>
      <c r="B29" s="32" t="s">
        <v>55</v>
      </c>
      <c r="C29" s="51" t="s">
        <v>60</v>
      </c>
      <c r="D29" s="88"/>
      <c r="E29" s="105" t="s">
        <v>61</v>
      </c>
      <c r="F29" s="33"/>
      <c r="G29" s="76" t="s">
        <v>33</v>
      </c>
      <c r="H29" s="77">
        <f>H30</f>
        <v>601.29</v>
      </c>
    </row>
    <row r="30" spans="1:8" ht="25.5">
      <c r="A30" s="45"/>
      <c r="B30" s="46"/>
      <c r="C30" s="88"/>
      <c r="D30" s="102" t="s">
        <v>60</v>
      </c>
      <c r="E30" s="128" t="s">
        <v>61</v>
      </c>
      <c r="F30" s="155"/>
      <c r="G30" s="156" t="s">
        <v>33</v>
      </c>
      <c r="H30" s="49">
        <f>ROUND(F43,2)</f>
        <v>601.29</v>
      </c>
    </row>
    <row r="31" spans="1:8">
      <c r="A31" s="45"/>
      <c r="B31" s="161"/>
      <c r="C31" s="162"/>
      <c r="D31" s="163"/>
      <c r="E31" s="48" t="s">
        <v>667</v>
      </c>
      <c r="F31" s="42"/>
      <c r="G31" s="165"/>
      <c r="H31" s="167"/>
    </row>
    <row r="32" spans="1:8" ht="12.75" customHeight="1">
      <c r="A32" s="45"/>
      <c r="B32" s="161"/>
      <c r="C32" s="162"/>
      <c r="D32" s="163"/>
      <c r="E32" s="48" t="s">
        <v>668</v>
      </c>
      <c r="F32" s="42">
        <f>24*0.12*(0.288*0.4-3.14*0.08*0.08)+0.288*0.4*0.12</f>
        <v>0.28772351999999995</v>
      </c>
      <c r="G32" s="165"/>
      <c r="H32" s="167"/>
    </row>
    <row r="33" spans="1:8" ht="12.75" customHeight="1">
      <c r="A33" s="45"/>
      <c r="B33" s="161"/>
      <c r="C33" s="162"/>
      <c r="D33" s="163"/>
      <c r="E33" s="48" t="s">
        <v>669</v>
      </c>
      <c r="F33" s="42"/>
      <c r="G33" s="165"/>
      <c r="H33" s="167"/>
    </row>
    <row r="34" spans="1:8" ht="12.75" customHeight="1">
      <c r="A34" s="45"/>
      <c r="B34" s="161"/>
      <c r="C34" s="162"/>
      <c r="D34" s="163"/>
      <c r="E34" s="48" t="s">
        <v>670</v>
      </c>
      <c r="F34" s="42">
        <f>0.325*0.6*12.95</f>
        <v>2.5252499999999998</v>
      </c>
      <c r="G34" s="165" t="s">
        <v>451</v>
      </c>
      <c r="H34" s="167"/>
    </row>
    <row r="35" spans="1:8" ht="12.75" customHeight="1">
      <c r="A35" s="45"/>
      <c r="B35" s="161"/>
      <c r="C35" s="162"/>
      <c r="D35" s="163"/>
      <c r="E35" s="48" t="s">
        <v>671</v>
      </c>
      <c r="F35" s="42"/>
      <c r="G35" s="165"/>
      <c r="H35" s="167"/>
    </row>
    <row r="36" spans="1:8" ht="12.75" customHeight="1">
      <c r="A36" s="45"/>
      <c r="B36" s="161"/>
      <c r="C36" s="162"/>
      <c r="D36" s="163"/>
      <c r="E36" s="48" t="s">
        <v>672</v>
      </c>
      <c r="F36" s="42">
        <f>(640.939-1.012-1.202-1.202)*0.8*0.1</f>
        <v>51.001840000000009</v>
      </c>
      <c r="G36" s="165" t="s">
        <v>451</v>
      </c>
      <c r="H36" s="167"/>
    </row>
    <row r="37" spans="1:8" ht="12.75" customHeight="1">
      <c r="A37" s="45"/>
      <c r="B37" s="161"/>
      <c r="C37" s="162"/>
      <c r="D37" s="163"/>
      <c r="E37" s="48" t="s">
        <v>673</v>
      </c>
      <c r="F37" s="43">
        <f>(637.517-1.012-1.202-1.202)*0.6*0.1</f>
        <v>38.046060000000004</v>
      </c>
      <c r="G37" s="165" t="s">
        <v>451</v>
      </c>
      <c r="H37" s="167"/>
    </row>
    <row r="38" spans="1:8" ht="12.75" customHeight="1">
      <c r="A38" s="45"/>
      <c r="B38" s="161"/>
      <c r="C38" s="162"/>
      <c r="D38" s="163"/>
      <c r="E38" s="169" t="s">
        <v>421</v>
      </c>
      <c r="F38" s="42">
        <f>SUM(F36:F37)</f>
        <v>89.047900000000013</v>
      </c>
      <c r="G38" s="165"/>
      <c r="H38" s="167"/>
    </row>
    <row r="39" spans="1:8" ht="12.75" customHeight="1">
      <c r="A39" s="45"/>
      <c r="B39" s="161"/>
      <c r="C39" s="162"/>
      <c r="D39" s="163"/>
      <c r="E39" s="48" t="s">
        <v>674</v>
      </c>
      <c r="F39" s="42"/>
      <c r="G39" s="165"/>
      <c r="H39" s="167"/>
    </row>
    <row r="40" spans="1:8" ht="12.75" customHeight="1">
      <c r="A40" s="45"/>
      <c r="B40" s="161"/>
      <c r="C40" s="162"/>
      <c r="D40" s="163"/>
      <c r="E40" s="48" t="s">
        <v>675</v>
      </c>
      <c r="F40" s="42">
        <f>0.63*(640.939-1.012-1.2202-1.202)</f>
        <v>401.62802400000004</v>
      </c>
      <c r="G40" s="165"/>
      <c r="H40" s="167"/>
    </row>
    <row r="41" spans="1:8" ht="12.75" customHeight="1">
      <c r="A41" s="45"/>
      <c r="B41" s="161"/>
      <c r="C41" s="162"/>
      <c r="D41" s="163"/>
      <c r="E41" s="48" t="s">
        <v>676</v>
      </c>
      <c r="F41" s="43">
        <f>0.17*(637.517-1.012-1.202-1.202)</f>
        <v>107.79717000000002</v>
      </c>
      <c r="G41" s="165"/>
      <c r="H41" s="167"/>
    </row>
    <row r="42" spans="1:8" ht="12.75" customHeight="1">
      <c r="A42" s="45"/>
      <c r="B42" s="161"/>
      <c r="C42" s="162"/>
      <c r="D42" s="163"/>
      <c r="E42" s="169" t="s">
        <v>421</v>
      </c>
      <c r="F42" s="42">
        <f>SUM(F40:F41)</f>
        <v>509.42519400000003</v>
      </c>
      <c r="G42" s="165"/>
      <c r="H42" s="167"/>
    </row>
    <row r="43" spans="1:8" ht="12.75" customHeight="1">
      <c r="A43" s="45"/>
      <c r="B43" s="161"/>
      <c r="C43" s="162"/>
      <c r="D43" s="163"/>
      <c r="E43" s="169" t="s">
        <v>411</v>
      </c>
      <c r="F43" s="42">
        <f>F32+F34+F38+F42</f>
        <v>601.28606752000007</v>
      </c>
      <c r="G43" s="165"/>
      <c r="H43" s="167"/>
    </row>
    <row r="44" spans="1:8" ht="38.25">
      <c r="A44" s="35">
        <f>MAX(A$2:A43)+1</f>
        <v>4</v>
      </c>
      <c r="B44" s="32" t="s">
        <v>55</v>
      </c>
      <c r="C44" s="51" t="s">
        <v>62</v>
      </c>
      <c r="D44" s="52"/>
      <c r="E44" s="53" t="s">
        <v>677</v>
      </c>
      <c r="F44" s="75"/>
      <c r="G44" s="76" t="s">
        <v>33</v>
      </c>
      <c r="H44" s="77">
        <f>H45</f>
        <v>740.73</v>
      </c>
    </row>
    <row r="45" spans="1:8" ht="25.5">
      <c r="A45" s="45"/>
      <c r="B45" s="46"/>
      <c r="C45" s="88"/>
      <c r="D45" s="102" t="s">
        <v>62</v>
      </c>
      <c r="E45" s="128" t="s">
        <v>677</v>
      </c>
      <c r="F45" s="155"/>
      <c r="G45" s="156" t="s">
        <v>33</v>
      </c>
      <c r="H45" s="49">
        <f>ROUND(F52,2)</f>
        <v>740.73</v>
      </c>
    </row>
    <row r="46" spans="1:8" ht="12.75" customHeight="1">
      <c r="A46" s="45"/>
      <c r="B46" s="161"/>
      <c r="C46" s="162"/>
      <c r="D46" s="163"/>
      <c r="E46" s="31" t="s">
        <v>678</v>
      </c>
      <c r="F46" s="155"/>
      <c r="G46" s="165"/>
      <c r="H46" s="167"/>
    </row>
    <row r="47" spans="1:8" ht="12.75" customHeight="1">
      <c r="A47" s="45"/>
      <c r="B47" s="161"/>
      <c r="C47" s="162"/>
      <c r="D47" s="163"/>
      <c r="E47" s="31" t="s">
        <v>679</v>
      </c>
      <c r="F47" s="50">
        <f xml:space="preserve"> 0.564*271.3*2</f>
        <v>306.02639999999997</v>
      </c>
      <c r="G47" s="165"/>
      <c r="H47" s="167"/>
    </row>
    <row r="48" spans="1:8" ht="25.5">
      <c r="A48" s="45"/>
      <c r="B48" s="161"/>
      <c r="C48" s="162"/>
      <c r="D48" s="163"/>
      <c r="E48" s="31" t="s">
        <v>680</v>
      </c>
      <c r="F48" s="58">
        <f>0.564*(359.4-11*1.2)*2</f>
        <v>390.51359999999994</v>
      </c>
      <c r="G48" s="165"/>
      <c r="H48" s="167"/>
    </row>
    <row r="49" spans="1:8" ht="25.5">
      <c r="A49" s="45"/>
      <c r="B49" s="161"/>
      <c r="C49" s="162"/>
      <c r="D49" s="163"/>
      <c r="E49" s="31" t="s">
        <v>681</v>
      </c>
      <c r="F49" s="58">
        <f>0.564*1.2*11*2</f>
        <v>14.8896</v>
      </c>
      <c r="G49" s="165"/>
      <c r="H49" s="167"/>
    </row>
    <row r="50" spans="1:8" ht="12.75" customHeight="1">
      <c r="A50" s="45"/>
      <c r="B50" s="161"/>
      <c r="C50" s="162"/>
      <c r="D50" s="163"/>
      <c r="E50" s="31" t="s">
        <v>682</v>
      </c>
      <c r="F50" s="58"/>
      <c r="G50" s="165"/>
      <c r="H50" s="167"/>
    </row>
    <row r="51" spans="1:8" ht="12.75" customHeight="1">
      <c r="A51" s="45"/>
      <c r="B51" s="161"/>
      <c r="C51" s="162"/>
      <c r="D51" s="163"/>
      <c r="E51" s="31" t="s">
        <v>683</v>
      </c>
      <c r="F51" s="55">
        <f>1.5*(1.04*0.15*(1.15+2*0.288)+4*0.22*0.21*0.075)*69</f>
        <v>29.302506000000001</v>
      </c>
      <c r="G51" s="165"/>
      <c r="H51" s="167"/>
    </row>
    <row r="52" spans="1:8" ht="12.75" customHeight="1">
      <c r="A52" s="45"/>
      <c r="B52" s="161"/>
      <c r="C52" s="162"/>
      <c r="D52" s="163"/>
      <c r="E52" s="173" t="s">
        <v>411</v>
      </c>
      <c r="F52" s="58">
        <f>SUM(F47:F51)</f>
        <v>740.73210599999993</v>
      </c>
      <c r="G52" s="165"/>
      <c r="H52" s="167"/>
    </row>
    <row r="53" spans="1:8" ht="25.5">
      <c r="A53" s="35">
        <f>MAX(A$2:A52)+1</f>
        <v>5</v>
      </c>
      <c r="B53" s="32" t="s">
        <v>55</v>
      </c>
      <c r="C53" s="51" t="s">
        <v>64</v>
      </c>
      <c r="D53" s="52"/>
      <c r="E53" s="53" t="s">
        <v>65</v>
      </c>
      <c r="F53" s="75"/>
      <c r="G53" s="76" t="s">
        <v>44</v>
      </c>
      <c r="H53" s="77">
        <f>H54</f>
        <v>71.069999999999993</v>
      </c>
    </row>
    <row r="54" spans="1:8" ht="25.5">
      <c r="A54" s="45"/>
      <c r="B54" s="46"/>
      <c r="C54" s="88"/>
      <c r="D54" s="102" t="s">
        <v>64</v>
      </c>
      <c r="E54" s="128" t="s">
        <v>65</v>
      </c>
      <c r="F54" s="155"/>
      <c r="G54" s="156" t="s">
        <v>44</v>
      </c>
      <c r="H54" s="49">
        <f>ROUND(F57,2)</f>
        <v>71.069999999999993</v>
      </c>
    </row>
    <row r="55" spans="1:8" ht="25.5">
      <c r="A55" s="45"/>
      <c r="B55" s="161"/>
      <c r="C55" s="162"/>
      <c r="D55" s="163"/>
      <c r="E55" s="31" t="s">
        <v>684</v>
      </c>
      <c r="F55" s="58"/>
      <c r="G55" s="165"/>
      <c r="H55" s="167"/>
    </row>
    <row r="56" spans="1:8" ht="12.75" customHeight="1">
      <c r="A56" s="45"/>
      <c r="B56" s="161"/>
      <c r="C56" s="162"/>
      <c r="D56" s="163"/>
      <c r="E56" s="31" t="s">
        <v>685</v>
      </c>
      <c r="F56" s="58"/>
      <c r="G56" s="165"/>
      <c r="H56" s="167"/>
    </row>
    <row r="57" spans="1:8" ht="12.75" customHeight="1">
      <c r="A57" s="45"/>
      <c r="B57" s="161"/>
      <c r="C57" s="162"/>
      <c r="D57" s="163"/>
      <c r="E57" s="31" t="s">
        <v>686</v>
      </c>
      <c r="F57" s="58">
        <f>0.05*5.425*(2*43.7+2*87.3)</f>
        <v>71.067499999999995</v>
      </c>
      <c r="G57" s="165"/>
      <c r="H57" s="167"/>
    </row>
    <row r="58" spans="1:8" s="14" customFormat="1" ht="12.75" customHeight="1">
      <c r="A58" s="35">
        <f>MAX(A$2:A57)+1</f>
        <v>6</v>
      </c>
      <c r="B58" s="32" t="s">
        <v>55</v>
      </c>
      <c r="C58" s="51" t="s">
        <v>66</v>
      </c>
      <c r="D58" s="88"/>
      <c r="E58" s="53" t="s">
        <v>67</v>
      </c>
      <c r="F58" s="33"/>
      <c r="G58" s="76" t="s">
        <v>44</v>
      </c>
      <c r="H58" s="77">
        <f>H59</f>
        <v>7171.06</v>
      </c>
    </row>
    <row r="59" spans="1:8" ht="12.75">
      <c r="A59" s="174"/>
      <c r="B59" s="78"/>
      <c r="C59" s="79"/>
      <c r="D59" s="80" t="s">
        <v>66</v>
      </c>
      <c r="E59" s="81" t="s">
        <v>67</v>
      </c>
      <c r="F59" s="82"/>
      <c r="G59" s="83" t="s">
        <v>44</v>
      </c>
      <c r="H59" s="49">
        <f>ROUND(F67,2)</f>
        <v>7171.06</v>
      </c>
    </row>
    <row r="60" spans="1:8" ht="25.5">
      <c r="A60" s="175"/>
      <c r="B60" s="87"/>
      <c r="C60" s="176"/>
      <c r="D60" s="24"/>
      <c r="E60" s="31" t="s">
        <v>687</v>
      </c>
      <c r="F60" s="50"/>
      <c r="G60" s="30"/>
      <c r="H60" s="172"/>
    </row>
    <row r="61" spans="1:8" ht="12.75" customHeight="1">
      <c r="A61" s="175"/>
      <c r="B61" s="87"/>
      <c r="C61" s="176"/>
      <c r="D61" s="24"/>
      <c r="E61" s="31" t="s">
        <v>688</v>
      </c>
      <c r="F61" s="50" t="s">
        <v>451</v>
      </c>
      <c r="G61" s="30" t="s">
        <v>451</v>
      </c>
      <c r="H61" s="172"/>
    </row>
    <row r="62" spans="1:8" ht="12.75" customHeight="1">
      <c r="A62" s="175"/>
      <c r="B62" s="87"/>
      <c r="C62" s="176"/>
      <c r="D62" s="24"/>
      <c r="E62" s="31" t="s">
        <v>689</v>
      </c>
      <c r="F62" s="50">
        <f>1261.4*0.2</f>
        <v>252.28000000000003</v>
      </c>
      <c r="G62" s="30"/>
      <c r="H62" s="172"/>
    </row>
    <row r="63" spans="1:8" ht="12.75" customHeight="1">
      <c r="A63" s="175"/>
      <c r="B63" s="87"/>
      <c r="C63" s="176"/>
      <c r="D63" s="24"/>
      <c r="E63" s="31" t="s">
        <v>690</v>
      </c>
      <c r="F63" s="50"/>
      <c r="G63" s="30"/>
      <c r="H63" s="172"/>
    </row>
    <row r="64" spans="1:8" ht="12.75" customHeight="1">
      <c r="A64" s="175"/>
      <c r="B64" s="87"/>
      <c r="C64" s="176"/>
      <c r="D64" s="24"/>
      <c r="E64" s="31" t="s">
        <v>691</v>
      </c>
      <c r="F64" s="50">
        <f>10.97*271.3</f>
        <v>2976.1610000000005</v>
      </c>
      <c r="G64" s="30"/>
      <c r="H64" s="172"/>
    </row>
    <row r="65" spans="1:8" ht="12.75" customHeight="1">
      <c r="A65" s="175"/>
      <c r="B65" s="87"/>
      <c r="C65" s="176"/>
      <c r="D65" s="24"/>
      <c r="E65" s="31" t="s">
        <v>692</v>
      </c>
      <c r="F65" s="43">
        <f>10.97*359.4</f>
        <v>3942.6179999999999</v>
      </c>
      <c r="G65" s="30"/>
      <c r="H65" s="172"/>
    </row>
    <row r="66" spans="1:8" ht="12.75" customHeight="1">
      <c r="A66" s="45"/>
      <c r="B66" s="46"/>
      <c r="C66" s="36"/>
      <c r="D66" s="41"/>
      <c r="E66" s="169" t="s">
        <v>421</v>
      </c>
      <c r="F66" s="43">
        <f>F64+F65</f>
        <v>6918.7790000000005</v>
      </c>
      <c r="G66" s="37"/>
      <c r="H66" s="172"/>
    </row>
    <row r="67" spans="1:8" ht="12.75" customHeight="1">
      <c r="A67" s="45"/>
      <c r="B67" s="46"/>
      <c r="C67" s="36"/>
      <c r="D67" s="41"/>
      <c r="E67" s="169" t="s">
        <v>411</v>
      </c>
      <c r="F67" s="50">
        <f>F62+F66</f>
        <v>7171.0590000000002</v>
      </c>
      <c r="G67" s="37"/>
      <c r="H67" s="172"/>
    </row>
    <row r="68" spans="1:8" ht="25.5">
      <c r="A68" s="35">
        <f>MAX(A$2:A67)+1</f>
        <v>7</v>
      </c>
      <c r="B68" s="32" t="s">
        <v>55</v>
      </c>
      <c r="C68" s="51" t="s">
        <v>68</v>
      </c>
      <c r="D68" s="52"/>
      <c r="E68" s="53" t="s">
        <v>372</v>
      </c>
      <c r="F68" s="75"/>
      <c r="G68" s="76" t="s">
        <v>51</v>
      </c>
      <c r="H68" s="77">
        <f>H69</f>
        <v>10.55</v>
      </c>
    </row>
    <row r="69" spans="1:8" ht="25.5">
      <c r="A69" s="174"/>
      <c r="B69" s="78"/>
      <c r="C69" s="79"/>
      <c r="D69" s="80" t="s">
        <v>68</v>
      </c>
      <c r="E69" s="81" t="s">
        <v>372</v>
      </c>
      <c r="F69" s="82"/>
      <c r="G69" s="83" t="s">
        <v>51</v>
      </c>
      <c r="H69" s="49">
        <f>ROUND(F72,2)</f>
        <v>10.55</v>
      </c>
    </row>
    <row r="70" spans="1:8" ht="12.75" customHeight="1">
      <c r="A70" s="45"/>
      <c r="B70" s="46"/>
      <c r="C70" s="36"/>
      <c r="D70" s="41"/>
      <c r="E70" s="177" t="s">
        <v>455</v>
      </c>
      <c r="F70" s="58"/>
      <c r="G70" s="37"/>
      <c r="H70" s="172"/>
    </row>
    <row r="71" spans="1:8" ht="12.75" customHeight="1">
      <c r="A71" s="45"/>
      <c r="B71" s="46"/>
      <c r="C71" s="36"/>
      <c r="D71" s="41"/>
      <c r="E71" s="177" t="s">
        <v>693</v>
      </c>
      <c r="F71" s="58"/>
      <c r="G71" s="37"/>
      <c r="H71" s="172"/>
    </row>
    <row r="72" spans="1:8" ht="12.75" customHeight="1">
      <c r="A72" s="45"/>
      <c r="B72" s="46"/>
      <c r="C72" s="36"/>
      <c r="D72" s="41"/>
      <c r="E72" s="177" t="s">
        <v>694</v>
      </c>
      <c r="F72" s="58">
        <f>3.14*0.16*21</f>
        <v>10.550400000000002</v>
      </c>
      <c r="G72" s="37"/>
      <c r="H72" s="172"/>
    </row>
    <row r="73" spans="1:8" ht="12.75" customHeight="1">
      <c r="A73" s="45"/>
      <c r="B73" s="46"/>
      <c r="C73" s="36"/>
      <c r="D73" s="41"/>
      <c r="E73" s="169"/>
      <c r="F73" s="58"/>
      <c r="G73" s="37"/>
      <c r="H73" s="172"/>
    </row>
    <row r="74" spans="1:8" ht="12.75">
      <c r="A74" s="35">
        <f>MAX(A$2:A73)+1</f>
        <v>8</v>
      </c>
      <c r="B74" s="32" t="s">
        <v>55</v>
      </c>
      <c r="C74" s="51" t="s">
        <v>70</v>
      </c>
      <c r="D74" s="52"/>
      <c r="E74" s="53" t="s">
        <v>71</v>
      </c>
      <c r="F74" s="106"/>
      <c r="G74" s="76" t="s">
        <v>72</v>
      </c>
      <c r="H74" s="146">
        <f>H75</f>
        <v>1800</v>
      </c>
    </row>
    <row r="75" spans="1:8" ht="12.75" customHeight="1">
      <c r="A75" s="174"/>
      <c r="B75" s="178"/>
      <c r="C75" s="79"/>
      <c r="D75" s="79" t="s">
        <v>70</v>
      </c>
      <c r="E75" s="91" t="s">
        <v>71</v>
      </c>
      <c r="F75" s="179"/>
      <c r="G75" s="83" t="s">
        <v>72</v>
      </c>
      <c r="H75" s="49">
        <f>ROUND(F83,2)</f>
        <v>1800</v>
      </c>
    </row>
    <row r="76" spans="1:8" ht="12.75" customHeight="1">
      <c r="A76" s="175"/>
      <c r="B76" s="87"/>
      <c r="C76" s="176"/>
      <c r="D76" s="24"/>
      <c r="E76" s="31" t="s">
        <v>695</v>
      </c>
      <c r="F76" s="50"/>
      <c r="G76" s="30"/>
      <c r="H76" s="172"/>
    </row>
    <row r="77" spans="1:8" ht="12.75" customHeight="1">
      <c r="A77" s="175"/>
      <c r="B77" s="87"/>
      <c r="C77" s="176"/>
      <c r="D77" s="24"/>
      <c r="E77" s="31" t="s">
        <v>696</v>
      </c>
      <c r="F77" s="43">
        <f>48*25</f>
        <v>1200</v>
      </c>
      <c r="G77" s="30"/>
      <c r="H77" s="172"/>
    </row>
    <row r="78" spans="1:8" ht="12.75" customHeight="1">
      <c r="A78" s="175"/>
      <c r="B78" s="87"/>
      <c r="C78" s="176"/>
      <c r="D78" s="24"/>
      <c r="E78" s="31" t="s">
        <v>697</v>
      </c>
      <c r="F78" s="50">
        <f>4*25</f>
        <v>100</v>
      </c>
      <c r="G78" s="30"/>
      <c r="H78" s="172"/>
    </row>
    <row r="79" spans="1:8" ht="12.75" customHeight="1">
      <c r="A79" s="175"/>
      <c r="B79" s="87"/>
      <c r="C79" s="176"/>
      <c r="D79" s="24"/>
      <c r="E79" s="169" t="s">
        <v>421</v>
      </c>
      <c r="F79" s="50">
        <f>SUM(F77:F78)</f>
        <v>1300</v>
      </c>
      <c r="G79" s="30"/>
      <c r="H79" s="172"/>
    </row>
    <row r="80" spans="1:8" ht="12.75" customHeight="1">
      <c r="A80" s="175"/>
      <c r="B80" s="87"/>
      <c r="C80" s="176"/>
      <c r="D80" s="24"/>
      <c r="E80" s="31" t="s">
        <v>698</v>
      </c>
      <c r="F80" s="50">
        <f>18*25</f>
        <v>450</v>
      </c>
      <c r="G80" s="30"/>
      <c r="H80" s="172"/>
    </row>
    <row r="81" spans="1:8" ht="12.75" customHeight="1">
      <c r="A81" s="175"/>
      <c r="B81" s="87"/>
      <c r="C81" s="176"/>
      <c r="D81" s="24"/>
      <c r="E81" s="31" t="s">
        <v>699</v>
      </c>
      <c r="F81" s="55">
        <f>2*25</f>
        <v>50</v>
      </c>
      <c r="G81" s="30"/>
      <c r="H81" s="172"/>
    </row>
    <row r="82" spans="1:8" ht="12.75" customHeight="1">
      <c r="A82" s="175"/>
      <c r="B82" s="87"/>
      <c r="C82" s="176"/>
      <c r="D82" s="24"/>
      <c r="E82" s="169" t="s">
        <v>421</v>
      </c>
      <c r="F82" s="50">
        <f>F80+F81</f>
        <v>500</v>
      </c>
      <c r="G82" s="30"/>
      <c r="H82" s="172"/>
    </row>
    <row r="83" spans="1:8" ht="12.75" customHeight="1">
      <c r="A83" s="175"/>
      <c r="B83" s="87"/>
      <c r="C83" s="176"/>
      <c r="D83" s="30"/>
      <c r="E83" s="169" t="s">
        <v>411</v>
      </c>
      <c r="F83" s="50">
        <f>F79+F82</f>
        <v>1800</v>
      </c>
      <c r="G83" s="30"/>
      <c r="H83" s="172"/>
    </row>
    <row r="84" spans="1:8" s="6" customFormat="1" ht="12.75" customHeight="1">
      <c r="A84" s="35">
        <f>MAX(A$2:A83)+1</f>
        <v>9</v>
      </c>
      <c r="B84" s="32" t="s">
        <v>55</v>
      </c>
      <c r="C84" s="51" t="s">
        <v>73</v>
      </c>
      <c r="D84" s="88"/>
      <c r="E84" s="105" t="s">
        <v>74</v>
      </c>
      <c r="F84" s="106"/>
      <c r="G84" s="76" t="s">
        <v>72</v>
      </c>
      <c r="H84" s="77">
        <f>H85</f>
        <v>122</v>
      </c>
    </row>
    <row r="85" spans="1:8" s="6" customFormat="1" ht="25.5" customHeight="1">
      <c r="A85" s="180"/>
      <c r="B85" s="181"/>
      <c r="C85" s="102"/>
      <c r="D85" s="84" t="s">
        <v>73</v>
      </c>
      <c r="E85" s="81" t="s">
        <v>74</v>
      </c>
      <c r="F85" s="179"/>
      <c r="G85" s="83" t="s">
        <v>72</v>
      </c>
      <c r="H85" s="49">
        <f>F95</f>
        <v>122</v>
      </c>
    </row>
    <row r="86" spans="1:8" ht="12.75" customHeight="1">
      <c r="A86" s="175"/>
      <c r="B86" s="87"/>
      <c r="C86" s="176"/>
      <c r="D86" s="24"/>
      <c r="E86" s="31" t="s">
        <v>700</v>
      </c>
      <c r="F86" s="50">
        <v>44</v>
      </c>
      <c r="G86" s="30"/>
      <c r="H86" s="172"/>
    </row>
    <row r="87" spans="1:8" ht="12.75" customHeight="1">
      <c r="A87" s="175"/>
      <c r="B87" s="87"/>
      <c r="C87" s="176"/>
      <c r="D87" s="24"/>
      <c r="E87" s="31" t="s">
        <v>701</v>
      </c>
      <c r="F87" s="50">
        <v>38</v>
      </c>
      <c r="G87" s="30"/>
      <c r="H87" s="172"/>
    </row>
    <row r="88" spans="1:8" ht="12.75" customHeight="1">
      <c r="A88" s="175"/>
      <c r="B88" s="87"/>
      <c r="C88" s="176"/>
      <c r="D88" s="24"/>
      <c r="E88" s="31" t="s">
        <v>702</v>
      </c>
      <c r="F88" s="50">
        <v>12</v>
      </c>
      <c r="G88" s="30"/>
      <c r="H88" s="172"/>
    </row>
    <row r="89" spans="1:8" ht="25.5">
      <c r="A89" s="175"/>
      <c r="B89" s="87"/>
      <c r="C89" s="176"/>
      <c r="D89" s="24"/>
      <c r="E89" s="31" t="s">
        <v>703</v>
      </c>
      <c r="F89" s="50">
        <v>4</v>
      </c>
      <c r="G89" s="30"/>
      <c r="H89" s="172"/>
    </row>
    <row r="90" spans="1:8" ht="12.75" customHeight="1">
      <c r="A90" s="175"/>
      <c r="B90" s="87"/>
      <c r="C90" s="176"/>
      <c r="D90" s="24"/>
      <c r="E90" s="31" t="s">
        <v>704</v>
      </c>
      <c r="F90" s="50">
        <v>1</v>
      </c>
      <c r="G90" s="30"/>
      <c r="H90" s="172"/>
    </row>
    <row r="91" spans="1:8" ht="25.5">
      <c r="A91" s="175"/>
      <c r="B91" s="87"/>
      <c r="C91" s="176"/>
      <c r="D91" s="24"/>
      <c r="E91" s="31" t="s">
        <v>705</v>
      </c>
      <c r="F91" s="50"/>
      <c r="G91" s="30"/>
      <c r="H91" s="172"/>
    </row>
    <row r="92" spans="1:8" ht="38.25">
      <c r="A92" s="175"/>
      <c r="B92" s="87"/>
      <c r="C92" s="176"/>
      <c r="D92" s="24"/>
      <c r="E92" s="31" t="s">
        <v>706</v>
      </c>
      <c r="F92" s="50">
        <v>1</v>
      </c>
      <c r="G92" s="30"/>
      <c r="H92" s="172"/>
    </row>
    <row r="93" spans="1:8" ht="38.25">
      <c r="A93" s="175"/>
      <c r="B93" s="87"/>
      <c r="C93" s="176"/>
      <c r="D93" s="24"/>
      <c r="E93" s="31" t="s">
        <v>707</v>
      </c>
      <c r="F93" s="50">
        <v>1</v>
      </c>
      <c r="G93" s="30"/>
      <c r="H93" s="172"/>
    </row>
    <row r="94" spans="1:8" ht="25.5">
      <c r="A94" s="175"/>
      <c r="B94" s="87"/>
      <c r="C94" s="176"/>
      <c r="D94" s="24"/>
      <c r="E94" s="31" t="s">
        <v>708</v>
      </c>
      <c r="F94" s="55">
        <v>21</v>
      </c>
      <c r="G94" s="30"/>
      <c r="H94" s="172"/>
    </row>
    <row r="95" spans="1:8" ht="12.75" customHeight="1">
      <c r="A95" s="175"/>
      <c r="B95" s="87"/>
      <c r="C95" s="176"/>
      <c r="D95" s="24"/>
      <c r="E95" s="44" t="s">
        <v>411</v>
      </c>
      <c r="F95" s="50">
        <f>SUM(F86:F94)</f>
        <v>122</v>
      </c>
      <c r="G95" s="30"/>
      <c r="H95" s="172"/>
    </row>
    <row r="96" spans="1:8" s="6" customFormat="1" ht="25.5">
      <c r="A96" s="35">
        <f>MAX(A$2:A95)+1</f>
        <v>10</v>
      </c>
      <c r="B96" s="32" t="s">
        <v>55</v>
      </c>
      <c r="C96" s="51" t="s">
        <v>77</v>
      </c>
      <c r="D96" s="88"/>
      <c r="E96" s="105" t="s">
        <v>78</v>
      </c>
      <c r="F96" s="106"/>
      <c r="G96" s="76" t="s">
        <v>44</v>
      </c>
      <c r="H96" s="77">
        <f>H97</f>
        <v>733.27</v>
      </c>
    </row>
    <row r="97" spans="1:8" s="6" customFormat="1" ht="25.5" customHeight="1">
      <c r="A97" s="180"/>
      <c r="B97" s="181"/>
      <c r="C97" s="102"/>
      <c r="D97" s="84" t="s">
        <v>709</v>
      </c>
      <c r="E97" s="81" t="s">
        <v>710</v>
      </c>
      <c r="F97" s="179"/>
      <c r="G97" s="83" t="s">
        <v>44</v>
      </c>
      <c r="H97" s="49">
        <f>ROUND(F101,2)</f>
        <v>733.27</v>
      </c>
    </row>
    <row r="98" spans="1:8" ht="12.75" customHeight="1">
      <c r="A98" s="175"/>
      <c r="B98" s="87"/>
      <c r="C98" s="176"/>
      <c r="D98" s="24"/>
      <c r="E98" s="31" t="s">
        <v>711</v>
      </c>
      <c r="F98" s="50"/>
      <c r="G98" s="30"/>
      <c r="H98" s="172"/>
    </row>
    <row r="99" spans="1:8" ht="12.75" customHeight="1">
      <c r="A99" s="175"/>
      <c r="B99" s="87"/>
      <c r="C99" s="176"/>
      <c r="D99" s="24"/>
      <c r="E99" s="31" t="s">
        <v>712</v>
      </c>
      <c r="F99" s="50">
        <f>1.15*(271.3+3.45)</f>
        <v>315.96249999999998</v>
      </c>
      <c r="G99" s="30"/>
      <c r="H99" s="172"/>
    </row>
    <row r="100" spans="1:8" ht="12.75" customHeight="1">
      <c r="A100" s="175"/>
      <c r="B100" s="87"/>
      <c r="C100" s="176"/>
      <c r="D100" s="24"/>
      <c r="E100" s="111" t="s">
        <v>713</v>
      </c>
      <c r="F100" s="55">
        <f>1.15*(359.4+3.475)</f>
        <v>417.30624999999998</v>
      </c>
      <c r="G100" s="30"/>
      <c r="H100" s="172"/>
    </row>
    <row r="101" spans="1:8" ht="12.75" customHeight="1">
      <c r="A101" s="45"/>
      <c r="B101" s="46"/>
      <c r="C101" s="36"/>
      <c r="D101" s="41"/>
      <c r="E101" s="44" t="s">
        <v>411</v>
      </c>
      <c r="F101" s="50">
        <f>F100+F99</f>
        <v>733.26874999999995</v>
      </c>
      <c r="G101" s="37"/>
      <c r="H101" s="172"/>
    </row>
    <row r="102" spans="1:8" s="6" customFormat="1" ht="25.5">
      <c r="A102" s="35">
        <f>MAX(A$2:A101)+1</f>
        <v>11</v>
      </c>
      <c r="B102" s="32" t="s">
        <v>55</v>
      </c>
      <c r="C102" s="182" t="s">
        <v>81</v>
      </c>
      <c r="D102" s="57"/>
      <c r="E102" s="183" t="s">
        <v>82</v>
      </c>
      <c r="F102" s="33"/>
      <c r="G102" s="76" t="s">
        <v>44</v>
      </c>
      <c r="H102" s="77">
        <f>H103</f>
        <v>23.48</v>
      </c>
    </row>
    <row r="103" spans="1:8" s="6" customFormat="1" ht="25.5">
      <c r="A103" s="180"/>
      <c r="B103" s="181"/>
      <c r="C103" s="184"/>
      <c r="D103" s="185" t="s">
        <v>714</v>
      </c>
      <c r="E103" s="128" t="s">
        <v>715</v>
      </c>
      <c r="F103" s="155"/>
      <c r="G103" s="83" t="s">
        <v>44</v>
      </c>
      <c r="H103" s="49">
        <f>ROUND(F107,2)</f>
        <v>23.48</v>
      </c>
    </row>
    <row r="104" spans="1:8" ht="12.75" customHeight="1">
      <c r="A104" s="175"/>
      <c r="B104" s="87"/>
      <c r="C104" s="176"/>
      <c r="D104" s="24"/>
      <c r="E104" s="31" t="s">
        <v>716</v>
      </c>
      <c r="F104" s="50"/>
      <c r="G104" s="30"/>
      <c r="H104" s="172"/>
    </row>
    <row r="105" spans="1:8" ht="12.75" customHeight="1">
      <c r="A105" s="175"/>
      <c r="B105" s="87"/>
      <c r="C105" s="176"/>
      <c r="D105" s="24"/>
      <c r="E105" s="111" t="s">
        <v>717</v>
      </c>
      <c r="F105" s="50">
        <v>17.239999999999998</v>
      </c>
      <c r="G105" s="30"/>
      <c r="H105" s="172"/>
    </row>
    <row r="106" spans="1:8" ht="12.75" customHeight="1">
      <c r="A106" s="175"/>
      <c r="B106" s="87"/>
      <c r="C106" s="176"/>
      <c r="D106" s="24"/>
      <c r="E106" s="31" t="s">
        <v>718</v>
      </c>
      <c r="F106" s="55">
        <v>6.24</v>
      </c>
      <c r="G106" s="30"/>
      <c r="H106" s="172"/>
    </row>
    <row r="107" spans="1:8" ht="12.75" customHeight="1">
      <c r="A107" s="175"/>
      <c r="B107" s="87"/>
      <c r="C107" s="176"/>
      <c r="D107" s="24"/>
      <c r="E107" s="44" t="s">
        <v>411</v>
      </c>
      <c r="F107" s="50">
        <f>F105+F106</f>
        <v>23.479999999999997</v>
      </c>
      <c r="G107" s="30"/>
      <c r="H107" s="172"/>
    </row>
    <row r="108" spans="1:8" s="6" customFormat="1" ht="25.5" customHeight="1">
      <c r="A108" s="35">
        <f>MAX(A$2:A107)+1</f>
        <v>12</v>
      </c>
      <c r="B108" s="32" t="s">
        <v>55</v>
      </c>
      <c r="C108" s="51" t="s">
        <v>87</v>
      </c>
      <c r="D108" s="88"/>
      <c r="E108" s="105" t="s">
        <v>88</v>
      </c>
      <c r="F108" s="106"/>
      <c r="G108" s="76" t="s">
        <v>51</v>
      </c>
      <c r="H108" s="77">
        <f>H109</f>
        <v>1959.5</v>
      </c>
    </row>
    <row r="109" spans="1:8" s="6" customFormat="1" ht="25.5" customHeight="1">
      <c r="A109" s="180"/>
      <c r="B109" s="186"/>
      <c r="C109" s="51"/>
      <c r="D109" s="84" t="s">
        <v>87</v>
      </c>
      <c r="E109" s="81" t="s">
        <v>88</v>
      </c>
      <c r="F109" s="179"/>
      <c r="G109" s="83" t="s">
        <v>51</v>
      </c>
      <c r="H109" s="49">
        <f>ROUND(F117,2)</f>
        <v>1959.5</v>
      </c>
    </row>
    <row r="110" spans="1:8" ht="25.5">
      <c r="A110" s="175"/>
      <c r="B110" s="87"/>
      <c r="C110" s="176"/>
      <c r="D110" s="24"/>
      <c r="E110" s="31" t="s">
        <v>719</v>
      </c>
      <c r="F110" s="50">
        <v>640.94000000000005</v>
      </c>
      <c r="G110" s="30"/>
      <c r="H110" s="172"/>
    </row>
    <row r="111" spans="1:8" ht="25.5">
      <c r="A111" s="175"/>
      <c r="B111" s="87"/>
      <c r="C111" s="176"/>
      <c r="D111" s="24"/>
      <c r="E111" s="111" t="s">
        <v>720</v>
      </c>
      <c r="F111" s="55">
        <v>635.82000000000005</v>
      </c>
      <c r="G111" s="30"/>
      <c r="H111" s="172"/>
    </row>
    <row r="112" spans="1:8" ht="12.75" customHeight="1">
      <c r="A112" s="175"/>
      <c r="B112" s="87"/>
      <c r="C112" s="176"/>
      <c r="D112" s="24"/>
      <c r="E112" s="44" t="s">
        <v>421</v>
      </c>
      <c r="F112" s="50">
        <f>F110+F111</f>
        <v>1276.7600000000002</v>
      </c>
      <c r="G112" s="30"/>
      <c r="H112" s="172"/>
    </row>
    <row r="113" spans="1:8" ht="12.75" customHeight="1">
      <c r="A113" s="45"/>
      <c r="B113" s="46"/>
      <c r="C113" s="36"/>
      <c r="D113" s="41"/>
      <c r="E113" s="31" t="s">
        <v>721</v>
      </c>
      <c r="F113" s="187"/>
      <c r="G113" s="37"/>
      <c r="H113" s="172"/>
    </row>
    <row r="114" spans="1:8" ht="12.75" customHeight="1">
      <c r="A114" s="175"/>
      <c r="B114" s="87"/>
      <c r="C114" s="176"/>
      <c r="D114" s="24"/>
      <c r="E114" s="31" t="s">
        <v>722</v>
      </c>
      <c r="F114" s="50">
        <f>20+21.8</f>
        <v>41.8</v>
      </c>
      <c r="G114" s="30" t="s">
        <v>451</v>
      </c>
      <c r="H114" s="172"/>
    </row>
    <row r="115" spans="1:8" ht="12.75" customHeight="1">
      <c r="A115" s="175"/>
      <c r="B115" s="87"/>
      <c r="C115" s="176"/>
      <c r="D115" s="24"/>
      <c r="E115" s="111" t="s">
        <v>723</v>
      </c>
      <c r="F115" s="55">
        <v>640.94000000000005</v>
      </c>
      <c r="G115" s="30"/>
      <c r="H115" s="172"/>
    </row>
    <row r="116" spans="1:8" ht="12.75" customHeight="1">
      <c r="A116" s="175"/>
      <c r="B116" s="87"/>
      <c r="C116" s="176"/>
      <c r="D116" s="24"/>
      <c r="E116" s="44" t="s">
        <v>421</v>
      </c>
      <c r="F116" s="50">
        <f>SUM(F114:F115)</f>
        <v>682.74</v>
      </c>
      <c r="G116" s="30"/>
      <c r="H116" s="172"/>
    </row>
    <row r="117" spans="1:8" ht="12.75" customHeight="1">
      <c r="A117" s="175"/>
      <c r="B117" s="87"/>
      <c r="C117" s="176"/>
      <c r="D117" s="24"/>
      <c r="E117" s="44" t="s">
        <v>724</v>
      </c>
      <c r="F117" s="50">
        <f>F112+F116</f>
        <v>1959.5000000000002</v>
      </c>
      <c r="G117" s="30"/>
      <c r="H117" s="172"/>
    </row>
    <row r="118" spans="1:8" s="6" customFormat="1" ht="25.5" customHeight="1">
      <c r="A118" s="35">
        <f>MAX(A$2:A117)+1</f>
        <v>13</v>
      </c>
      <c r="B118" s="32" t="s">
        <v>55</v>
      </c>
      <c r="C118" s="51" t="s">
        <v>89</v>
      </c>
      <c r="D118" s="88"/>
      <c r="E118" s="105" t="s">
        <v>90</v>
      </c>
      <c r="F118" s="106"/>
      <c r="G118" s="76" t="s">
        <v>72</v>
      </c>
      <c r="H118" s="77">
        <f>H119</f>
        <v>2</v>
      </c>
    </row>
    <row r="119" spans="1:8" s="6" customFormat="1" ht="25.5">
      <c r="A119" s="180"/>
      <c r="B119" s="186"/>
      <c r="C119" s="51"/>
      <c r="D119" s="84" t="s">
        <v>89</v>
      </c>
      <c r="E119" s="81" t="s">
        <v>90</v>
      </c>
      <c r="F119" s="179"/>
      <c r="G119" s="83" t="s">
        <v>72</v>
      </c>
      <c r="H119" s="49">
        <f>F122</f>
        <v>2</v>
      </c>
    </row>
    <row r="120" spans="1:8">
      <c r="A120" s="45"/>
      <c r="B120" s="161"/>
      <c r="C120" s="168"/>
      <c r="D120" s="101"/>
      <c r="E120" s="31" t="s">
        <v>725</v>
      </c>
      <c r="F120" s="50">
        <v>1</v>
      </c>
      <c r="G120" s="188"/>
      <c r="H120" s="167"/>
    </row>
    <row r="121" spans="1:8" ht="12.75" customHeight="1">
      <c r="A121" s="45"/>
      <c r="B121" s="161"/>
      <c r="C121" s="168"/>
      <c r="D121" s="41"/>
      <c r="E121" s="111" t="s">
        <v>726</v>
      </c>
      <c r="F121" s="55">
        <v>1</v>
      </c>
      <c r="G121" s="165"/>
      <c r="H121" s="167"/>
    </row>
    <row r="122" spans="1:8" ht="12.75" customHeight="1">
      <c r="A122" s="45"/>
      <c r="B122" s="46"/>
      <c r="C122" s="36"/>
      <c r="D122" s="41"/>
      <c r="E122" s="44" t="s">
        <v>411</v>
      </c>
      <c r="F122" s="50">
        <f>F120+F121</f>
        <v>2</v>
      </c>
      <c r="G122" s="165"/>
      <c r="H122" s="167"/>
    </row>
    <row r="123" spans="1:8" s="6" customFormat="1" ht="15">
      <c r="A123" s="35">
        <f>MAX(A$2:A122)+1</f>
        <v>14</v>
      </c>
      <c r="B123" s="32" t="s">
        <v>55</v>
      </c>
      <c r="C123" s="51" t="s">
        <v>91</v>
      </c>
      <c r="D123" s="88"/>
      <c r="E123" s="105" t="s">
        <v>92</v>
      </c>
      <c r="F123" s="106"/>
      <c r="G123" s="76" t="s">
        <v>30</v>
      </c>
      <c r="H123" s="77">
        <f>H124</f>
        <v>5245.34</v>
      </c>
    </row>
    <row r="124" spans="1:8" s="6" customFormat="1" ht="12.75" customHeight="1">
      <c r="A124" s="180"/>
      <c r="B124" s="186"/>
      <c r="C124" s="51"/>
      <c r="D124" s="84" t="s">
        <v>479</v>
      </c>
      <c r="E124" s="81" t="s">
        <v>480</v>
      </c>
      <c r="F124" s="179"/>
      <c r="G124" s="83" t="s">
        <v>30</v>
      </c>
      <c r="H124" s="49">
        <f>ROUND(F150,2)</f>
        <v>5245.34</v>
      </c>
    </row>
    <row r="125" spans="1:8" ht="25.5">
      <c r="A125" s="45"/>
      <c r="B125" s="161"/>
      <c r="C125" s="168"/>
      <c r="D125" s="101"/>
      <c r="E125" s="31" t="s">
        <v>481</v>
      </c>
      <c r="F125" s="50"/>
      <c r="G125" s="188"/>
      <c r="H125" s="167"/>
    </row>
    <row r="126" spans="1:8" ht="12.75" customHeight="1">
      <c r="A126" s="175"/>
      <c r="B126" s="87"/>
      <c r="C126" s="176"/>
      <c r="D126" s="24"/>
      <c r="E126" s="31" t="s">
        <v>727</v>
      </c>
      <c r="F126" s="50">
        <f xml:space="preserve"> 23.76*2.3</f>
        <v>54.647999999999996</v>
      </c>
      <c r="G126" s="30"/>
      <c r="H126" s="172"/>
    </row>
    <row r="127" spans="1:8" ht="25.5">
      <c r="A127" s="175"/>
      <c r="B127" s="87"/>
      <c r="C127" s="176"/>
      <c r="D127" s="24"/>
      <c r="E127" s="31" t="s">
        <v>728</v>
      </c>
      <c r="F127" s="50">
        <f>(38.39+601.3+740.73+11.23+1089.65*0.02)*2.5</f>
        <v>3533.6075000000001</v>
      </c>
      <c r="G127" s="30"/>
      <c r="H127" s="172"/>
    </row>
    <row r="128" spans="1:8" ht="25.5">
      <c r="A128" s="175"/>
      <c r="B128" s="87"/>
      <c r="C128" s="176"/>
      <c r="D128" s="24"/>
      <c r="E128" s="31" t="s">
        <v>729</v>
      </c>
      <c r="F128" s="50">
        <f>23.48*0.66</f>
        <v>15.4968</v>
      </c>
      <c r="G128" s="30"/>
      <c r="H128" s="172"/>
    </row>
    <row r="129" spans="1:10" ht="25.5">
      <c r="A129" s="175"/>
      <c r="B129" s="87"/>
      <c r="C129" s="176"/>
      <c r="D129" s="24"/>
      <c r="E129" s="31" t="s">
        <v>730</v>
      </c>
      <c r="F129" s="50">
        <f>1986.45*0.056+18.82*0.084+0.72*0.168</f>
        <v>112.94304</v>
      </c>
      <c r="G129" s="30"/>
      <c r="H129" s="172"/>
    </row>
    <row r="130" spans="1:10" ht="12.75" customHeight="1">
      <c r="A130" s="175"/>
      <c r="B130" s="87"/>
      <c r="C130" s="176"/>
      <c r="D130" s="24"/>
      <c r="E130" s="31" t="s">
        <v>731</v>
      </c>
      <c r="F130" s="55">
        <f>7171.06*0.0074</f>
        <v>53.065844000000006</v>
      </c>
      <c r="G130" s="30"/>
      <c r="H130" s="172"/>
    </row>
    <row r="131" spans="1:10" ht="12.75" customHeight="1">
      <c r="A131" s="45"/>
      <c r="B131" s="46"/>
      <c r="C131" s="36"/>
      <c r="D131" s="41"/>
      <c r="E131" s="44" t="s">
        <v>421</v>
      </c>
      <c r="F131" s="50">
        <f>SUM(F126:F130)</f>
        <v>3769.7611840000004</v>
      </c>
      <c r="G131" s="37"/>
      <c r="H131" s="172"/>
      <c r="I131" s="189"/>
      <c r="J131" s="190"/>
    </row>
    <row r="132" spans="1:10" ht="25.5">
      <c r="A132" s="175"/>
      <c r="B132" s="87"/>
      <c r="C132" s="176"/>
      <c r="D132" s="24"/>
      <c r="E132" s="31" t="s">
        <v>732</v>
      </c>
      <c r="F132" s="50">
        <f>733.27*0.076+6527.75*0.076+6527.75*0.102</f>
        <v>1217.6680199999998</v>
      </c>
      <c r="G132" s="30"/>
      <c r="H132" s="172"/>
    </row>
    <row r="133" spans="1:10" ht="12.75" customHeight="1">
      <c r="A133" s="175"/>
      <c r="B133" s="87"/>
      <c r="C133" s="176"/>
      <c r="D133" s="24"/>
      <c r="E133" s="31" t="s">
        <v>733</v>
      </c>
      <c r="F133" s="50"/>
      <c r="G133" s="30"/>
      <c r="H133" s="172"/>
    </row>
    <row r="134" spans="1:10" ht="12.75">
      <c r="A134" s="175"/>
      <c r="B134" s="87"/>
      <c r="C134" s="176"/>
      <c r="D134" s="24"/>
      <c r="E134" s="31" t="s">
        <v>734</v>
      </c>
      <c r="F134" s="50">
        <f>44*0.15</f>
        <v>6.6</v>
      </c>
      <c r="G134" s="30"/>
      <c r="H134" s="172"/>
    </row>
    <row r="135" spans="1:10" ht="25.5">
      <c r="A135" s="175"/>
      <c r="B135" s="87"/>
      <c r="C135" s="176"/>
      <c r="D135" s="24"/>
      <c r="E135" s="31" t="s">
        <v>735</v>
      </c>
      <c r="F135" s="50">
        <f>0.1*(640.94*0.1+635.82*0.15)</f>
        <v>15.946700000000002</v>
      </c>
      <c r="G135" s="30"/>
      <c r="H135" s="172"/>
    </row>
    <row r="136" spans="1:10" ht="12.75">
      <c r="A136" s="175"/>
      <c r="B136" s="87"/>
      <c r="C136" s="176"/>
      <c r="D136" s="24"/>
      <c r="E136" s="31" t="s">
        <v>736</v>
      </c>
      <c r="F136" s="50">
        <f>12*0.02</f>
        <v>0.24</v>
      </c>
      <c r="G136" s="30"/>
      <c r="H136" s="172"/>
    </row>
    <row r="137" spans="1:10" ht="12.75">
      <c r="A137" s="175"/>
      <c r="B137" s="87"/>
      <c r="C137" s="176"/>
      <c r="D137" s="24"/>
      <c r="E137" s="31" t="s">
        <v>737</v>
      </c>
      <c r="F137" s="50">
        <f>635.8*0.01</f>
        <v>6.3579999999999997</v>
      </c>
      <c r="G137" s="30"/>
      <c r="H137" s="172"/>
    </row>
    <row r="138" spans="1:10" ht="12.75">
      <c r="A138" s="175"/>
      <c r="B138" s="87"/>
      <c r="C138" s="176"/>
      <c r="D138" s="24"/>
      <c r="E138" s="31" t="s">
        <v>738</v>
      </c>
      <c r="F138" s="50">
        <f>640.94*0.1</f>
        <v>64.094000000000008</v>
      </c>
      <c r="G138" s="30"/>
      <c r="H138" s="172"/>
    </row>
    <row r="139" spans="1:10" ht="12.75">
      <c r="A139" s="175"/>
      <c r="B139" s="87"/>
      <c r="C139" s="176"/>
      <c r="D139" s="24"/>
      <c r="E139" s="31" t="s">
        <v>739</v>
      </c>
      <c r="F139" s="50">
        <f>38*0.05</f>
        <v>1.9000000000000001</v>
      </c>
      <c r="G139" s="30"/>
      <c r="H139" s="172"/>
    </row>
    <row r="140" spans="1:10" ht="25.5">
      <c r="A140" s="175"/>
      <c r="B140" s="87"/>
      <c r="C140" s="176"/>
      <c r="D140" s="24"/>
      <c r="E140" s="31" t="s">
        <v>740</v>
      </c>
      <c r="F140" s="50"/>
      <c r="G140" s="30"/>
      <c r="H140" s="172"/>
    </row>
    <row r="141" spans="1:10" ht="38.25">
      <c r="A141" s="175"/>
      <c r="B141" s="87"/>
      <c r="C141" s="176"/>
      <c r="D141" s="24"/>
      <c r="E141" s="31" t="s">
        <v>741</v>
      </c>
      <c r="F141" s="50">
        <f>(1.5*(0.8+0.25)+1.5*(1.985+0.15)+1.5*(0.8+0.25)+1.5*(0.77+0.15))*0.006*7.87</f>
        <v>0.36512865000000005</v>
      </c>
      <c r="G141" s="30"/>
      <c r="H141" s="172"/>
    </row>
    <row r="142" spans="1:10" ht="38.25">
      <c r="A142" s="175"/>
      <c r="B142" s="87"/>
      <c r="C142" s="176"/>
      <c r="D142" s="24"/>
      <c r="E142" s="31" t="s">
        <v>742</v>
      </c>
      <c r="F142" s="50">
        <f>(1.5*(0.8+0.25)+1.5*(1.81+0.15)+1.5*(0.8+0.25)+1.5*(0.77+0.15))*0.006*7.87</f>
        <v>0.35273340000000003</v>
      </c>
      <c r="G142" s="30"/>
      <c r="H142" s="172"/>
    </row>
    <row r="143" spans="1:10" ht="12.75">
      <c r="A143" s="175"/>
      <c r="B143" s="87"/>
      <c r="C143" s="176"/>
      <c r="D143" s="24"/>
      <c r="E143" s="31" t="s">
        <v>743</v>
      </c>
      <c r="F143" s="55">
        <f>12.92*0.2</f>
        <v>2.5840000000000001</v>
      </c>
      <c r="G143" s="30"/>
      <c r="H143" s="172"/>
    </row>
    <row r="144" spans="1:10" ht="12.75">
      <c r="A144" s="175"/>
      <c r="B144" s="87"/>
      <c r="C144" s="176"/>
      <c r="D144" s="30"/>
      <c r="E144" s="44" t="s">
        <v>421</v>
      </c>
      <c r="F144" s="50">
        <f>SUM(F134:F143)</f>
        <v>98.440562050000025</v>
      </c>
      <c r="G144" s="30"/>
      <c r="H144" s="172"/>
    </row>
    <row r="145" spans="1:12" ht="12.75" customHeight="1">
      <c r="A145" s="175"/>
      <c r="B145" s="87"/>
      <c r="C145" s="176"/>
      <c r="D145" s="24"/>
      <c r="E145" s="31" t="s">
        <v>744</v>
      </c>
      <c r="F145" s="50"/>
      <c r="G145" s="30"/>
      <c r="H145" s="172"/>
    </row>
    <row r="146" spans="1:12" ht="12.75" customHeight="1">
      <c r="A146" s="175"/>
      <c r="B146" s="87"/>
      <c r="C146" s="176"/>
      <c r="D146" s="24"/>
      <c r="E146" s="31" t="s">
        <v>745</v>
      </c>
      <c r="F146" s="50"/>
      <c r="G146" s="30"/>
      <c r="H146" s="172"/>
    </row>
    <row r="147" spans="1:12" ht="12.75">
      <c r="A147" s="175"/>
      <c r="B147" s="87"/>
      <c r="C147" s="176"/>
      <c r="D147" s="24"/>
      <c r="E147" s="31" t="s">
        <v>746</v>
      </c>
      <c r="F147" s="50">
        <f>640.94*0.1</f>
        <v>64.094000000000008</v>
      </c>
      <c r="G147" s="30"/>
      <c r="H147" s="172"/>
    </row>
    <row r="148" spans="1:12" ht="14.45" customHeight="1">
      <c r="A148" s="175"/>
      <c r="B148" s="87"/>
      <c r="C148" s="176"/>
      <c r="D148" s="24"/>
      <c r="E148" s="31" t="s">
        <v>747</v>
      </c>
      <c r="F148" s="103">
        <f xml:space="preserve"> 635.82*0.15</f>
        <v>95.373000000000005</v>
      </c>
      <c r="G148" s="30"/>
      <c r="H148" s="172"/>
    </row>
    <row r="149" spans="1:12" ht="12.75" customHeight="1">
      <c r="A149" s="45"/>
      <c r="B149" s="46"/>
      <c r="C149" s="36"/>
      <c r="D149" s="41"/>
      <c r="E149" s="44" t="s">
        <v>748</v>
      </c>
      <c r="F149" s="50">
        <f>SUM(F147:F148)</f>
        <v>159.46700000000001</v>
      </c>
      <c r="G149" s="37"/>
      <c r="H149" s="172"/>
    </row>
    <row r="150" spans="1:12" ht="12.75" customHeight="1">
      <c r="A150" s="45"/>
      <c r="B150" s="46"/>
      <c r="C150" s="36"/>
      <c r="D150" s="41"/>
      <c r="E150" s="44" t="s">
        <v>749</v>
      </c>
      <c r="F150" s="50">
        <f>F131+F132+F144+F149</f>
        <v>5245.3367660499998</v>
      </c>
      <c r="G150" s="37"/>
      <c r="H150" s="172"/>
    </row>
    <row r="151" spans="1:12" s="6" customFormat="1" ht="38.25">
      <c r="A151" s="35">
        <f>MAX(A$2:A150)+1</f>
        <v>15</v>
      </c>
      <c r="B151" s="32" t="s">
        <v>55</v>
      </c>
      <c r="C151" s="51" t="s">
        <v>93</v>
      </c>
      <c r="D151" s="88"/>
      <c r="E151" s="105" t="s">
        <v>94</v>
      </c>
      <c r="F151" s="106"/>
      <c r="G151" s="76" t="s">
        <v>44</v>
      </c>
      <c r="H151" s="77">
        <f>H152</f>
        <v>25215.64</v>
      </c>
    </row>
    <row r="152" spans="1:12" s="6" customFormat="1" ht="38.25">
      <c r="A152" s="180"/>
      <c r="B152" s="181"/>
      <c r="C152" s="88"/>
      <c r="D152" s="84" t="s">
        <v>750</v>
      </c>
      <c r="E152" s="81" t="s">
        <v>751</v>
      </c>
      <c r="F152" s="179"/>
      <c r="G152" s="83" t="s">
        <v>44</v>
      </c>
      <c r="H152" s="49">
        <f>ROUND(F164,2)</f>
        <v>25215.64</v>
      </c>
    </row>
    <row r="153" spans="1:12" ht="12.75" customHeight="1">
      <c r="A153" s="45"/>
      <c r="B153" s="46"/>
      <c r="C153" s="36"/>
      <c r="D153" s="41"/>
      <c r="E153" s="31" t="s">
        <v>752</v>
      </c>
      <c r="F153" s="191"/>
      <c r="G153" s="37"/>
      <c r="H153" s="172"/>
    </row>
    <row r="154" spans="1:12" ht="12.75" customHeight="1">
      <c r="A154" s="45"/>
      <c r="B154" s="46"/>
      <c r="C154" s="36"/>
      <c r="D154" s="41"/>
      <c r="E154" s="31" t="s">
        <v>753</v>
      </c>
      <c r="F154" s="191"/>
      <c r="G154" s="37"/>
      <c r="H154" s="172"/>
    </row>
    <row r="155" spans="1:12" ht="38.25">
      <c r="A155" s="45"/>
      <c r="B155" s="46"/>
      <c r="C155" s="36"/>
      <c r="D155" s="41"/>
      <c r="E155" s="31" t="s">
        <v>754</v>
      </c>
      <c r="F155" s="50">
        <f>2*93.809+2*184.85+2*180.507+2*86.346+2*5.47+6*(19.04-1.28)+3*(2*1.6*2.6)</f>
        <v>1233.4839999999999</v>
      </c>
      <c r="G155" s="37"/>
      <c r="H155" s="172"/>
    </row>
    <row r="156" spans="1:12" ht="38.25">
      <c r="A156" s="45"/>
      <c r="B156" s="46"/>
      <c r="C156" s="36"/>
      <c r="D156" s="41"/>
      <c r="E156" s="31" t="s">
        <v>755</v>
      </c>
      <c r="F156" s="50">
        <f>(43.786+87.578+87.775+43.858)*(5.35+4.95)*0.5+3*0.8*2.6</f>
        <v>1360.6745500000002</v>
      </c>
      <c r="G156" s="37"/>
      <c r="H156" s="172"/>
    </row>
    <row r="157" spans="1:12" ht="38.25">
      <c r="A157" s="45"/>
      <c r="B157" s="46"/>
      <c r="C157" s="36"/>
      <c r="D157" s="41"/>
      <c r="E157" s="31" t="s">
        <v>756</v>
      </c>
      <c r="F157" s="55">
        <f>(43.665+87.306+87.496+43.721)*(5.35+4.95)*0.5+3*0.8*2.6</f>
        <v>1356.5082</v>
      </c>
      <c r="G157" s="37"/>
      <c r="H157" s="172"/>
    </row>
    <row r="158" spans="1:12" ht="12.75" customHeight="1">
      <c r="A158" s="45"/>
      <c r="B158" s="46"/>
      <c r="C158" s="36"/>
      <c r="D158" s="41"/>
      <c r="E158" s="173" t="s">
        <v>421</v>
      </c>
      <c r="F158" s="50">
        <f>SUM(F155:F157)</f>
        <v>3950.6667500000003</v>
      </c>
      <c r="G158" s="37"/>
      <c r="H158" s="172"/>
    </row>
    <row r="159" spans="1:12">
      <c r="A159" s="45"/>
      <c r="B159" s="46"/>
      <c r="C159" s="36"/>
      <c r="D159" s="41"/>
      <c r="E159" s="31" t="s">
        <v>752</v>
      </c>
      <c r="F159" s="50"/>
      <c r="G159" s="37"/>
      <c r="H159" s="172"/>
      <c r="L159" s="62"/>
    </row>
    <row r="160" spans="1:12">
      <c r="A160" s="45"/>
      <c r="B160" s="46"/>
      <c r="C160" s="36"/>
      <c r="D160" s="41"/>
      <c r="E160" s="31" t="s">
        <v>757</v>
      </c>
      <c r="F160" s="50">
        <f>36.65+1529.722</f>
        <v>1566.3720000000001</v>
      </c>
      <c r="G160" s="37"/>
      <c r="H160" s="172"/>
      <c r="L160" s="62"/>
    </row>
    <row r="161" spans="1:12">
      <c r="A161" s="45"/>
      <c r="B161" s="46"/>
      <c r="C161" s="36"/>
      <c r="D161" s="41"/>
      <c r="E161" s="31" t="s">
        <v>758</v>
      </c>
      <c r="F161" s="50">
        <f>8596.3</f>
        <v>8596.2999999999993</v>
      </c>
      <c r="G161" s="37"/>
      <c r="H161" s="172"/>
      <c r="L161" s="62"/>
    </row>
    <row r="162" spans="1:12">
      <c r="A162" s="45"/>
      <c r="B162" s="46"/>
      <c r="C162" s="36"/>
      <c r="D162" s="41"/>
      <c r="E162" s="31" t="s">
        <v>759</v>
      </c>
      <c r="F162" s="55">
        <f>11102.3</f>
        <v>11102.3</v>
      </c>
      <c r="G162" s="37"/>
      <c r="H162" s="172"/>
      <c r="L162" s="62"/>
    </row>
    <row r="163" spans="1:12">
      <c r="A163" s="45"/>
      <c r="B163" s="46"/>
      <c r="C163" s="36"/>
      <c r="D163" s="41"/>
      <c r="E163" s="173" t="s">
        <v>421</v>
      </c>
      <c r="F163" s="50">
        <f>F160+F161+F162</f>
        <v>21264.971999999998</v>
      </c>
      <c r="G163" s="37"/>
      <c r="H163" s="172"/>
      <c r="L163" s="62"/>
    </row>
    <row r="164" spans="1:12">
      <c r="A164" s="45"/>
      <c r="B164" s="46"/>
      <c r="C164" s="36"/>
      <c r="D164" s="41"/>
      <c r="E164" s="173" t="s">
        <v>411</v>
      </c>
      <c r="F164" s="58">
        <f>F158+F163</f>
        <v>25215.638749999998</v>
      </c>
      <c r="G164" s="37"/>
      <c r="H164" s="172"/>
      <c r="L164" s="62"/>
    </row>
    <row r="165" spans="1:12" ht="38.25">
      <c r="A165" s="35">
        <f>MAX(A$2:A163)+1</f>
        <v>16</v>
      </c>
      <c r="B165" s="32" t="s">
        <v>55</v>
      </c>
      <c r="C165" s="51" t="s">
        <v>95</v>
      </c>
      <c r="D165" s="88"/>
      <c r="E165" s="105" t="s">
        <v>96</v>
      </c>
      <c r="F165" s="106"/>
      <c r="G165" s="76" t="s">
        <v>44</v>
      </c>
      <c r="H165" s="77">
        <f>H166</f>
        <v>21264.97</v>
      </c>
      <c r="L165" s="62"/>
    </row>
    <row r="166" spans="1:12" ht="38.25">
      <c r="A166" s="180"/>
      <c r="B166" s="181"/>
      <c r="C166" s="88"/>
      <c r="D166" s="84" t="s">
        <v>760</v>
      </c>
      <c r="E166" s="81" t="s">
        <v>761</v>
      </c>
      <c r="F166" s="179"/>
      <c r="G166" s="83" t="s">
        <v>44</v>
      </c>
      <c r="H166" s="49">
        <f>ROUND(F171,2)</f>
        <v>21264.97</v>
      </c>
      <c r="L166" s="62"/>
    </row>
    <row r="167" spans="1:12">
      <c r="A167" s="45"/>
      <c r="B167" s="46"/>
      <c r="C167" s="36"/>
      <c r="D167" s="41"/>
      <c r="E167" s="31" t="s">
        <v>762</v>
      </c>
      <c r="F167" s="50"/>
      <c r="G167" s="37"/>
      <c r="H167" s="172"/>
      <c r="L167" s="62"/>
    </row>
    <row r="168" spans="1:12">
      <c r="A168" s="45"/>
      <c r="B168" s="46"/>
      <c r="C168" s="36"/>
      <c r="D168" s="41"/>
      <c r="E168" s="31" t="s">
        <v>757</v>
      </c>
      <c r="F168" s="50">
        <f>36.65+1529.722</f>
        <v>1566.3720000000001</v>
      </c>
      <c r="G168" s="37"/>
      <c r="H168" s="172"/>
      <c r="L168" s="62"/>
    </row>
    <row r="169" spans="1:12">
      <c r="A169" s="45"/>
      <c r="B169" s="46"/>
      <c r="C169" s="36"/>
      <c r="D169" s="41"/>
      <c r="E169" s="31" t="s">
        <v>758</v>
      </c>
      <c r="F169" s="50">
        <f>8596.3</f>
        <v>8596.2999999999993</v>
      </c>
      <c r="G169" s="37"/>
      <c r="H169" s="172"/>
      <c r="L169" s="62"/>
    </row>
    <row r="170" spans="1:12">
      <c r="A170" s="45"/>
      <c r="B170" s="46"/>
      <c r="C170" s="36"/>
      <c r="D170" s="41"/>
      <c r="E170" s="31" t="s">
        <v>759</v>
      </c>
      <c r="F170" s="55">
        <f>11102.3</f>
        <v>11102.3</v>
      </c>
      <c r="G170" s="37"/>
      <c r="H170" s="172"/>
      <c r="L170" s="62"/>
    </row>
    <row r="171" spans="1:12" ht="12.75" customHeight="1">
      <c r="A171" s="45"/>
      <c r="B171" s="46"/>
      <c r="C171" s="36"/>
      <c r="D171" s="41"/>
      <c r="E171" s="173" t="s">
        <v>421</v>
      </c>
      <c r="F171" s="50">
        <f>SUM(F168:F170)</f>
        <v>21264.971999999998</v>
      </c>
      <c r="G171" s="37"/>
      <c r="H171" s="172"/>
    </row>
    <row r="172" spans="1:12" s="6" customFormat="1" ht="25.5">
      <c r="A172" s="35">
        <f>MAX(A$2:A171)+1</f>
        <v>17</v>
      </c>
      <c r="B172" s="32" t="s">
        <v>55</v>
      </c>
      <c r="C172" s="51" t="s">
        <v>97</v>
      </c>
      <c r="D172" s="88"/>
      <c r="E172" s="105" t="s">
        <v>98</v>
      </c>
      <c r="F172" s="106"/>
      <c r="G172" s="76" t="s">
        <v>33</v>
      </c>
      <c r="H172" s="77">
        <f>H173</f>
        <v>11.23</v>
      </c>
      <c r="I172" s="192"/>
    </row>
    <row r="173" spans="1:12" s="6" customFormat="1" ht="25.5">
      <c r="A173" s="180"/>
      <c r="B173" s="186"/>
      <c r="C173" s="51"/>
      <c r="D173" s="84" t="s">
        <v>763</v>
      </c>
      <c r="E173" s="81" t="s">
        <v>98</v>
      </c>
      <c r="F173" s="179"/>
      <c r="G173" s="193" t="s">
        <v>33</v>
      </c>
      <c r="H173" s="49">
        <f>ROUND(F178,2)</f>
        <v>11.23</v>
      </c>
    </row>
    <row r="174" spans="1:12" ht="25.5">
      <c r="A174" s="45"/>
      <c r="B174" s="46"/>
      <c r="C174" s="36"/>
      <c r="D174" s="41"/>
      <c r="E174" s="31" t="s">
        <v>764</v>
      </c>
      <c r="F174" s="50"/>
      <c r="G174" s="37"/>
      <c r="H174" s="172"/>
    </row>
    <row r="175" spans="1:12">
      <c r="A175" s="45"/>
      <c r="B175" s="46"/>
      <c r="C175" s="36"/>
      <c r="D175" s="41"/>
      <c r="E175" s="31" t="s">
        <v>765</v>
      </c>
      <c r="F175" s="50">
        <f>8*1.38*0.65+9*0.35*0.5*(0.404+0.154)+9*0.282*0.054</f>
        <v>8.1919020000000007</v>
      </c>
      <c r="G175" s="37"/>
      <c r="H175" s="172"/>
    </row>
    <row r="176" spans="1:12" ht="12.75" customHeight="1">
      <c r="A176" s="45"/>
      <c r="B176" s="161"/>
      <c r="C176" s="168"/>
      <c r="D176" s="194"/>
      <c r="E176" s="31" t="s">
        <v>766</v>
      </c>
      <c r="F176" s="187"/>
      <c r="G176" s="37"/>
      <c r="H176" s="172"/>
    </row>
    <row r="177" spans="1:8">
      <c r="A177" s="45"/>
      <c r="B177" s="46"/>
      <c r="C177" s="36"/>
      <c r="D177" s="41"/>
      <c r="E177" s="31" t="s">
        <v>767</v>
      </c>
      <c r="F177" s="55">
        <f>0.3*0.4*12.65*2</f>
        <v>3.036</v>
      </c>
      <c r="G177" s="37"/>
      <c r="H177" s="172"/>
    </row>
    <row r="178" spans="1:8" ht="12.75" customHeight="1">
      <c r="A178" s="45"/>
      <c r="B178" s="46"/>
      <c r="C178" s="36"/>
      <c r="D178" s="194"/>
      <c r="E178" s="173" t="s">
        <v>411</v>
      </c>
      <c r="F178" s="50">
        <f>SUM(F175:F177)</f>
        <v>11.227902</v>
      </c>
      <c r="G178" s="37"/>
      <c r="H178" s="172"/>
    </row>
    <row r="179" spans="1:8" ht="25.5">
      <c r="A179" s="35">
        <f>MAX(A$2:A178)+1</f>
        <v>18</v>
      </c>
      <c r="B179" s="32" t="s">
        <v>55</v>
      </c>
      <c r="C179" s="51" t="s">
        <v>99</v>
      </c>
      <c r="D179" s="88"/>
      <c r="E179" s="53" t="s">
        <v>100</v>
      </c>
      <c r="F179" s="106"/>
      <c r="G179" s="76" t="s">
        <v>44</v>
      </c>
      <c r="H179" s="146">
        <f>H180</f>
        <v>1089.6500000000001</v>
      </c>
    </row>
    <row r="180" spans="1:8" s="6" customFormat="1" ht="25.5">
      <c r="A180" s="180"/>
      <c r="B180" s="186"/>
      <c r="C180" s="51"/>
      <c r="D180" s="84" t="s">
        <v>99</v>
      </c>
      <c r="E180" s="81" t="s">
        <v>100</v>
      </c>
      <c r="F180" s="179"/>
      <c r="G180" s="193" t="s">
        <v>44</v>
      </c>
      <c r="H180" s="49">
        <f>ROUND(F183,2)</f>
        <v>1089.6500000000001</v>
      </c>
    </row>
    <row r="181" spans="1:8" ht="12.75" customHeight="1">
      <c r="A181" s="45"/>
      <c r="B181" s="46"/>
      <c r="C181" s="36"/>
      <c r="D181" s="194"/>
      <c r="E181" s="31" t="s">
        <v>768</v>
      </c>
      <c r="F181" s="58"/>
      <c r="G181" s="37"/>
      <c r="H181" s="172"/>
    </row>
    <row r="182" spans="1:8" ht="12.75" customHeight="1">
      <c r="A182" s="45"/>
      <c r="B182" s="46"/>
      <c r="C182" s="36"/>
      <c r="D182" s="194"/>
      <c r="E182" s="195" t="s">
        <v>769</v>
      </c>
      <c r="F182" s="58"/>
      <c r="G182" s="37"/>
      <c r="H182" s="172"/>
    </row>
    <row r="183" spans="1:8" ht="12.75" customHeight="1">
      <c r="A183" s="45"/>
      <c r="B183" s="46"/>
      <c r="C183" s="36"/>
      <c r="D183" s="194"/>
      <c r="E183" s="195" t="s">
        <v>770</v>
      </c>
      <c r="F183" s="58">
        <f>(1529.722+528.041+17.308+19.342+8596.3+11102.3)*0.05</f>
        <v>1089.65065</v>
      </c>
      <c r="G183" s="37"/>
      <c r="H183" s="172"/>
    </row>
    <row r="184" spans="1:8" s="62" customFormat="1" ht="25.5">
      <c r="A184" s="35">
        <f>MAX(A$2:A183)+1</f>
        <v>19</v>
      </c>
      <c r="B184" s="32" t="s">
        <v>55</v>
      </c>
      <c r="C184" s="51" t="s">
        <v>101</v>
      </c>
      <c r="D184" s="88"/>
      <c r="E184" s="53" t="s">
        <v>102</v>
      </c>
      <c r="F184" s="106"/>
      <c r="G184" s="76" t="s">
        <v>44</v>
      </c>
      <c r="H184" s="77">
        <f>H185+H190+H197</f>
        <v>2005.99</v>
      </c>
    </row>
    <row r="185" spans="1:8" s="6" customFormat="1" ht="25.5">
      <c r="A185" s="180"/>
      <c r="B185" s="181"/>
      <c r="C185" s="102"/>
      <c r="D185" s="84" t="s">
        <v>771</v>
      </c>
      <c r="E185" s="81" t="s">
        <v>772</v>
      </c>
      <c r="F185" s="179"/>
      <c r="G185" s="83" t="s">
        <v>44</v>
      </c>
      <c r="H185" s="49">
        <f>ROUND(F189,2)</f>
        <v>1986.45</v>
      </c>
    </row>
    <row r="186" spans="1:8" ht="25.5">
      <c r="A186" s="45"/>
      <c r="B186" s="46"/>
      <c r="C186" s="36"/>
      <c r="D186" s="41"/>
      <c r="E186" s="31" t="s">
        <v>773</v>
      </c>
      <c r="F186" s="50"/>
      <c r="G186" s="37"/>
      <c r="H186" s="172"/>
    </row>
    <row r="187" spans="1:8">
      <c r="A187" s="45"/>
      <c r="B187" s="46"/>
      <c r="C187" s="36"/>
      <c r="D187" s="41"/>
      <c r="E187" s="31" t="s">
        <v>774</v>
      </c>
      <c r="F187" s="50">
        <f>0.25*271.3*12.53</f>
        <v>849.84725000000003</v>
      </c>
      <c r="G187" s="37"/>
      <c r="H187" s="172"/>
    </row>
    <row r="188" spans="1:8">
      <c r="A188" s="45"/>
      <c r="B188" s="46"/>
      <c r="C188" s="36"/>
      <c r="D188" s="41"/>
      <c r="E188" s="31" t="s">
        <v>775</v>
      </c>
      <c r="F188" s="55">
        <f>0.25*359.4*12.65</f>
        <v>1136.6025</v>
      </c>
      <c r="G188" s="37"/>
      <c r="H188" s="172"/>
    </row>
    <row r="189" spans="1:8" ht="12.75" customHeight="1">
      <c r="A189" s="45"/>
      <c r="B189" s="46"/>
      <c r="C189" s="36"/>
      <c r="D189" s="41"/>
      <c r="E189" s="173" t="s">
        <v>411</v>
      </c>
      <c r="F189" s="50">
        <f>F187+F188</f>
        <v>1986.44975</v>
      </c>
      <c r="G189" s="37"/>
      <c r="H189" s="172"/>
    </row>
    <row r="190" spans="1:8" ht="25.5">
      <c r="A190" s="45"/>
      <c r="B190" s="46"/>
      <c r="C190" s="36"/>
      <c r="D190" s="79" t="s">
        <v>776</v>
      </c>
      <c r="E190" s="91" t="s">
        <v>777</v>
      </c>
      <c r="F190" s="92"/>
      <c r="G190" s="83" t="s">
        <v>44</v>
      </c>
      <c r="H190" s="49">
        <f>ROUND(F196,2)</f>
        <v>18.82</v>
      </c>
    </row>
    <row r="191" spans="1:8" ht="12.75" customHeight="1">
      <c r="A191" s="45"/>
      <c r="B191" s="46"/>
      <c r="C191" s="36"/>
      <c r="D191" s="41"/>
      <c r="E191" s="31" t="s">
        <v>778</v>
      </c>
      <c r="F191" s="58"/>
      <c r="G191" s="37"/>
      <c r="H191" s="172"/>
    </row>
    <row r="192" spans="1:8" ht="12.75" customHeight="1">
      <c r="A192" s="45"/>
      <c r="B192" s="46"/>
      <c r="C192" s="36"/>
      <c r="D192" s="41"/>
      <c r="E192" s="31" t="s">
        <v>779</v>
      </c>
      <c r="F192" s="50">
        <f>0.16*0.2*8*2*2*2</f>
        <v>2.048</v>
      </c>
      <c r="G192" s="37"/>
      <c r="H192" s="172"/>
    </row>
    <row r="193" spans="1:11" ht="12.75" customHeight="1">
      <c r="A193" s="45"/>
      <c r="B193" s="46"/>
      <c r="C193" s="36"/>
      <c r="D193" s="41"/>
      <c r="E193" s="31" t="s">
        <v>780</v>
      </c>
      <c r="F193" s="50">
        <f>0.5*0.8*6*2*2+0.16*0.2*6*6*2*2</f>
        <v>14.208000000000002</v>
      </c>
      <c r="G193" s="37"/>
      <c r="H193" s="172"/>
    </row>
    <row r="194" spans="1:11" ht="12.75" customHeight="1">
      <c r="A194" s="45"/>
      <c r="B194" s="46"/>
      <c r="C194" s="36"/>
      <c r="D194" s="41"/>
      <c r="E194" s="31" t="s">
        <v>781</v>
      </c>
      <c r="F194" s="50"/>
      <c r="G194" s="37"/>
      <c r="H194" s="172"/>
    </row>
    <row r="195" spans="1:11" ht="12.75" customHeight="1">
      <c r="A195" s="45"/>
      <c r="B195" s="46"/>
      <c r="C195" s="36"/>
      <c r="D195" s="41"/>
      <c r="E195" s="31" t="s">
        <v>782</v>
      </c>
      <c r="F195" s="55">
        <f>0.16*0.2*(2*4*2*2+3*2*2*4)</f>
        <v>2.56</v>
      </c>
      <c r="G195" s="37"/>
      <c r="H195" s="172"/>
    </row>
    <row r="196" spans="1:11" ht="12.75" customHeight="1">
      <c r="A196" s="45"/>
      <c r="B196" s="46"/>
      <c r="C196" s="36"/>
      <c r="D196" s="41"/>
      <c r="E196" s="196"/>
      <c r="F196" s="50">
        <f>SUM(F192:F195)</f>
        <v>18.815999999999999</v>
      </c>
      <c r="G196" s="37"/>
      <c r="H196" s="172"/>
    </row>
    <row r="197" spans="1:11" ht="25.5">
      <c r="A197" s="45"/>
      <c r="B197" s="46"/>
      <c r="C197" s="36"/>
      <c r="D197" s="79" t="s">
        <v>783</v>
      </c>
      <c r="E197" s="91" t="s">
        <v>784</v>
      </c>
      <c r="F197" s="92"/>
      <c r="G197" s="83" t="s">
        <v>44</v>
      </c>
      <c r="H197" s="49">
        <f>ROUND(F199,2)</f>
        <v>0.72</v>
      </c>
    </row>
    <row r="198" spans="1:11" ht="12.75" customHeight="1">
      <c r="A198" s="45"/>
      <c r="B198" s="46"/>
      <c r="C198" s="36"/>
      <c r="D198" s="41"/>
      <c r="E198" s="31" t="s">
        <v>785</v>
      </c>
      <c r="F198" s="50"/>
      <c r="G198" s="37"/>
      <c r="H198" s="172"/>
    </row>
    <row r="199" spans="1:11" ht="12.75" customHeight="1">
      <c r="A199" s="45"/>
      <c r="B199" s="46"/>
      <c r="C199" s="36"/>
      <c r="D199" s="41"/>
      <c r="E199" s="31" t="s">
        <v>786</v>
      </c>
      <c r="F199" s="50">
        <f>0.6*0.05*(2*2+3*2*2+1*2*4)</f>
        <v>0.72</v>
      </c>
      <c r="G199" s="37"/>
      <c r="H199" s="172"/>
    </row>
    <row r="200" spans="1:11" ht="25.5">
      <c r="A200" s="35">
        <f>MAX(A$2:A199)+1</f>
        <v>20</v>
      </c>
      <c r="B200" s="32" t="s">
        <v>55</v>
      </c>
      <c r="C200" s="51" t="s">
        <v>103</v>
      </c>
      <c r="D200" s="52"/>
      <c r="E200" s="53" t="s">
        <v>104</v>
      </c>
      <c r="F200" s="75"/>
      <c r="G200" s="76" t="s">
        <v>44</v>
      </c>
      <c r="H200" s="146">
        <f>H201+H206</f>
        <v>13055.5</v>
      </c>
    </row>
    <row r="201" spans="1:11" ht="25.5">
      <c r="A201" s="35"/>
      <c r="B201" s="32"/>
      <c r="C201" s="197"/>
      <c r="D201" s="79" t="s">
        <v>787</v>
      </c>
      <c r="E201" s="91" t="s">
        <v>788</v>
      </c>
      <c r="F201" s="92"/>
      <c r="G201" s="83" t="s">
        <v>44</v>
      </c>
      <c r="H201" s="49">
        <f>ROUND(F205,2)</f>
        <v>6527.75</v>
      </c>
    </row>
    <row r="202" spans="1:11" ht="25.5">
      <c r="A202" s="35"/>
      <c r="B202" s="32"/>
      <c r="C202" s="197"/>
      <c r="D202" s="52"/>
      <c r="E202" s="31" t="s">
        <v>789</v>
      </c>
      <c r="F202" s="50"/>
      <c r="G202" s="76"/>
      <c r="H202" s="146"/>
      <c r="K202" s="62"/>
    </row>
    <row r="203" spans="1:11" ht="12.75" customHeight="1">
      <c r="A203" s="35"/>
      <c r="B203" s="32"/>
      <c r="C203" s="197"/>
      <c r="D203" s="52"/>
      <c r="E203" s="111" t="s">
        <v>790</v>
      </c>
      <c r="F203" s="50">
        <f xml:space="preserve"> 10.35*271.3</f>
        <v>2807.9549999999999</v>
      </c>
      <c r="G203" s="76"/>
      <c r="H203" s="146"/>
    </row>
    <row r="204" spans="1:11" ht="12.75" customHeight="1">
      <c r="A204" s="35"/>
      <c r="B204" s="32"/>
      <c r="C204" s="197"/>
      <c r="D204" s="52"/>
      <c r="E204" s="31" t="s">
        <v>791</v>
      </c>
      <c r="F204" s="55">
        <f>10.35*359.4</f>
        <v>3719.7899999999995</v>
      </c>
      <c r="G204" s="76"/>
      <c r="H204" s="146"/>
    </row>
    <row r="205" spans="1:11" ht="12.75" customHeight="1">
      <c r="A205" s="35"/>
      <c r="B205" s="32"/>
      <c r="C205" s="197"/>
      <c r="D205" s="52"/>
      <c r="E205" s="44" t="s">
        <v>411</v>
      </c>
      <c r="F205" s="50">
        <f>F203+F204</f>
        <v>6527.744999999999</v>
      </c>
      <c r="G205" s="76"/>
      <c r="H205" s="146"/>
    </row>
    <row r="206" spans="1:11" ht="25.5">
      <c r="A206" s="45"/>
      <c r="B206" s="46"/>
      <c r="C206" s="36"/>
      <c r="D206" s="79" t="s">
        <v>490</v>
      </c>
      <c r="E206" s="91" t="s">
        <v>491</v>
      </c>
      <c r="F206" s="92"/>
      <c r="G206" s="83" t="s">
        <v>44</v>
      </c>
      <c r="H206" s="49">
        <f>ROUND(F210,2)</f>
        <v>6527.75</v>
      </c>
    </row>
    <row r="207" spans="1:11" ht="12.75" customHeight="1">
      <c r="A207" s="45"/>
      <c r="B207" s="46"/>
      <c r="C207" s="36"/>
      <c r="D207" s="41"/>
      <c r="E207" s="31" t="s">
        <v>792</v>
      </c>
      <c r="F207" s="50"/>
      <c r="G207" s="37"/>
      <c r="H207" s="172"/>
    </row>
    <row r="208" spans="1:11" ht="12.75" customHeight="1">
      <c r="A208" s="45"/>
      <c r="B208" s="46"/>
      <c r="C208" s="36"/>
      <c r="D208" s="41"/>
      <c r="E208" s="31" t="s">
        <v>793</v>
      </c>
      <c r="F208" s="50">
        <f>10.35*271.3</f>
        <v>2807.9549999999999</v>
      </c>
      <c r="G208" s="37"/>
      <c r="H208" s="172"/>
    </row>
    <row r="209" spans="1:8" ht="12.75" customHeight="1">
      <c r="A209" s="45"/>
      <c r="B209" s="46"/>
      <c r="C209" s="36"/>
      <c r="D209" s="41"/>
      <c r="E209" s="111" t="s">
        <v>791</v>
      </c>
      <c r="F209" s="55">
        <f>10.35*359.4</f>
        <v>3719.7899999999995</v>
      </c>
      <c r="G209" s="37"/>
      <c r="H209" s="172"/>
    </row>
    <row r="210" spans="1:8" ht="12.75" customHeight="1">
      <c r="A210" s="45"/>
      <c r="B210" s="46"/>
      <c r="C210" s="36"/>
      <c r="D210" s="41"/>
      <c r="E210" s="44" t="s">
        <v>421</v>
      </c>
      <c r="F210" s="50">
        <f>F209+F208</f>
        <v>6527.744999999999</v>
      </c>
      <c r="G210" s="37"/>
      <c r="H210" s="172"/>
    </row>
    <row r="211" spans="1:8" ht="12.75" customHeight="1">
      <c r="A211" s="45"/>
      <c r="B211" s="46"/>
      <c r="C211" s="36"/>
      <c r="D211" s="41"/>
      <c r="E211" s="196"/>
      <c r="F211" s="58"/>
      <c r="G211" s="37"/>
      <c r="H211" s="172"/>
    </row>
    <row r="212" spans="1:8" s="6" customFormat="1" ht="25.5">
      <c r="A212" s="35">
        <f>MAX(A$2:A211)+1</f>
        <v>21</v>
      </c>
      <c r="B212" s="32" t="s">
        <v>55</v>
      </c>
      <c r="C212" s="51" t="s">
        <v>105</v>
      </c>
      <c r="D212" s="88"/>
      <c r="E212" s="105" t="s">
        <v>106</v>
      </c>
      <c r="F212" s="106"/>
      <c r="G212" s="76" t="s">
        <v>51</v>
      </c>
      <c r="H212" s="77">
        <f>H213+H217</f>
        <v>438.28</v>
      </c>
    </row>
    <row r="213" spans="1:8" s="6" customFormat="1" ht="25.5">
      <c r="A213" s="180"/>
      <c r="B213" s="186"/>
      <c r="C213" s="51"/>
      <c r="D213" s="84" t="s">
        <v>794</v>
      </c>
      <c r="E213" s="81" t="s">
        <v>795</v>
      </c>
      <c r="F213" s="179"/>
      <c r="G213" s="193" t="s">
        <v>51</v>
      </c>
      <c r="H213" s="49">
        <f>ROUND(F215,2)</f>
        <v>370.28</v>
      </c>
    </row>
    <row r="214" spans="1:8" ht="12.75" customHeight="1">
      <c r="A214" s="45"/>
      <c r="B214" s="46"/>
      <c r="C214" s="36"/>
      <c r="D214" s="41"/>
      <c r="E214" s="31" t="s">
        <v>796</v>
      </c>
      <c r="F214" s="50"/>
      <c r="G214" s="37"/>
      <c r="H214" s="172"/>
    </row>
    <row r="215" spans="1:8" ht="12.75" customHeight="1">
      <c r="A215" s="45"/>
      <c r="B215" s="46"/>
      <c r="C215" s="36"/>
      <c r="D215" s="41"/>
      <c r="E215" s="31" t="s">
        <v>797</v>
      </c>
      <c r="F215" s="50">
        <f>80*0.952+86*3.42</f>
        <v>370.28</v>
      </c>
      <c r="G215" s="37"/>
      <c r="H215" s="172"/>
    </row>
    <row r="216" spans="1:8" ht="12.75" customHeight="1">
      <c r="A216" s="45"/>
      <c r="B216" s="46"/>
      <c r="C216" s="36"/>
      <c r="D216" s="41"/>
      <c r="E216" s="198"/>
      <c r="F216" s="187"/>
      <c r="G216" s="37"/>
      <c r="H216" s="172"/>
    </row>
    <row r="217" spans="1:8" s="6" customFormat="1" ht="25.5">
      <c r="A217" s="180"/>
      <c r="B217" s="181"/>
      <c r="C217" s="88"/>
      <c r="D217" s="84" t="s">
        <v>798</v>
      </c>
      <c r="E217" s="81" t="s">
        <v>799</v>
      </c>
      <c r="F217" s="179"/>
      <c r="G217" s="102"/>
      <c r="H217" s="49">
        <f>ROUND(F221,2)</f>
        <v>68</v>
      </c>
    </row>
    <row r="218" spans="1:8" ht="25.5">
      <c r="A218" s="45"/>
      <c r="B218" s="46"/>
      <c r="C218" s="36"/>
      <c r="D218" s="41"/>
      <c r="E218" s="31" t="s">
        <v>800</v>
      </c>
      <c r="F218" s="50">
        <f xml:space="preserve"> 1.5*1*6*2</f>
        <v>18</v>
      </c>
      <c r="G218" s="37"/>
      <c r="H218" s="172"/>
    </row>
    <row r="219" spans="1:8" ht="12.75" customHeight="1">
      <c r="A219" s="45"/>
      <c r="B219" s="46"/>
      <c r="C219" s="36"/>
      <c r="D219" s="41"/>
      <c r="E219" s="31" t="s">
        <v>801</v>
      </c>
      <c r="F219" s="50"/>
      <c r="G219" s="37"/>
      <c r="H219" s="172" t="s">
        <v>451</v>
      </c>
    </row>
    <row r="220" spans="1:8" ht="12.75" customHeight="1">
      <c r="A220" s="45"/>
      <c r="B220" s="46"/>
      <c r="C220" s="36"/>
      <c r="D220" s="41"/>
      <c r="E220" s="31" t="s">
        <v>802</v>
      </c>
      <c r="F220" s="55">
        <v>50</v>
      </c>
      <c r="G220" s="37"/>
      <c r="H220" s="172"/>
    </row>
    <row r="221" spans="1:8" ht="12.75" customHeight="1">
      <c r="A221" s="45"/>
      <c r="B221" s="46"/>
      <c r="C221" s="36"/>
      <c r="D221" s="41"/>
      <c r="E221" s="173" t="s">
        <v>411</v>
      </c>
      <c r="F221" s="50">
        <f>SUM(F218:F220)</f>
        <v>68</v>
      </c>
      <c r="G221" s="37"/>
      <c r="H221" s="172"/>
    </row>
    <row r="222" spans="1:8" s="6" customFormat="1" ht="25.5">
      <c r="A222" s="35">
        <f>MAX(A$2:A221)+1</f>
        <v>22</v>
      </c>
      <c r="B222" s="32" t="s">
        <v>55</v>
      </c>
      <c r="C222" s="51" t="s">
        <v>107</v>
      </c>
      <c r="D222" s="88"/>
      <c r="E222" s="105" t="s">
        <v>108</v>
      </c>
      <c r="F222" s="106"/>
      <c r="G222" s="76" t="s">
        <v>51</v>
      </c>
      <c r="H222" s="77">
        <f>H223</f>
        <v>61.5</v>
      </c>
    </row>
    <row r="223" spans="1:8" s="6" customFormat="1" ht="25.5">
      <c r="A223" s="180"/>
      <c r="B223" s="186"/>
      <c r="C223" s="51"/>
      <c r="D223" s="84" t="s">
        <v>505</v>
      </c>
      <c r="E223" s="81" t="s">
        <v>506</v>
      </c>
      <c r="F223" s="179"/>
      <c r="G223" s="193" t="s">
        <v>51</v>
      </c>
      <c r="H223" s="49">
        <f>F224</f>
        <v>61.5</v>
      </c>
    </row>
    <row r="224" spans="1:8" ht="25.5">
      <c r="A224" s="45"/>
      <c r="B224" s="46"/>
      <c r="C224" s="36"/>
      <c r="D224" s="41"/>
      <c r="E224" s="31" t="s">
        <v>803</v>
      </c>
      <c r="F224" s="58">
        <f xml:space="preserve"> 6*10.25</f>
        <v>61.5</v>
      </c>
      <c r="G224" s="37"/>
      <c r="H224" s="172"/>
    </row>
    <row r="225" spans="1:10" s="6" customFormat="1" ht="12.75" customHeight="1">
      <c r="A225" s="35">
        <f>MAX(A$2:A224)+1</f>
        <v>23</v>
      </c>
      <c r="B225" s="32" t="s">
        <v>55</v>
      </c>
      <c r="C225" s="390" t="s">
        <v>1508</v>
      </c>
      <c r="D225" s="396"/>
      <c r="E225" s="391" t="s">
        <v>1500</v>
      </c>
      <c r="F225" s="106"/>
      <c r="G225" s="393" t="s">
        <v>51</v>
      </c>
      <c r="H225" s="402">
        <f>H226</f>
        <v>728.01</v>
      </c>
    </row>
    <row r="226" spans="1:10" s="6" customFormat="1">
      <c r="A226" s="180"/>
      <c r="B226" s="186"/>
      <c r="C226" s="390"/>
      <c r="D226" s="101" t="s">
        <v>1508</v>
      </c>
      <c r="E226" s="401" t="s">
        <v>1500</v>
      </c>
      <c r="F226" s="179"/>
      <c r="G226" s="403" t="s">
        <v>51</v>
      </c>
      <c r="H226" s="167">
        <f>ROUND(F237,2)</f>
        <v>728.01</v>
      </c>
      <c r="J226" s="404"/>
    </row>
    <row r="227" spans="1:10" ht="12.75" customHeight="1">
      <c r="A227" s="45"/>
      <c r="B227" s="46"/>
      <c r="C227" s="36"/>
      <c r="D227" s="41"/>
      <c r="E227" s="31" t="s">
        <v>804</v>
      </c>
      <c r="F227" s="50"/>
      <c r="G227" s="37"/>
      <c r="H227" s="172"/>
    </row>
    <row r="228" spans="1:10" ht="12.75" customHeight="1">
      <c r="A228" s="45"/>
      <c r="B228" s="46"/>
      <c r="C228" s="36"/>
      <c r="D228" s="41"/>
      <c r="E228" s="31" t="s">
        <v>805</v>
      </c>
      <c r="F228" s="50">
        <f>(0.8*16*2*2*2+2.6*15*2*2+2.6*6*2+0.6*16*2*2+0.6*4*2*4)*1.2</f>
        <v>416.63999999999993</v>
      </c>
      <c r="G228" s="37"/>
      <c r="H228" s="172"/>
    </row>
    <row r="229" spans="1:10" ht="12.75" customHeight="1">
      <c r="A229" s="45"/>
      <c r="B229" s="46"/>
      <c r="C229" s="36"/>
      <c r="D229" s="41"/>
      <c r="E229" s="31" t="s">
        <v>806</v>
      </c>
      <c r="F229" s="50"/>
      <c r="G229" s="37"/>
      <c r="H229" s="172"/>
    </row>
    <row r="230" spans="1:10" ht="25.5">
      <c r="A230" s="45"/>
      <c r="B230" s="46"/>
      <c r="C230" s="36"/>
      <c r="D230" s="41"/>
      <c r="E230" s="31" t="s">
        <v>807</v>
      </c>
      <c r="F230" s="55">
        <f>(1.65*8*2*2+1.65*6*6*2+(0.3+0.3)*6*6*2+(0.4+0.4)*4*2*2+(0.44+0.47)*1*2*4+(0.28+0.32)*1*2*4+(0.25+0.22)*1*2*4)*1.2</f>
        <v>292.12799999999993</v>
      </c>
      <c r="G230" s="37"/>
      <c r="H230" s="172"/>
    </row>
    <row r="231" spans="1:10" ht="12.75" customHeight="1">
      <c r="A231" s="45"/>
      <c r="B231" s="46"/>
      <c r="C231" s="36"/>
      <c r="D231" s="41"/>
      <c r="E231" s="173" t="s">
        <v>421</v>
      </c>
      <c r="F231" s="50">
        <f>SUM(F228:F230)</f>
        <v>708.7679999999998</v>
      </c>
      <c r="G231" s="37"/>
      <c r="H231" s="172"/>
    </row>
    <row r="232" spans="1:10" ht="12.75" customHeight="1">
      <c r="A232" s="45"/>
      <c r="B232" s="46"/>
      <c r="C232" s="36"/>
      <c r="D232" s="41"/>
      <c r="E232" s="31" t="s">
        <v>808</v>
      </c>
      <c r="F232" s="200"/>
      <c r="G232" s="37"/>
      <c r="H232" s="172"/>
    </row>
    <row r="233" spans="1:10" ht="12.75" customHeight="1">
      <c r="A233" s="45"/>
      <c r="B233" s="46"/>
      <c r="C233" s="36"/>
      <c r="D233" s="41"/>
      <c r="E233" s="31" t="s">
        <v>809</v>
      </c>
      <c r="F233" s="50">
        <f>19*0.45</f>
        <v>8.5500000000000007</v>
      </c>
      <c r="G233" s="37"/>
      <c r="H233" s="172"/>
    </row>
    <row r="234" spans="1:10" ht="12.75" customHeight="1">
      <c r="A234" s="45"/>
      <c r="B234" s="46"/>
      <c r="C234" s="36"/>
      <c r="D234" s="41"/>
      <c r="E234" s="31" t="s">
        <v>810</v>
      </c>
      <c r="F234" s="50">
        <f>25*0.37</f>
        <v>9.25</v>
      </c>
      <c r="G234" s="37"/>
      <c r="H234" s="172"/>
    </row>
    <row r="235" spans="1:10" ht="25.5">
      <c r="A235" s="45"/>
      <c r="B235" s="46"/>
      <c r="C235" s="36"/>
      <c r="D235" s="41"/>
      <c r="E235" s="31" t="s">
        <v>811</v>
      </c>
      <c r="F235" s="58">
        <f>12*0.12</f>
        <v>1.44</v>
      </c>
      <c r="G235" s="37"/>
      <c r="H235" s="172"/>
    </row>
    <row r="236" spans="1:10" ht="12.75" customHeight="1">
      <c r="A236" s="45"/>
      <c r="B236" s="46"/>
      <c r="C236" s="36"/>
      <c r="D236" s="41"/>
      <c r="E236" s="173" t="s">
        <v>421</v>
      </c>
      <c r="F236" s="58">
        <f>SUM(F233:F235)</f>
        <v>19.240000000000002</v>
      </c>
      <c r="G236" s="37"/>
      <c r="H236" s="172"/>
    </row>
    <row r="237" spans="1:10" ht="12.75" customHeight="1">
      <c r="A237" s="45"/>
      <c r="B237" s="46"/>
      <c r="C237" s="36"/>
      <c r="D237" s="41"/>
      <c r="E237" s="173" t="s">
        <v>411</v>
      </c>
      <c r="F237" s="58">
        <f>F231+F236</f>
        <v>728.00799999999981</v>
      </c>
      <c r="G237" s="37"/>
      <c r="H237" s="172"/>
    </row>
    <row r="238" spans="1:10" ht="25.5">
      <c r="A238" s="35">
        <f>MAX(A$2:A237)+1</f>
        <v>24</v>
      </c>
      <c r="B238" s="32" t="s">
        <v>55</v>
      </c>
      <c r="C238" s="390" t="s">
        <v>1502</v>
      </c>
      <c r="D238" s="396"/>
      <c r="E238" s="391" t="s">
        <v>1503</v>
      </c>
      <c r="F238" s="92"/>
      <c r="G238" s="393" t="s">
        <v>51</v>
      </c>
      <c r="H238" s="402">
        <f>H239</f>
        <v>73.680000000000007</v>
      </c>
    </row>
    <row r="239" spans="1:10" s="6" customFormat="1">
      <c r="A239" s="180"/>
      <c r="B239" s="186"/>
      <c r="C239" s="390"/>
      <c r="D239" s="101" t="s">
        <v>1502</v>
      </c>
      <c r="E239" s="401" t="s">
        <v>1503</v>
      </c>
      <c r="F239" s="179"/>
      <c r="G239" s="403" t="s">
        <v>51</v>
      </c>
      <c r="H239" s="167">
        <f>ROUND(F244,2)</f>
        <v>73.680000000000007</v>
      </c>
    </row>
    <row r="240" spans="1:10" ht="12.75" customHeight="1">
      <c r="A240" s="45"/>
      <c r="B240" s="46"/>
      <c r="C240" s="36"/>
      <c r="D240" s="41"/>
      <c r="E240" s="31" t="s">
        <v>812</v>
      </c>
      <c r="F240" s="50"/>
      <c r="G240" s="37"/>
      <c r="H240" s="172"/>
    </row>
    <row r="241" spans="1:8" ht="12.75" customHeight="1">
      <c r="A241" s="45"/>
      <c r="B241" s="46"/>
      <c r="C241" s="36"/>
      <c r="D241" s="41"/>
      <c r="E241" s="31" t="s">
        <v>813</v>
      </c>
      <c r="F241" s="50">
        <f>0.45*(3*2*2+1*2*2*2+1*2*2+1*2*4+1*2*2+1*2*4)*1.2</f>
        <v>23.76</v>
      </c>
      <c r="G241" s="37"/>
      <c r="H241" s="172"/>
    </row>
    <row r="242" spans="1:8" ht="12.75" customHeight="1">
      <c r="A242" s="45"/>
      <c r="B242" s="46"/>
      <c r="C242" s="36"/>
      <c r="D242" s="41"/>
      <c r="E242" s="31" t="s">
        <v>814</v>
      </c>
      <c r="F242" s="50"/>
      <c r="G242" s="37"/>
      <c r="H242" s="172"/>
    </row>
    <row r="243" spans="1:8" ht="12.75" customHeight="1">
      <c r="A243" s="45"/>
      <c r="B243" s="46"/>
      <c r="C243" s="36"/>
      <c r="D243" s="41"/>
      <c r="E243" s="31" t="s">
        <v>815</v>
      </c>
      <c r="F243" s="55">
        <f xml:space="preserve"> 2.6*(6+4+6)*1.2</f>
        <v>49.92</v>
      </c>
      <c r="G243" s="37"/>
      <c r="H243" s="172"/>
    </row>
    <row r="244" spans="1:8" ht="12.75" customHeight="1">
      <c r="A244" s="45"/>
      <c r="B244" s="46"/>
      <c r="C244" s="36"/>
      <c r="D244" s="41"/>
      <c r="E244" s="31"/>
      <c r="F244" s="50">
        <f>SUM(F241:F243)</f>
        <v>73.680000000000007</v>
      </c>
      <c r="G244" s="37"/>
      <c r="H244" s="172"/>
    </row>
    <row r="245" spans="1:8" ht="25.5">
      <c r="A245" s="35">
        <f>MAX(A$2:A244)+1</f>
        <v>25</v>
      </c>
      <c r="B245" s="32" t="s">
        <v>55</v>
      </c>
      <c r="C245" s="390" t="s">
        <v>1504</v>
      </c>
      <c r="D245" s="396"/>
      <c r="E245" s="391" t="s">
        <v>1505</v>
      </c>
      <c r="F245" s="58"/>
      <c r="G245" s="393" t="s">
        <v>51</v>
      </c>
      <c r="H245" s="402">
        <f>H246</f>
        <v>21.89</v>
      </c>
    </row>
    <row r="246" spans="1:8" s="6" customFormat="1">
      <c r="A246" s="180"/>
      <c r="B246" s="186"/>
      <c r="C246" s="390"/>
      <c r="D246" s="101" t="s">
        <v>1504</v>
      </c>
      <c r="E246" s="401" t="s">
        <v>1505</v>
      </c>
      <c r="F246" s="179"/>
      <c r="G246" s="403" t="s">
        <v>51</v>
      </c>
      <c r="H246" s="167">
        <f>ROUND(F250,2)</f>
        <v>21.89</v>
      </c>
    </row>
    <row r="247" spans="1:8" ht="12.75" customHeight="1">
      <c r="A247" s="45"/>
      <c r="B247" s="46"/>
      <c r="C247" s="36"/>
      <c r="D247" s="41"/>
      <c r="E247" s="31" t="s">
        <v>816</v>
      </c>
      <c r="F247" s="50"/>
      <c r="G247" s="37"/>
      <c r="H247" s="172"/>
    </row>
    <row r="248" spans="1:8" ht="12.75" customHeight="1">
      <c r="A248" s="45"/>
      <c r="B248" s="46"/>
      <c r="C248" s="36"/>
      <c r="D248" s="41"/>
      <c r="E248" s="31" t="s">
        <v>817</v>
      </c>
      <c r="F248" s="50">
        <f>22*0.395</f>
        <v>8.6900000000000013</v>
      </c>
      <c r="G248" s="37"/>
      <c r="H248" s="172"/>
    </row>
    <row r="249" spans="1:8" ht="12.75" customHeight="1">
      <c r="A249" s="45"/>
      <c r="B249" s="46"/>
      <c r="C249" s="36"/>
      <c r="D249" s="41"/>
      <c r="E249" s="31" t="s">
        <v>818</v>
      </c>
      <c r="F249" s="55">
        <f xml:space="preserve"> 24*(0.43+0.12)</f>
        <v>13.200000000000001</v>
      </c>
      <c r="G249" s="37"/>
      <c r="H249" s="172"/>
    </row>
    <row r="250" spans="1:8" ht="12.75" customHeight="1">
      <c r="A250" s="45"/>
      <c r="B250" s="46"/>
      <c r="C250" s="36"/>
      <c r="D250" s="41"/>
      <c r="E250" s="173" t="s">
        <v>724</v>
      </c>
      <c r="F250" s="50">
        <f>SUM(F248:F249)</f>
        <v>21.89</v>
      </c>
      <c r="G250" s="37"/>
      <c r="H250" s="172"/>
    </row>
    <row r="251" spans="1:8" ht="25.5">
      <c r="A251" s="35">
        <f>MAX(A$2:A250)+1</f>
        <v>26</v>
      </c>
      <c r="B251" s="32" t="s">
        <v>55</v>
      </c>
      <c r="C251" s="390" t="s">
        <v>1506</v>
      </c>
      <c r="D251" s="396"/>
      <c r="E251" s="391" t="s">
        <v>1507</v>
      </c>
      <c r="F251" s="58"/>
      <c r="G251" s="393" t="s">
        <v>51</v>
      </c>
      <c r="H251" s="402">
        <f>H252</f>
        <v>23.76</v>
      </c>
    </row>
    <row r="252" spans="1:8" s="6" customFormat="1">
      <c r="A252" s="180"/>
      <c r="B252" s="186"/>
      <c r="C252" s="390"/>
      <c r="D252" s="101" t="s">
        <v>1506</v>
      </c>
      <c r="E252" s="401" t="s">
        <v>1507</v>
      </c>
      <c r="F252" s="179"/>
      <c r="G252" s="403" t="s">
        <v>51</v>
      </c>
      <c r="H252" s="167">
        <f>ROUND(F254,2)</f>
        <v>23.76</v>
      </c>
    </row>
    <row r="253" spans="1:8" ht="12.75" customHeight="1">
      <c r="A253" s="45"/>
      <c r="B253" s="46"/>
      <c r="C253" s="36"/>
      <c r="D253" s="41"/>
      <c r="E253" s="31" t="s">
        <v>819</v>
      </c>
      <c r="F253" s="58"/>
      <c r="G253" s="37"/>
      <c r="H253" s="172"/>
    </row>
    <row r="254" spans="1:8" ht="12.75" customHeight="1">
      <c r="A254" s="45"/>
      <c r="B254" s="46"/>
      <c r="C254" s="36"/>
      <c r="D254" s="41"/>
      <c r="E254" s="31" t="s">
        <v>813</v>
      </c>
      <c r="F254" s="58">
        <f>0.45*(3*2*2+1*2*2*2+1*2*2+1*2*4+1*2*2+1*2*4)*1.2</f>
        <v>23.76</v>
      </c>
      <c r="G254" s="37"/>
      <c r="H254" s="172"/>
    </row>
    <row r="255" spans="1:8" ht="12.75" customHeight="1">
      <c r="A255" s="35">
        <f>MAX(A$2:A254)+1</f>
        <v>27</v>
      </c>
      <c r="B255" s="32" t="s">
        <v>55</v>
      </c>
      <c r="C255" s="51" t="s">
        <v>109</v>
      </c>
      <c r="D255" s="52"/>
      <c r="E255" s="53" t="s">
        <v>110</v>
      </c>
      <c r="F255" s="106"/>
      <c r="G255" s="76" t="s">
        <v>51</v>
      </c>
      <c r="H255" s="21">
        <f>H256</f>
        <v>140.56</v>
      </c>
    </row>
    <row r="256" spans="1:8" ht="12.75" customHeight="1">
      <c r="A256" s="45"/>
      <c r="B256" s="46"/>
      <c r="C256" s="51"/>
      <c r="D256" s="79" t="s">
        <v>820</v>
      </c>
      <c r="E256" s="91" t="s">
        <v>821</v>
      </c>
      <c r="F256" s="106"/>
      <c r="G256" s="83" t="s">
        <v>51</v>
      </c>
      <c r="H256" s="29">
        <f>ROUND(F266,2)</f>
        <v>140.56</v>
      </c>
    </row>
    <row r="257" spans="1:8" ht="25.5">
      <c r="A257" s="45"/>
      <c r="B257" s="46"/>
      <c r="C257" s="36"/>
      <c r="D257" s="41"/>
      <c r="E257" s="31" t="s">
        <v>822</v>
      </c>
      <c r="F257" s="50"/>
      <c r="G257" s="37"/>
      <c r="H257" s="172"/>
    </row>
    <row r="258" spans="1:8" ht="12.75" customHeight="1">
      <c r="A258" s="45"/>
      <c r="B258" s="46"/>
      <c r="C258" s="36"/>
      <c r="D258" s="41"/>
      <c r="E258" s="31" t="s">
        <v>823</v>
      </c>
      <c r="F258" s="50">
        <f>(21+21)*0.25</f>
        <v>10.5</v>
      </c>
      <c r="G258" s="37"/>
      <c r="H258" s="172"/>
    </row>
    <row r="259" spans="1:8" ht="12.75" customHeight="1">
      <c r="A259" s="45"/>
      <c r="B259" s="46"/>
      <c r="C259" s="36"/>
      <c r="D259" s="41"/>
      <c r="E259" s="31" t="s">
        <v>824</v>
      </c>
      <c r="F259" s="50"/>
      <c r="G259" s="37"/>
      <c r="H259" s="172"/>
    </row>
    <row r="260" spans="1:8" ht="12.75" customHeight="1">
      <c r="A260" s="45"/>
      <c r="B260" s="46"/>
      <c r="C260" s="36"/>
      <c r="D260" s="41"/>
      <c r="E260" s="31" t="s">
        <v>825</v>
      </c>
      <c r="F260" s="50">
        <f>128*0.3</f>
        <v>38.4</v>
      </c>
      <c r="G260" s="37"/>
      <c r="H260" s="172"/>
    </row>
    <row r="261" spans="1:8" ht="25.5">
      <c r="A261" s="45"/>
      <c r="B261" s="46"/>
      <c r="C261" s="36"/>
      <c r="D261" s="41"/>
      <c r="E261" s="31" t="s">
        <v>826</v>
      </c>
      <c r="F261" s="50">
        <f>0.15*72</f>
        <v>10.799999999999999</v>
      </c>
      <c r="G261" s="37"/>
      <c r="H261" s="172"/>
    </row>
    <row r="262" spans="1:8" ht="25.5">
      <c r="A262" s="45"/>
      <c r="B262" s="46"/>
      <c r="C262" s="36"/>
      <c r="D262" s="41"/>
      <c r="E262" s="31" t="s">
        <v>827</v>
      </c>
      <c r="F262" s="50">
        <f>0.15*36</f>
        <v>5.3999999999999995</v>
      </c>
      <c r="G262" s="37"/>
      <c r="H262" s="172"/>
    </row>
    <row r="263" spans="1:8" ht="25.5">
      <c r="A263" s="45"/>
      <c r="B263" s="46"/>
      <c r="C263" s="36"/>
      <c r="D263" s="41"/>
      <c r="E263" s="31" t="s">
        <v>828</v>
      </c>
      <c r="F263" s="50">
        <f xml:space="preserve"> 2*0.11</f>
        <v>0.22</v>
      </c>
      <c r="G263" s="37"/>
      <c r="H263" s="172"/>
    </row>
    <row r="264" spans="1:8" ht="25.5">
      <c r="A264" s="45"/>
      <c r="B264" s="46"/>
      <c r="C264" s="36"/>
      <c r="D264" s="41"/>
      <c r="E264" s="31" t="s">
        <v>829</v>
      </c>
      <c r="F264" s="50">
        <f>2*0.1</f>
        <v>0.2</v>
      </c>
      <c r="G264" s="37"/>
      <c r="H264" s="172"/>
    </row>
    <row r="265" spans="1:8" ht="25.5">
      <c r="A265" s="45"/>
      <c r="B265" s="46"/>
      <c r="C265" s="36"/>
      <c r="D265" s="41"/>
      <c r="E265" s="31" t="s">
        <v>830</v>
      </c>
      <c r="F265" s="55">
        <f>0.14*(19*2*2*2+24*2*2*4)</f>
        <v>75.040000000000006</v>
      </c>
      <c r="G265" s="37"/>
      <c r="H265" s="172"/>
    </row>
    <row r="266" spans="1:8" ht="12.75" customHeight="1">
      <c r="A266" s="45"/>
      <c r="B266" s="46"/>
      <c r="C266" s="36"/>
      <c r="D266" s="41"/>
      <c r="E266" s="173" t="s">
        <v>411</v>
      </c>
      <c r="F266" s="50">
        <f>SUM(F257:F265)</f>
        <v>140.56</v>
      </c>
      <c r="G266" s="37"/>
      <c r="H266" s="172"/>
    </row>
    <row r="267" spans="1:8" ht="12.75" customHeight="1">
      <c r="A267" s="35">
        <f>MAX(A$2:A266)+1</f>
        <v>28</v>
      </c>
      <c r="B267" s="32" t="s">
        <v>55</v>
      </c>
      <c r="C267" s="51" t="s">
        <v>111</v>
      </c>
      <c r="D267" s="52"/>
      <c r="E267" s="53" t="s">
        <v>112</v>
      </c>
      <c r="F267" s="106"/>
      <c r="G267" s="76" t="s">
        <v>44</v>
      </c>
      <c r="H267" s="21">
        <f>H268</f>
        <v>788.27</v>
      </c>
    </row>
    <row r="268" spans="1:8" ht="12.75" customHeight="1">
      <c r="A268" s="45"/>
      <c r="B268" s="46"/>
      <c r="C268" s="51"/>
      <c r="D268" s="79" t="s">
        <v>111</v>
      </c>
      <c r="E268" s="91" t="s">
        <v>112</v>
      </c>
      <c r="F268" s="106"/>
      <c r="G268" s="83" t="s">
        <v>44</v>
      </c>
      <c r="H268" s="29">
        <f>ROUND(F272,2)</f>
        <v>788.27</v>
      </c>
    </row>
    <row r="269" spans="1:8" ht="25.5">
      <c r="A269" s="45"/>
      <c r="B269" s="46"/>
      <c r="C269" s="36"/>
      <c r="D269" s="41"/>
      <c r="E269" s="31" t="s">
        <v>831</v>
      </c>
      <c r="F269" s="50">
        <f>2*0.6*40.6+12.98*(40.6-2*0.55)-2*0.9*13.5</f>
        <v>537.13000000000011</v>
      </c>
      <c r="G269" s="37"/>
      <c r="H269" s="172"/>
    </row>
    <row r="270" spans="1:8">
      <c r="A270" s="45"/>
      <c r="B270" s="46"/>
      <c r="C270" s="36"/>
      <c r="D270" s="41"/>
      <c r="E270" s="31" t="s">
        <v>832</v>
      </c>
      <c r="F270" s="50">
        <f>14.1*1.2*2+8.1*2.6+5.5*2*2</f>
        <v>76.899999999999991</v>
      </c>
      <c r="G270" s="37"/>
      <c r="H270" s="172"/>
    </row>
    <row r="271" spans="1:8" ht="38.25">
      <c r="A271" s="45"/>
      <c r="B271" s="46"/>
      <c r="C271" s="36"/>
      <c r="D271" s="41"/>
      <c r="E271" s="31" t="s">
        <v>833</v>
      </c>
      <c r="F271" s="55">
        <f>0.5*4*5.8*5+0.9*0.65*2+0.65*2*13.5+0.9*13.5-5*0.5*0.5+4*0.5*5*5.7+2*0.9*0.65+2*0.65*13.5+0.9*13.5-5*0.5*0.5</f>
        <v>174.24</v>
      </c>
      <c r="G271" s="37"/>
      <c r="H271" s="172"/>
    </row>
    <row r="272" spans="1:8">
      <c r="A272" s="45"/>
      <c r="B272" s="46"/>
      <c r="C272" s="36"/>
      <c r="D272" s="41"/>
      <c r="E272" s="173" t="s">
        <v>411</v>
      </c>
      <c r="F272" s="50">
        <f>SUM(F269:F271)</f>
        <v>788.2700000000001</v>
      </c>
      <c r="G272" s="37"/>
      <c r="H272" s="172"/>
    </row>
    <row r="273" spans="1:8" ht="12.75" customHeight="1">
      <c r="A273" s="35">
        <f>MAX(A$2:A272)+1</f>
        <v>29</v>
      </c>
      <c r="B273" s="32" t="s">
        <v>55</v>
      </c>
      <c r="C273" s="51" t="s">
        <v>113</v>
      </c>
      <c r="D273" s="52"/>
      <c r="E273" s="53" t="s">
        <v>114</v>
      </c>
      <c r="F273" s="106"/>
      <c r="G273" s="76" t="s">
        <v>44</v>
      </c>
      <c r="H273" s="21">
        <f>H274</f>
        <v>1605.76</v>
      </c>
    </row>
    <row r="274" spans="1:8" ht="12.75" customHeight="1">
      <c r="A274" s="45"/>
      <c r="B274" s="46"/>
      <c r="C274" s="51"/>
      <c r="D274" s="79" t="s">
        <v>113</v>
      </c>
      <c r="E274" s="91" t="s">
        <v>114</v>
      </c>
      <c r="F274" s="106"/>
      <c r="G274" s="83" t="s">
        <v>44</v>
      </c>
      <c r="H274" s="29">
        <f>ROUND(F280,2)</f>
        <v>1605.76</v>
      </c>
    </row>
    <row r="275" spans="1:8">
      <c r="A275" s="45"/>
      <c r="B275" s="46"/>
      <c r="C275" s="36"/>
      <c r="D275" s="41"/>
      <c r="E275" s="31" t="s">
        <v>834</v>
      </c>
      <c r="F275" s="50"/>
      <c r="G275" s="37"/>
      <c r="H275" s="172"/>
    </row>
    <row r="276" spans="1:8" ht="25.5">
      <c r="A276" s="45"/>
      <c r="B276" s="46"/>
      <c r="C276" s="36"/>
      <c r="D276" s="41"/>
      <c r="E276" s="31" t="s">
        <v>835</v>
      </c>
      <c r="F276" s="50">
        <f>1.81*(275.836-1.012)+(5.7+4.54-1.012)*0.175</f>
        <v>499.04633999999999</v>
      </c>
      <c r="G276" s="37"/>
      <c r="H276" s="172"/>
    </row>
    <row r="277" spans="1:8">
      <c r="A277" s="45"/>
      <c r="B277" s="46"/>
      <c r="C277" s="36"/>
      <c r="D277" s="41"/>
      <c r="E277" s="31" t="s">
        <v>836</v>
      </c>
      <c r="F277" s="50">
        <f>1.81*(363.901-1.202)</f>
        <v>656.48518999999999</v>
      </c>
      <c r="G277" s="37"/>
      <c r="H277" s="172"/>
    </row>
    <row r="278" spans="1:8">
      <c r="A278" s="45"/>
      <c r="B278" s="46"/>
      <c r="C278" s="36"/>
      <c r="D278" s="41"/>
      <c r="E278" s="31" t="s">
        <v>837</v>
      </c>
      <c r="F278" s="50">
        <f>0.71*(273.286-1.012)</f>
        <v>193.31453999999999</v>
      </c>
      <c r="G278" s="37"/>
      <c r="H278" s="172"/>
    </row>
    <row r="279" spans="1:8">
      <c r="A279" s="45"/>
      <c r="B279" s="46"/>
      <c r="C279" s="36"/>
      <c r="D279" s="41"/>
      <c r="E279" s="31" t="s">
        <v>838</v>
      </c>
      <c r="F279" s="55">
        <f>0.71*(363.049-1.202)</f>
        <v>256.91136999999998</v>
      </c>
      <c r="G279" s="37"/>
      <c r="H279" s="172"/>
    </row>
    <row r="280" spans="1:8">
      <c r="A280" s="45"/>
      <c r="B280" s="46"/>
      <c r="C280" s="36"/>
      <c r="D280" s="41"/>
      <c r="E280" s="173" t="s">
        <v>411</v>
      </c>
      <c r="F280" s="50">
        <f>SUM(F276:F279)</f>
        <v>1605.7574400000001</v>
      </c>
      <c r="G280" s="37"/>
      <c r="H280" s="172"/>
    </row>
    <row r="281" spans="1:8" ht="15">
      <c r="A281" s="45"/>
      <c r="B281" s="147" t="s">
        <v>116</v>
      </c>
      <c r="C281" s="148"/>
      <c r="D281" s="149"/>
      <c r="E281" s="150" t="s">
        <v>839</v>
      </c>
      <c r="F281" s="39"/>
      <c r="G281" s="151"/>
      <c r="H281" s="146"/>
    </row>
    <row r="282" spans="1:8" s="6" customFormat="1" ht="12.75" customHeight="1">
      <c r="A282" s="35">
        <f>MAX(A$2:A281)+1</f>
        <v>30</v>
      </c>
      <c r="B282" s="32" t="s">
        <v>116</v>
      </c>
      <c r="C282" s="51" t="s">
        <v>117</v>
      </c>
      <c r="D282" s="88"/>
      <c r="E282" s="105" t="s">
        <v>118</v>
      </c>
      <c r="F282" s="106"/>
      <c r="G282" s="76" t="s">
        <v>44</v>
      </c>
      <c r="H282" s="77">
        <f>H283</f>
        <v>4000</v>
      </c>
    </row>
    <row r="283" spans="1:8" s="6" customFormat="1">
      <c r="A283" s="180"/>
      <c r="B283" s="186"/>
      <c r="C283" s="51"/>
      <c r="D283" s="84" t="s">
        <v>117</v>
      </c>
      <c r="E283" s="81" t="s">
        <v>118</v>
      </c>
      <c r="F283" s="179"/>
      <c r="G283" s="193" t="s">
        <v>44</v>
      </c>
      <c r="H283" s="49">
        <f>F285</f>
        <v>4000</v>
      </c>
    </row>
    <row r="284" spans="1:8" ht="25.5">
      <c r="A284" s="45"/>
      <c r="B284" s="46"/>
      <c r="C284" s="36"/>
      <c r="D284" s="41"/>
      <c r="E284" s="31" t="s">
        <v>840</v>
      </c>
      <c r="F284" s="50"/>
      <c r="G284" s="37"/>
      <c r="H284" s="172"/>
    </row>
    <row r="285" spans="1:8" ht="12.75" customHeight="1">
      <c r="A285" s="45"/>
      <c r="B285" s="46"/>
      <c r="C285" s="36"/>
      <c r="D285" s="41"/>
      <c r="E285" s="31" t="s">
        <v>841</v>
      </c>
      <c r="F285" s="50">
        <f>70*40+40*30</f>
        <v>4000</v>
      </c>
      <c r="G285" s="37"/>
      <c r="H285" s="172"/>
    </row>
    <row r="286" spans="1:8" ht="12.75" customHeight="1">
      <c r="A286" s="35">
        <f>MAX(A$2:A285)+1</f>
        <v>31</v>
      </c>
      <c r="B286" s="32" t="s">
        <v>116</v>
      </c>
      <c r="C286" s="51" t="s">
        <v>119</v>
      </c>
      <c r="D286" s="88"/>
      <c r="E286" s="105" t="s">
        <v>120</v>
      </c>
      <c r="F286" s="106"/>
      <c r="G286" s="76" t="s">
        <v>44</v>
      </c>
      <c r="H286" s="77">
        <f>(+H287)</f>
        <v>100</v>
      </c>
    </row>
    <row r="287" spans="1:8" ht="12.75" customHeight="1">
      <c r="A287" s="180"/>
      <c r="B287" s="201"/>
      <c r="C287" s="102"/>
      <c r="D287" s="84" t="s">
        <v>842</v>
      </c>
      <c r="E287" s="81" t="s">
        <v>843</v>
      </c>
      <c r="F287" s="179"/>
      <c r="G287" s="83" t="s">
        <v>44</v>
      </c>
      <c r="H287" s="29">
        <f>ROUND(F288,2)</f>
        <v>100</v>
      </c>
    </row>
    <row r="288" spans="1:8">
      <c r="A288" s="45"/>
      <c r="B288" s="46"/>
      <c r="C288" s="36"/>
      <c r="D288" s="41"/>
      <c r="E288" s="31" t="s">
        <v>844</v>
      </c>
      <c r="F288" s="50">
        <v>100</v>
      </c>
      <c r="G288" s="37"/>
      <c r="H288" s="172"/>
    </row>
    <row r="289" spans="1:8" ht="12.75">
      <c r="A289" s="35">
        <f>MAX(A$2:A288)+1</f>
        <v>32</v>
      </c>
      <c r="B289" s="32" t="s">
        <v>116</v>
      </c>
      <c r="C289" s="51" t="s">
        <v>121</v>
      </c>
      <c r="D289" s="52"/>
      <c r="E289" s="53" t="s">
        <v>122</v>
      </c>
      <c r="F289" s="106"/>
      <c r="G289" s="76" t="s">
        <v>33</v>
      </c>
      <c r="H289" s="77">
        <f>H290</f>
        <v>10</v>
      </c>
    </row>
    <row r="290" spans="1:8">
      <c r="A290" s="45"/>
      <c r="B290" s="46"/>
      <c r="C290" s="139"/>
      <c r="D290" s="79" t="s">
        <v>845</v>
      </c>
      <c r="E290" s="91" t="s">
        <v>846</v>
      </c>
      <c r="F290" s="179"/>
      <c r="G290" s="83" t="s">
        <v>33</v>
      </c>
      <c r="H290" s="49">
        <f>ROUND(F291,2)</f>
        <v>10</v>
      </c>
    </row>
    <row r="291" spans="1:8">
      <c r="A291" s="45"/>
      <c r="B291" s="46"/>
      <c r="C291" s="36"/>
      <c r="D291" s="41"/>
      <c r="E291" s="31" t="s">
        <v>847</v>
      </c>
      <c r="F291" s="50">
        <f>100*0.1</f>
        <v>10</v>
      </c>
      <c r="G291" s="37"/>
      <c r="H291" s="172"/>
    </row>
    <row r="292" spans="1:8" s="207" customFormat="1" ht="16.5">
      <c r="A292" s="180"/>
      <c r="B292" s="46" t="s">
        <v>136</v>
      </c>
      <c r="C292" s="202"/>
      <c r="D292" s="203"/>
      <c r="E292" s="186" t="s">
        <v>531</v>
      </c>
      <c r="F292" s="204"/>
      <c r="G292" s="205"/>
      <c r="H292" s="206"/>
    </row>
    <row r="293" spans="1:8" s="6" customFormat="1" ht="12.75" customHeight="1">
      <c r="A293" s="35">
        <f>MAX(A$2:A292)+1</f>
        <v>33</v>
      </c>
      <c r="B293" s="208" t="s">
        <v>136</v>
      </c>
      <c r="C293" s="51" t="s">
        <v>137</v>
      </c>
      <c r="D293" s="88"/>
      <c r="E293" s="105" t="s">
        <v>138</v>
      </c>
      <c r="F293" s="106"/>
      <c r="G293" s="76" t="s">
        <v>33</v>
      </c>
      <c r="H293" s="77">
        <f>(+H294)</f>
        <v>14.95</v>
      </c>
    </row>
    <row r="294" spans="1:8" s="6" customFormat="1" ht="12.75" customHeight="1">
      <c r="A294" s="180"/>
      <c r="B294" s="201"/>
      <c r="C294" s="102"/>
      <c r="D294" s="84" t="s">
        <v>532</v>
      </c>
      <c r="E294" s="81" t="s">
        <v>533</v>
      </c>
      <c r="F294" s="179"/>
      <c r="G294" s="83" t="s">
        <v>33</v>
      </c>
      <c r="H294" s="49">
        <f>ROUND(F300,2)</f>
        <v>14.95</v>
      </c>
    </row>
    <row r="295" spans="1:8" ht="12.75" customHeight="1">
      <c r="A295" s="45"/>
      <c r="B295" s="46"/>
      <c r="C295" s="36"/>
      <c r="D295" s="41"/>
      <c r="E295" s="31" t="s">
        <v>848</v>
      </c>
      <c r="F295" s="50"/>
      <c r="G295" s="37"/>
      <c r="H295" s="172"/>
    </row>
    <row r="296" spans="1:8" ht="12.75" customHeight="1">
      <c r="A296" s="45"/>
      <c r="B296" s="46"/>
      <c r="C296" s="36"/>
      <c r="D296" s="41"/>
      <c r="E296" s="31" t="s">
        <v>849</v>
      </c>
      <c r="F296" s="50">
        <f>1*1.347*(3.5+4.1)</f>
        <v>10.2372</v>
      </c>
      <c r="G296" s="37"/>
      <c r="H296" s="172"/>
    </row>
    <row r="297" spans="1:8" ht="12.75" customHeight="1">
      <c r="A297" s="45"/>
      <c r="B297" s="46"/>
      <c r="C297" s="36"/>
      <c r="D297" s="41"/>
      <c r="E297" s="31" t="s">
        <v>850</v>
      </c>
      <c r="F297" s="50"/>
      <c r="G297" s="37"/>
      <c r="H297" s="172"/>
    </row>
    <row r="298" spans="1:8" ht="12.75" customHeight="1">
      <c r="A298" s="45"/>
      <c r="B298" s="46"/>
      <c r="C298" s="36"/>
      <c r="D298" s="41"/>
      <c r="E298" s="31" t="s">
        <v>851</v>
      </c>
      <c r="F298" s="50">
        <f>1*0.76*1*2</f>
        <v>1.52</v>
      </c>
      <c r="G298" s="37"/>
      <c r="H298" s="172"/>
    </row>
    <row r="299" spans="1:8" ht="12.75" customHeight="1">
      <c r="A299" s="45"/>
      <c r="B299" s="46"/>
      <c r="C299" s="36"/>
      <c r="D299" s="41"/>
      <c r="E299" s="31" t="s">
        <v>852</v>
      </c>
      <c r="F299" s="55">
        <f>0.3*0.5*21.3</f>
        <v>3.1949999999999998</v>
      </c>
      <c r="G299" s="37"/>
      <c r="H299" s="172"/>
    </row>
    <row r="300" spans="1:8" ht="12.75" customHeight="1">
      <c r="A300" s="45"/>
      <c r="B300" s="209"/>
      <c r="C300" s="102"/>
      <c r="D300" s="84"/>
      <c r="E300" s="173" t="s">
        <v>411</v>
      </c>
      <c r="F300" s="50">
        <f>SUM(F296:F299)</f>
        <v>14.952199999999999</v>
      </c>
      <c r="G300" s="83"/>
      <c r="H300" s="172"/>
    </row>
    <row r="301" spans="1:8" ht="12.75">
      <c r="A301" s="35">
        <f>MAX(A$2:A300)+1</f>
        <v>34</v>
      </c>
      <c r="B301" s="208" t="s">
        <v>136</v>
      </c>
      <c r="C301" s="51" t="s">
        <v>139</v>
      </c>
      <c r="D301" s="52"/>
      <c r="E301" s="53" t="s">
        <v>140</v>
      </c>
      <c r="F301" s="106"/>
      <c r="G301" s="76" t="s">
        <v>33</v>
      </c>
      <c r="H301" s="146">
        <f>H302</f>
        <v>0.84</v>
      </c>
    </row>
    <row r="302" spans="1:8" ht="14.25">
      <c r="A302" s="45"/>
      <c r="B302" s="209"/>
      <c r="C302" s="102"/>
      <c r="D302" s="79" t="s">
        <v>853</v>
      </c>
      <c r="E302" s="91" t="s">
        <v>854</v>
      </c>
      <c r="F302" s="179"/>
      <c r="G302" s="83" t="s">
        <v>33</v>
      </c>
      <c r="H302" s="49">
        <f>ROUND(F303,2)</f>
        <v>0.84</v>
      </c>
    </row>
    <row r="303" spans="1:8" ht="14.25">
      <c r="A303" s="45"/>
      <c r="B303" s="209"/>
      <c r="C303" s="102"/>
      <c r="D303" s="84"/>
      <c r="E303" s="31" t="s">
        <v>855</v>
      </c>
      <c r="F303" s="50">
        <f>(12+15)*(0.25*0.25*0.5)</f>
        <v>0.84375</v>
      </c>
      <c r="G303" s="210"/>
      <c r="H303" s="172"/>
    </row>
    <row r="304" spans="1:8" s="207" customFormat="1" ht="16.5">
      <c r="A304" s="180"/>
      <c r="B304" s="46" t="s">
        <v>146</v>
      </c>
      <c r="C304" s="202"/>
      <c r="D304" s="203"/>
      <c r="E304" s="186" t="s">
        <v>856</v>
      </c>
      <c r="F304" s="204"/>
      <c r="G304" s="205"/>
      <c r="H304" s="206"/>
    </row>
    <row r="305" spans="1:8" ht="12.75">
      <c r="A305" s="35">
        <f>MAX(A$2:A304)+1</f>
        <v>35</v>
      </c>
      <c r="B305" s="208" t="s">
        <v>146</v>
      </c>
      <c r="C305" s="51" t="s">
        <v>121</v>
      </c>
      <c r="D305" s="52"/>
      <c r="E305" s="53" t="s">
        <v>122</v>
      </c>
      <c r="F305" s="106"/>
      <c r="G305" s="76" t="s">
        <v>33</v>
      </c>
      <c r="H305" s="146">
        <f>H306</f>
        <v>15.8</v>
      </c>
    </row>
    <row r="306" spans="1:8" ht="25.5">
      <c r="A306" s="45"/>
      <c r="B306" s="209"/>
      <c r="C306" s="102"/>
      <c r="D306" s="79" t="s">
        <v>550</v>
      </c>
      <c r="E306" s="91" t="s">
        <v>857</v>
      </c>
      <c r="F306" s="179"/>
      <c r="G306" s="83" t="s">
        <v>33</v>
      </c>
      <c r="H306" s="49">
        <f>ROUND(F307,2)</f>
        <v>15.8</v>
      </c>
    </row>
    <row r="307" spans="1:8" ht="12.75" customHeight="1">
      <c r="A307" s="45"/>
      <c r="B307" s="209"/>
      <c r="C307" s="211"/>
      <c r="D307" s="84"/>
      <c r="E307" s="31" t="s">
        <v>858</v>
      </c>
      <c r="F307" s="50">
        <f xml:space="preserve"> 14.96+0.84</f>
        <v>15.8</v>
      </c>
      <c r="G307" s="212"/>
      <c r="H307" s="172"/>
    </row>
    <row r="308" spans="1:8" s="207" customFormat="1" ht="16.5">
      <c r="A308" s="180"/>
      <c r="B308" s="46" t="s">
        <v>149</v>
      </c>
      <c r="C308" s="202"/>
      <c r="D308" s="203"/>
      <c r="E308" s="186" t="s">
        <v>859</v>
      </c>
      <c r="F308" s="204"/>
      <c r="G308" s="205"/>
      <c r="H308" s="206"/>
    </row>
    <row r="309" spans="1:8" s="6" customFormat="1" ht="15">
      <c r="A309" s="35">
        <f>MAX(A$2:A308)+1</f>
        <v>36</v>
      </c>
      <c r="B309" s="213" t="s">
        <v>149</v>
      </c>
      <c r="C309" s="51" t="s">
        <v>150</v>
      </c>
      <c r="D309" s="88"/>
      <c r="E309" s="105" t="s">
        <v>151</v>
      </c>
      <c r="F309" s="106"/>
      <c r="G309" s="76" t="s">
        <v>33</v>
      </c>
      <c r="H309" s="77">
        <f>H310</f>
        <v>3.4</v>
      </c>
    </row>
    <row r="310" spans="1:8" s="6" customFormat="1">
      <c r="A310" s="180"/>
      <c r="B310" s="214"/>
      <c r="C310" s="51"/>
      <c r="D310" s="79" t="s">
        <v>860</v>
      </c>
      <c r="E310" s="81" t="s">
        <v>861</v>
      </c>
      <c r="F310" s="179"/>
      <c r="G310" s="212" t="s">
        <v>33</v>
      </c>
      <c r="H310" s="49">
        <f>ROUND(F315,2)</f>
        <v>3.4</v>
      </c>
    </row>
    <row r="311" spans="1:8" ht="12.75" customHeight="1">
      <c r="A311" s="45"/>
      <c r="B311" s="209"/>
      <c r="C311" s="211"/>
      <c r="D311" s="84"/>
      <c r="E311" s="31" t="s">
        <v>862</v>
      </c>
      <c r="F311" s="50">
        <f>8.8*0.3*0.3</f>
        <v>0.79200000000000004</v>
      </c>
      <c r="G311" s="212" t="s">
        <v>451</v>
      </c>
      <c r="H311" s="172"/>
    </row>
    <row r="312" spans="1:8" ht="12.75" customHeight="1">
      <c r="A312" s="45"/>
      <c r="B312" s="209"/>
      <c r="C312" s="211"/>
      <c r="D312" s="84"/>
      <c r="E312" s="31" t="s">
        <v>863</v>
      </c>
      <c r="F312" s="50">
        <f>(8.8+2*2+5.4)*0.3*0.3</f>
        <v>1.6380000000000001</v>
      </c>
      <c r="G312" s="212" t="s">
        <v>451</v>
      </c>
      <c r="H312" s="172"/>
    </row>
    <row r="313" spans="1:8" ht="12.75" customHeight="1">
      <c r="A313" s="45"/>
      <c r="B313" s="209"/>
      <c r="C313" s="211"/>
      <c r="D313" s="84"/>
      <c r="E313" s="31" t="s">
        <v>864</v>
      </c>
      <c r="F313" s="50">
        <f>3.6*0.3*0.3</f>
        <v>0.32400000000000001</v>
      </c>
      <c r="G313" s="212" t="s">
        <v>451</v>
      </c>
      <c r="H313" s="172"/>
    </row>
    <row r="314" spans="1:8" ht="12.75" customHeight="1">
      <c r="A314" s="45"/>
      <c r="B314" s="209"/>
      <c r="C314" s="211"/>
      <c r="D314" s="84"/>
      <c r="E314" s="31" t="s">
        <v>865</v>
      </c>
      <c r="F314" s="55">
        <f>(3.6+2*1.8)*0.3*0.3</f>
        <v>0.64800000000000002</v>
      </c>
      <c r="G314" s="212" t="s">
        <v>451</v>
      </c>
      <c r="H314" s="172"/>
    </row>
    <row r="315" spans="1:8" ht="12.75" customHeight="1">
      <c r="A315" s="45"/>
      <c r="B315" s="215"/>
      <c r="C315" s="51"/>
      <c r="D315" s="88"/>
      <c r="E315" s="173" t="s">
        <v>411</v>
      </c>
      <c r="F315" s="50">
        <f>SUM(F311:F314)</f>
        <v>3.4020000000000001</v>
      </c>
      <c r="G315" s="216"/>
      <c r="H315" s="217"/>
    </row>
    <row r="316" spans="1:8" s="62" customFormat="1" ht="15">
      <c r="A316" s="180">
        <f>MAX(A$2:A315)+1</f>
        <v>37</v>
      </c>
      <c r="B316" s="199" t="s">
        <v>149</v>
      </c>
      <c r="C316" s="51" t="s">
        <v>152</v>
      </c>
      <c r="D316" s="52"/>
      <c r="E316" s="53" t="s">
        <v>153</v>
      </c>
      <c r="F316" s="218"/>
      <c r="G316" s="76" t="s">
        <v>33</v>
      </c>
      <c r="H316" s="77">
        <f>H317+H320</f>
        <v>12.73</v>
      </c>
    </row>
    <row r="317" spans="1:8" s="6" customFormat="1" ht="15">
      <c r="A317" s="180"/>
      <c r="B317" s="213"/>
      <c r="C317" s="51"/>
      <c r="D317" s="79" t="s">
        <v>866</v>
      </c>
      <c r="E317" s="81" t="s">
        <v>867</v>
      </c>
      <c r="F317" s="179"/>
      <c r="G317" s="212" t="s">
        <v>33</v>
      </c>
      <c r="H317" s="49">
        <f>ROUND(F319,2)</f>
        <v>0.84</v>
      </c>
    </row>
    <row r="318" spans="1:8" ht="12.75" customHeight="1">
      <c r="A318" s="45"/>
      <c r="B318" s="209"/>
      <c r="C318" s="211"/>
      <c r="D318" s="84"/>
      <c r="E318" s="31" t="s">
        <v>868</v>
      </c>
      <c r="F318" s="50"/>
      <c r="G318" s="212"/>
      <c r="H318" s="172"/>
    </row>
    <row r="319" spans="1:8" ht="12.75" customHeight="1">
      <c r="A319" s="45"/>
      <c r="B319" s="209"/>
      <c r="C319" s="211"/>
      <c r="D319" s="84"/>
      <c r="E319" s="31" t="s">
        <v>869</v>
      </c>
      <c r="F319" s="50">
        <f>(12+15)*(0.25*0.25*0.5)</f>
        <v>0.84375</v>
      </c>
      <c r="G319" s="212" t="s">
        <v>451</v>
      </c>
      <c r="H319" s="172"/>
    </row>
    <row r="320" spans="1:8" s="6" customFormat="1">
      <c r="A320" s="180"/>
      <c r="B320" s="214"/>
      <c r="C320" s="51"/>
      <c r="D320" s="79" t="s">
        <v>870</v>
      </c>
      <c r="E320" s="81" t="s">
        <v>871</v>
      </c>
      <c r="F320" s="219"/>
      <c r="G320" s="212" t="s">
        <v>33</v>
      </c>
      <c r="H320" s="49">
        <f>ROUND(F323,2)</f>
        <v>11.89</v>
      </c>
    </row>
    <row r="321" spans="1:8" ht="12.75" customHeight="1">
      <c r="A321" s="45"/>
      <c r="B321" s="209"/>
      <c r="C321" s="211"/>
      <c r="D321" s="84"/>
      <c r="E321" s="31" t="s">
        <v>872</v>
      </c>
      <c r="F321" s="50">
        <f>2*0.76*1*1</f>
        <v>1.52</v>
      </c>
      <c r="G321" s="212"/>
      <c r="H321" s="172"/>
    </row>
    <row r="322" spans="1:8" ht="12.75" customHeight="1">
      <c r="A322" s="45"/>
      <c r="B322" s="209"/>
      <c r="C322" s="211"/>
      <c r="D322" s="84"/>
      <c r="E322" s="31" t="s">
        <v>873</v>
      </c>
      <c r="F322" s="55">
        <f>3.5*1*1.347+1*1.347*4.2</f>
        <v>10.3719</v>
      </c>
      <c r="G322" s="212"/>
      <c r="H322" s="172"/>
    </row>
    <row r="323" spans="1:8" ht="12.75">
      <c r="A323" s="45"/>
      <c r="B323" s="220"/>
      <c r="C323" s="168"/>
      <c r="D323" s="221"/>
      <c r="E323" s="173" t="s">
        <v>411</v>
      </c>
      <c r="F323" s="50">
        <f>F321+F322</f>
        <v>11.8919</v>
      </c>
      <c r="G323" s="222"/>
      <c r="H323" s="223"/>
    </row>
    <row r="324" spans="1:8" s="62" customFormat="1" ht="25.5">
      <c r="A324" s="152">
        <f>MAX(A$2:A323)+1</f>
        <v>38</v>
      </c>
      <c r="B324" s="199" t="s">
        <v>149</v>
      </c>
      <c r="C324" s="51" t="s">
        <v>154</v>
      </c>
      <c r="D324" s="88"/>
      <c r="E324" s="53" t="s">
        <v>155</v>
      </c>
      <c r="F324" s="218"/>
      <c r="G324" s="76" t="s">
        <v>33</v>
      </c>
      <c r="H324" s="77">
        <f>H325</f>
        <v>366.76</v>
      </c>
    </row>
    <row r="325" spans="1:8" s="6" customFormat="1" ht="25.5">
      <c r="A325" s="180"/>
      <c r="B325" s="201"/>
      <c r="C325" s="224"/>
      <c r="D325" s="84" t="s">
        <v>874</v>
      </c>
      <c r="E325" s="81" t="s">
        <v>875</v>
      </c>
      <c r="F325" s="179"/>
      <c r="G325" s="212" t="s">
        <v>33</v>
      </c>
      <c r="H325" s="49">
        <f>ROUND(F329,2)</f>
        <v>366.76</v>
      </c>
    </row>
    <row r="326" spans="1:8" ht="12.75" customHeight="1">
      <c r="A326" s="45"/>
      <c r="B326" s="209"/>
      <c r="C326" s="211"/>
      <c r="D326" s="84"/>
      <c r="E326" s="31" t="s">
        <v>876</v>
      </c>
      <c r="F326" s="50"/>
      <c r="G326" s="212"/>
      <c r="H326" s="172"/>
    </row>
    <row r="327" spans="1:8" ht="12.75" customHeight="1">
      <c r="A327" s="45"/>
      <c r="B327" s="209"/>
      <c r="C327" s="211"/>
      <c r="D327" s="84"/>
      <c r="E327" s="31" t="s">
        <v>877</v>
      </c>
      <c r="F327" s="50">
        <f>(641-1.01*2-1.2)*0.4+0.223*0.175</f>
        <v>255.151025</v>
      </c>
      <c r="G327" s="212"/>
      <c r="H327" s="172"/>
    </row>
    <row r="328" spans="1:8" ht="12.75" customHeight="1">
      <c r="A328" s="45"/>
      <c r="B328" s="209"/>
      <c r="C328" s="211"/>
      <c r="D328" s="84"/>
      <c r="E328" s="31" t="s">
        <v>878</v>
      </c>
      <c r="F328" s="55">
        <f>(641-1.01*2-1.2)*0.175</f>
        <v>111.61149999999999</v>
      </c>
      <c r="G328" s="212"/>
      <c r="H328" s="172"/>
    </row>
    <row r="329" spans="1:8" ht="12.75">
      <c r="A329" s="45"/>
      <c r="B329" s="220"/>
      <c r="C329" s="168"/>
      <c r="D329" s="221"/>
      <c r="E329" s="173" t="s">
        <v>411</v>
      </c>
      <c r="F329" s="50">
        <f>SUM(F327:F328)</f>
        <v>366.76252499999998</v>
      </c>
      <c r="G329" s="222"/>
      <c r="H329" s="223"/>
    </row>
    <row r="330" spans="1:8" s="62" customFormat="1" ht="25.5">
      <c r="A330" s="152">
        <f>MAX(A$2:A329)+1</f>
        <v>39</v>
      </c>
      <c r="B330" s="199" t="s">
        <v>149</v>
      </c>
      <c r="C330" s="51">
        <v>11050612</v>
      </c>
      <c r="D330" s="88"/>
      <c r="E330" s="53" t="s">
        <v>157</v>
      </c>
      <c r="F330" s="106"/>
      <c r="G330" s="76" t="s">
        <v>44</v>
      </c>
      <c r="H330" s="77">
        <f>H331</f>
        <v>489.79</v>
      </c>
    </row>
    <row r="331" spans="1:8" s="6" customFormat="1" ht="25.5">
      <c r="A331" s="180"/>
      <c r="B331" s="201"/>
      <c r="C331" s="224"/>
      <c r="D331" s="84" t="s">
        <v>879</v>
      </c>
      <c r="E331" s="81" t="s">
        <v>880</v>
      </c>
      <c r="F331" s="179"/>
      <c r="G331" s="212" t="s">
        <v>44</v>
      </c>
      <c r="H331" s="49">
        <f>ROUND(F352,2)</f>
        <v>489.79</v>
      </c>
    </row>
    <row r="332" spans="1:8" ht="12.75" customHeight="1">
      <c r="A332" s="45"/>
      <c r="B332" s="209"/>
      <c r="C332" s="211"/>
      <c r="D332" s="84"/>
      <c r="E332" s="31" t="s">
        <v>881</v>
      </c>
      <c r="F332" s="50">
        <f>0.225*274.824+0.398*4</f>
        <v>63.427400000000006</v>
      </c>
      <c r="G332" s="212"/>
      <c r="H332" s="172"/>
    </row>
    <row r="333" spans="1:8" ht="12.75" customHeight="1">
      <c r="A333" s="45"/>
      <c r="B333" s="209"/>
      <c r="C333" s="211"/>
      <c r="D333" s="84"/>
      <c r="E333" s="31" t="s">
        <v>882</v>
      </c>
      <c r="F333" s="50">
        <f>0.225*362.699+0.398*4</f>
        <v>83.199275</v>
      </c>
      <c r="G333" s="212"/>
      <c r="H333" s="172"/>
    </row>
    <row r="334" spans="1:8" ht="12.75" customHeight="1">
      <c r="A334" s="45"/>
      <c r="B334" s="209"/>
      <c r="C334" s="211"/>
      <c r="D334" s="84"/>
      <c r="E334" s="31" t="s">
        <v>883</v>
      </c>
      <c r="F334" s="50">
        <f>0.242*272.274+0.174*4</f>
        <v>66.586308000000002</v>
      </c>
      <c r="G334" s="212"/>
      <c r="H334" s="172"/>
    </row>
    <row r="335" spans="1:8" ht="12.75" customHeight="1">
      <c r="A335" s="45"/>
      <c r="B335" s="209"/>
      <c r="C335" s="211"/>
      <c r="D335" s="84"/>
      <c r="E335" s="31" t="s">
        <v>884</v>
      </c>
      <c r="F335" s="55">
        <f>0.242*361.847+0.174*4</f>
        <v>88.262973999999986</v>
      </c>
      <c r="G335" s="212"/>
      <c r="H335" s="172"/>
    </row>
    <row r="336" spans="1:8" ht="12.75" customHeight="1">
      <c r="A336" s="45"/>
      <c r="B336" s="220"/>
      <c r="C336" s="168"/>
      <c r="D336" s="221"/>
      <c r="E336" s="173" t="s">
        <v>421</v>
      </c>
      <c r="F336" s="50">
        <f>SUM(F332:F335)</f>
        <v>301.47595699999999</v>
      </c>
      <c r="G336" s="222"/>
      <c r="H336" s="223"/>
    </row>
    <row r="337" spans="1:8" ht="12.75" customHeight="1">
      <c r="A337" s="45"/>
      <c r="B337" s="209"/>
      <c r="C337" s="211"/>
      <c r="D337" s="84"/>
      <c r="E337" s="31" t="s">
        <v>885</v>
      </c>
      <c r="F337" s="50"/>
      <c r="G337" s="212"/>
      <c r="H337" s="172"/>
    </row>
    <row r="338" spans="1:8" ht="12.75" customHeight="1">
      <c r="A338" s="45"/>
      <c r="B338" s="209"/>
      <c r="C338" s="211"/>
      <c r="D338" s="84"/>
      <c r="E338" s="31" t="s">
        <v>886</v>
      </c>
      <c r="F338" s="50">
        <f>(10+269.09+358.25+10+10)*0.045*2</f>
        <v>59.160599999999988</v>
      </c>
      <c r="G338" s="212" t="s">
        <v>451</v>
      </c>
      <c r="H338" s="172"/>
    </row>
    <row r="339" spans="1:8" ht="25.5">
      <c r="A339" s="45"/>
      <c r="B339" s="209"/>
      <c r="C339" s="211"/>
      <c r="D339" s="84"/>
      <c r="E339" s="31" t="s">
        <v>887</v>
      </c>
      <c r="F339" s="50"/>
      <c r="G339" s="212"/>
      <c r="H339" s="172"/>
    </row>
    <row r="340" spans="1:8" ht="51">
      <c r="A340" s="45"/>
      <c r="B340" s="209"/>
      <c r="C340" s="211"/>
      <c r="D340" s="84"/>
      <c r="E340" s="31" t="s">
        <v>888</v>
      </c>
      <c r="F340" s="50">
        <f>0.04*((640.939-1.012-1.202-1.202)+(637.517-1.012-1.202-1.202))</f>
        <v>50.864960000000011</v>
      </c>
      <c r="G340" s="212" t="s">
        <v>451</v>
      </c>
      <c r="H340" s="172"/>
    </row>
    <row r="341" spans="1:8" ht="25.5">
      <c r="A341" s="45"/>
      <c r="B341" s="209"/>
      <c r="C341" s="211"/>
      <c r="D341" s="84"/>
      <c r="E341" s="31" t="s">
        <v>889</v>
      </c>
      <c r="F341" s="55">
        <f>0.045*((640.939-1.012-1.202-1.202)+(637.517-1.012-1.202-1.202))</f>
        <v>57.22308000000001</v>
      </c>
      <c r="G341" s="212" t="s">
        <v>451</v>
      </c>
      <c r="H341" s="172"/>
    </row>
    <row r="342" spans="1:8" ht="12.75" customHeight="1">
      <c r="A342" s="45"/>
      <c r="B342" s="220"/>
      <c r="C342" s="168"/>
      <c r="D342" s="221"/>
      <c r="E342" s="173" t="s">
        <v>421</v>
      </c>
      <c r="F342" s="50">
        <f>F338+F340+F341</f>
        <v>167.24864000000002</v>
      </c>
      <c r="G342" s="222"/>
      <c r="H342" s="223"/>
    </row>
    <row r="343" spans="1:8" ht="12.75" customHeight="1">
      <c r="A343" s="45"/>
      <c r="B343" s="209"/>
      <c r="C343" s="211"/>
      <c r="D343" s="84"/>
      <c r="E343" s="31" t="s">
        <v>890</v>
      </c>
      <c r="F343" s="50"/>
      <c r="G343" s="212"/>
      <c r="H343" s="172"/>
    </row>
    <row r="344" spans="1:8" ht="12.75" customHeight="1">
      <c r="A344" s="45"/>
      <c r="B344" s="209"/>
      <c r="C344" s="211"/>
      <c r="D344" s="84"/>
      <c r="E344" s="31" t="s">
        <v>891</v>
      </c>
      <c r="F344" s="50">
        <f>9*0.398</f>
        <v>3.5820000000000003</v>
      </c>
      <c r="G344" s="212"/>
      <c r="H344" s="172"/>
    </row>
    <row r="345" spans="1:8" ht="12.75" customHeight="1">
      <c r="A345" s="45"/>
      <c r="B345" s="209"/>
      <c r="C345" s="211"/>
      <c r="D345" s="84"/>
      <c r="E345" s="31" t="s">
        <v>892</v>
      </c>
      <c r="F345" s="55">
        <f>9*0.174</f>
        <v>1.5659999999999998</v>
      </c>
      <c r="G345" s="212"/>
      <c r="H345" s="172"/>
    </row>
    <row r="346" spans="1:8" ht="12.75" customHeight="1">
      <c r="A346" s="45"/>
      <c r="B346" s="220"/>
      <c r="C346" s="168"/>
      <c r="D346" s="221"/>
      <c r="E346" s="173" t="s">
        <v>421</v>
      </c>
      <c r="F346" s="50">
        <f>F344+F345</f>
        <v>5.1479999999999997</v>
      </c>
      <c r="G346" s="222"/>
      <c r="H346" s="223"/>
    </row>
    <row r="347" spans="1:8" ht="12.75" customHeight="1">
      <c r="A347" s="45"/>
      <c r="B347" s="209"/>
      <c r="C347" s="211"/>
      <c r="D347" s="84"/>
      <c r="E347" s="31" t="s">
        <v>893</v>
      </c>
      <c r="F347" s="50"/>
      <c r="G347" s="212"/>
      <c r="H347" s="172"/>
    </row>
    <row r="348" spans="1:8" ht="12.75" customHeight="1">
      <c r="A348" s="45"/>
      <c r="B348" s="209"/>
      <c r="C348" s="211"/>
      <c r="D348" s="84"/>
      <c r="E348" s="31" t="s">
        <v>894</v>
      </c>
      <c r="F348" s="50">
        <f>(2*1*1+1*0.76)*2</f>
        <v>5.52</v>
      </c>
      <c r="G348" s="212"/>
      <c r="H348" s="172"/>
    </row>
    <row r="349" spans="1:8" ht="12.75" customHeight="1">
      <c r="A349" s="45"/>
      <c r="B349" s="209"/>
      <c r="C349" s="211"/>
      <c r="D349" s="84"/>
      <c r="E349" s="31" t="s">
        <v>895</v>
      </c>
      <c r="F349" s="50"/>
      <c r="G349" s="212"/>
      <c r="H349" s="172"/>
    </row>
    <row r="350" spans="1:8" ht="12.75" customHeight="1">
      <c r="A350" s="45"/>
      <c r="B350" s="209"/>
      <c r="C350" s="211"/>
      <c r="D350" s="84"/>
      <c r="E350" s="31" t="s">
        <v>896</v>
      </c>
      <c r="F350" s="55">
        <f>3.5*1+1.347*1+1*4.2+1.347*1</f>
        <v>10.394</v>
      </c>
      <c r="G350" s="212"/>
      <c r="H350" s="172"/>
    </row>
    <row r="351" spans="1:8" ht="12.75" customHeight="1">
      <c r="A351" s="45"/>
      <c r="B351" s="220"/>
      <c r="C351" s="168"/>
      <c r="D351" s="221"/>
      <c r="E351" s="173" t="s">
        <v>421</v>
      </c>
      <c r="F351" s="50">
        <f>F348+F350</f>
        <v>15.914</v>
      </c>
      <c r="G351" s="222"/>
      <c r="H351" s="223"/>
    </row>
    <row r="352" spans="1:8" ht="12.75" customHeight="1">
      <c r="A352" s="45"/>
      <c r="B352" s="220"/>
      <c r="C352" s="168"/>
      <c r="D352" s="221"/>
      <c r="E352" s="173" t="s">
        <v>411</v>
      </c>
      <c r="F352" s="50">
        <f>F346+F351+F342+F336</f>
        <v>489.78659700000003</v>
      </c>
      <c r="G352" s="222"/>
      <c r="H352" s="223"/>
    </row>
    <row r="353" spans="1:10" s="6" customFormat="1" ht="25.5">
      <c r="A353" s="152">
        <f>MAX(A$2:A352)+1</f>
        <v>40</v>
      </c>
      <c r="B353" s="199" t="s">
        <v>149</v>
      </c>
      <c r="C353" s="51" t="s">
        <v>158</v>
      </c>
      <c r="D353" s="88"/>
      <c r="E353" s="105" t="s">
        <v>159</v>
      </c>
      <c r="F353" s="106"/>
      <c r="G353" s="76" t="s">
        <v>44</v>
      </c>
      <c r="H353" s="77">
        <f>H354</f>
        <v>317.91000000000003</v>
      </c>
      <c r="I353" s="225"/>
      <c r="J353" s="226"/>
    </row>
    <row r="354" spans="1:10" s="6" customFormat="1" ht="25.5">
      <c r="A354" s="180"/>
      <c r="B354" s="201"/>
      <c r="C354" s="224"/>
      <c r="D354" s="84" t="s">
        <v>897</v>
      </c>
      <c r="E354" s="81" t="s">
        <v>898</v>
      </c>
      <c r="F354" s="179"/>
      <c r="G354" s="212" t="s">
        <v>44</v>
      </c>
      <c r="H354" s="49">
        <f>ROUND(F359,2)</f>
        <v>317.91000000000003</v>
      </c>
    </row>
    <row r="355" spans="1:10" ht="12.75" customHeight="1">
      <c r="A355" s="45"/>
      <c r="B355" s="209"/>
      <c r="C355" s="211"/>
      <c r="D355" s="84"/>
      <c r="E355" s="31" t="s">
        <v>899</v>
      </c>
      <c r="F355" s="50"/>
      <c r="G355" s="212"/>
      <c r="H355" s="172"/>
    </row>
    <row r="356" spans="1:10" ht="12.75" customHeight="1">
      <c r="A356" s="45"/>
      <c r="B356" s="209"/>
      <c r="C356" s="211"/>
      <c r="D356" s="84"/>
      <c r="E356" s="31" t="s">
        <v>900</v>
      </c>
      <c r="F356" s="50">
        <f>(640.939-1.012-1.202-1.202)*0.25</f>
        <v>159.38075000000001</v>
      </c>
      <c r="G356" s="212"/>
      <c r="H356" s="172"/>
    </row>
    <row r="357" spans="1:10" ht="12.75" customHeight="1">
      <c r="A357" s="45"/>
      <c r="B357" s="209"/>
      <c r="C357" s="211"/>
      <c r="D357" s="84"/>
      <c r="E357" s="31" t="s">
        <v>901</v>
      </c>
      <c r="F357" s="50"/>
      <c r="G357" s="212"/>
      <c r="H357" s="172"/>
    </row>
    <row r="358" spans="1:10" ht="12.75" customHeight="1">
      <c r="A358" s="45"/>
      <c r="B358" s="209"/>
      <c r="C358" s="211"/>
      <c r="D358" s="84"/>
      <c r="E358" s="31" t="s">
        <v>902</v>
      </c>
      <c r="F358" s="55">
        <f>(637.517-1.012-1.202-1.202)*0.25</f>
        <v>158.52525000000003</v>
      </c>
      <c r="G358" s="212"/>
      <c r="H358" s="172"/>
    </row>
    <row r="359" spans="1:10" ht="12.75" customHeight="1">
      <c r="A359" s="45"/>
      <c r="B359" s="209"/>
      <c r="C359" s="211"/>
      <c r="D359" s="84"/>
      <c r="E359" s="173" t="s">
        <v>411</v>
      </c>
      <c r="F359" s="50">
        <f>SUM(F356:F358)</f>
        <v>317.90600000000006</v>
      </c>
      <c r="G359" s="212"/>
      <c r="H359" s="172"/>
    </row>
    <row r="360" spans="1:10" s="6" customFormat="1" ht="25.5">
      <c r="A360" s="152">
        <f>MAX(A$2:A359)+1</f>
        <v>41</v>
      </c>
      <c r="B360" s="199" t="s">
        <v>149</v>
      </c>
      <c r="C360" s="51">
        <v>11050621</v>
      </c>
      <c r="D360" s="88"/>
      <c r="E360" s="105" t="s">
        <v>161</v>
      </c>
      <c r="F360" s="106"/>
      <c r="G360" s="76" t="s">
        <v>30</v>
      </c>
      <c r="H360" s="77">
        <f>H361</f>
        <v>75.819999999999993</v>
      </c>
      <c r="I360" s="406"/>
    </row>
    <row r="361" spans="1:10" s="6" customFormat="1" ht="25.5">
      <c r="A361" s="180"/>
      <c r="B361" s="201"/>
      <c r="C361" s="224"/>
      <c r="D361" s="84" t="s">
        <v>903</v>
      </c>
      <c r="E361" s="81" t="s">
        <v>904</v>
      </c>
      <c r="F361" s="179"/>
      <c r="G361" s="212" t="s">
        <v>30</v>
      </c>
      <c r="H361" s="49">
        <f>ROUND(F367,2)</f>
        <v>75.819999999999993</v>
      </c>
      <c r="I361" s="406"/>
    </row>
    <row r="362" spans="1:10" ht="12.75" customHeight="1">
      <c r="A362" s="45"/>
      <c r="B362" s="209"/>
      <c r="C362" s="211"/>
      <c r="D362" s="84"/>
      <c r="E362" s="31" t="s">
        <v>905</v>
      </c>
      <c r="F362" s="50"/>
      <c r="G362" s="212"/>
      <c r="H362" s="172"/>
    </row>
    <row r="363" spans="1:10" ht="12.75" customHeight="1">
      <c r="A363" s="45"/>
      <c r="B363" s="209"/>
      <c r="C363" s="211"/>
      <c r="D363" s="84"/>
      <c r="E363" s="31" t="s">
        <v>906</v>
      </c>
      <c r="F363" s="50">
        <v>24.87</v>
      </c>
      <c r="G363" s="212"/>
      <c r="H363" s="172"/>
    </row>
    <row r="364" spans="1:10" ht="12.75" customHeight="1">
      <c r="A364" s="45"/>
      <c r="B364" s="209"/>
      <c r="C364" s="211"/>
      <c r="D364" s="84"/>
      <c r="E364" s="31" t="s">
        <v>907</v>
      </c>
      <c r="F364" s="50">
        <v>8.07</v>
      </c>
      <c r="G364" s="212"/>
      <c r="H364" s="172"/>
    </row>
    <row r="365" spans="1:10" ht="12.75" customHeight="1">
      <c r="A365" s="45"/>
      <c r="B365" s="209"/>
      <c r="C365" s="211"/>
      <c r="D365" s="84"/>
      <c r="E365" s="31" t="s">
        <v>908</v>
      </c>
      <c r="F365" s="50">
        <v>32.46</v>
      </c>
      <c r="G365" s="212"/>
      <c r="H365" s="172"/>
    </row>
    <row r="366" spans="1:10" ht="12.75" customHeight="1">
      <c r="A366" s="45"/>
      <c r="B366" s="209"/>
      <c r="C366" s="211"/>
      <c r="D366" s="84"/>
      <c r="E366" s="31" t="s">
        <v>909</v>
      </c>
      <c r="F366" s="55">
        <v>10.42</v>
      </c>
      <c r="G366" s="212"/>
      <c r="H366" s="172"/>
    </row>
    <row r="367" spans="1:10" ht="12.75" customHeight="1">
      <c r="A367" s="45"/>
      <c r="B367" s="220"/>
      <c r="C367" s="168"/>
      <c r="D367" s="221"/>
      <c r="E367" s="173" t="s">
        <v>411</v>
      </c>
      <c r="F367" s="50">
        <f>SUM(F363:F366)</f>
        <v>75.820000000000007</v>
      </c>
      <c r="G367" s="222"/>
      <c r="H367" s="223"/>
    </row>
    <row r="368" spans="1:10" s="6" customFormat="1" ht="25.5">
      <c r="A368" s="152">
        <f>MAX(A$2:A367)+1</f>
        <v>42</v>
      </c>
      <c r="B368" s="199" t="s">
        <v>149</v>
      </c>
      <c r="C368" s="227" t="s">
        <v>162</v>
      </c>
      <c r="D368" s="228"/>
      <c r="E368" s="183" t="s">
        <v>163</v>
      </c>
      <c r="F368" s="229"/>
      <c r="G368" s="76" t="s">
        <v>33</v>
      </c>
      <c r="H368" s="77">
        <f>H369</f>
        <v>37.57</v>
      </c>
    </row>
    <row r="369" spans="1:8" s="6" customFormat="1" ht="25.5">
      <c r="A369" s="180"/>
      <c r="B369" s="201"/>
      <c r="C369" s="227"/>
      <c r="D369" s="230" t="s">
        <v>910</v>
      </c>
      <c r="E369" s="231" t="s">
        <v>911</v>
      </c>
      <c r="F369" s="232"/>
      <c r="G369" s="156" t="s">
        <v>33</v>
      </c>
      <c r="H369" s="49">
        <f>ROUND(F374,2)</f>
        <v>37.57</v>
      </c>
    </row>
    <row r="370" spans="1:8" ht="12.75" customHeight="1">
      <c r="A370" s="45"/>
      <c r="B370" s="209"/>
      <c r="C370" s="211"/>
      <c r="D370" s="84"/>
      <c r="E370" s="31" t="s">
        <v>912</v>
      </c>
      <c r="F370" s="50"/>
      <c r="G370" s="212"/>
      <c r="H370" s="172"/>
    </row>
    <row r="371" spans="1:8" ht="12.75" customHeight="1">
      <c r="A371" s="45"/>
      <c r="B371" s="209"/>
      <c r="C371" s="211"/>
      <c r="D371" s="84"/>
      <c r="E371" s="31" t="s">
        <v>913</v>
      </c>
      <c r="F371" s="50">
        <f>10.21*(6*0.3+0.04)</f>
        <v>18.7864</v>
      </c>
      <c r="G371" s="212" t="s">
        <v>451</v>
      </c>
      <c r="H371" s="172"/>
    </row>
    <row r="372" spans="1:8" ht="12.75" customHeight="1">
      <c r="A372" s="45"/>
      <c r="B372" s="209"/>
      <c r="C372" s="211"/>
      <c r="D372" s="84"/>
      <c r="E372" s="31" t="s">
        <v>914</v>
      </c>
      <c r="F372" s="50"/>
      <c r="G372" s="212"/>
      <c r="H372" s="172"/>
    </row>
    <row r="373" spans="1:8" ht="12.75" customHeight="1">
      <c r="A373" s="45"/>
      <c r="B373" s="209"/>
      <c r="C373" s="211"/>
      <c r="D373" s="84"/>
      <c r="E373" s="31" t="s">
        <v>913</v>
      </c>
      <c r="F373" s="55">
        <f>10.21*(6*0.3+0.04)</f>
        <v>18.7864</v>
      </c>
      <c r="G373" s="212" t="s">
        <v>451</v>
      </c>
      <c r="H373" s="172"/>
    </row>
    <row r="374" spans="1:8" ht="12.75" customHeight="1">
      <c r="A374" s="45"/>
      <c r="B374" s="220"/>
      <c r="C374" s="168"/>
      <c r="D374" s="221"/>
      <c r="E374" s="173" t="s">
        <v>411</v>
      </c>
      <c r="F374" s="50">
        <f>F371+F373</f>
        <v>37.572800000000001</v>
      </c>
      <c r="G374" s="222"/>
      <c r="H374" s="223"/>
    </row>
    <row r="375" spans="1:8" s="6" customFormat="1" ht="25.5">
      <c r="A375" s="152">
        <f>MAX(A$2:A374)+1</f>
        <v>43</v>
      </c>
      <c r="B375" s="199" t="s">
        <v>149</v>
      </c>
      <c r="C375" s="227" t="s">
        <v>164</v>
      </c>
      <c r="D375" s="228"/>
      <c r="E375" s="183" t="s">
        <v>165</v>
      </c>
      <c r="F375" s="229"/>
      <c r="G375" s="76" t="s">
        <v>30</v>
      </c>
      <c r="H375" s="77">
        <f>H376</f>
        <v>5.7880000000000003</v>
      </c>
    </row>
    <row r="376" spans="1:8" s="6" customFormat="1" ht="25.5">
      <c r="A376" s="180"/>
      <c r="B376" s="201"/>
      <c r="C376" s="205"/>
      <c r="D376" s="233" t="s">
        <v>915</v>
      </c>
      <c r="E376" s="128" t="s">
        <v>916</v>
      </c>
      <c r="F376" s="232"/>
      <c r="G376" s="156" t="s">
        <v>30</v>
      </c>
      <c r="H376" s="49">
        <f>F379</f>
        <v>5.7880000000000003</v>
      </c>
    </row>
    <row r="377" spans="1:8" ht="12.75" customHeight="1">
      <c r="A377" s="45"/>
      <c r="B377" s="209"/>
      <c r="C377" s="211"/>
      <c r="D377" s="84"/>
      <c r="E377" s="31" t="s">
        <v>917</v>
      </c>
      <c r="F377" s="50">
        <v>2.8940000000000001</v>
      </c>
      <c r="G377" s="212" t="s">
        <v>451</v>
      </c>
      <c r="H377" s="172"/>
    </row>
    <row r="378" spans="1:8" ht="12.75" customHeight="1">
      <c r="A378" s="45"/>
      <c r="B378" s="209"/>
      <c r="C378" s="211"/>
      <c r="D378" s="84"/>
      <c r="E378" s="31" t="s">
        <v>918</v>
      </c>
      <c r="F378" s="50">
        <v>2.8940000000000001</v>
      </c>
      <c r="G378" s="212" t="s">
        <v>451</v>
      </c>
      <c r="H378" s="172"/>
    </row>
    <row r="379" spans="1:8" ht="12.75" customHeight="1">
      <c r="A379" s="45"/>
      <c r="B379" s="220"/>
      <c r="C379" s="168"/>
      <c r="D379" s="221"/>
      <c r="E379" s="173" t="s">
        <v>411</v>
      </c>
      <c r="F379" s="50">
        <f>SUM(F377:F378)</f>
        <v>5.7880000000000003</v>
      </c>
      <c r="G379" s="222"/>
      <c r="H379" s="223"/>
    </row>
    <row r="380" spans="1:8" s="62" customFormat="1" ht="25.5">
      <c r="A380" s="152">
        <f>MAX(A$2:A379)+1</f>
        <v>44</v>
      </c>
      <c r="B380" s="199" t="s">
        <v>149</v>
      </c>
      <c r="C380" s="52" t="s">
        <v>166</v>
      </c>
      <c r="D380" s="102"/>
      <c r="E380" s="27" t="s">
        <v>167</v>
      </c>
      <c r="F380" s="155"/>
      <c r="G380" s="34" t="s">
        <v>33</v>
      </c>
      <c r="H380" s="77">
        <f>H381+H391</f>
        <v>1255.73</v>
      </c>
    </row>
    <row r="381" spans="1:8" s="6" customFormat="1" ht="25.5" customHeight="1">
      <c r="A381" s="180"/>
      <c r="B381" s="181"/>
      <c r="C381" s="88"/>
      <c r="D381" s="102" t="s">
        <v>919</v>
      </c>
      <c r="E381" s="128" t="s">
        <v>920</v>
      </c>
      <c r="F381" s="155"/>
      <c r="G381" s="156" t="s">
        <v>33</v>
      </c>
      <c r="H381" s="49">
        <f>ROUND(F390,2)</f>
        <v>1250.8499999999999</v>
      </c>
    </row>
    <row r="382" spans="1:8" ht="12.75" customHeight="1">
      <c r="A382" s="45"/>
      <c r="B382" s="209"/>
      <c r="C382" s="211"/>
      <c r="D382" s="84"/>
      <c r="E382" s="31" t="s">
        <v>921</v>
      </c>
      <c r="F382" s="50"/>
      <c r="G382" s="212"/>
      <c r="H382" s="172"/>
    </row>
    <row r="383" spans="1:8" ht="12.75" customHeight="1">
      <c r="A383" s="45"/>
      <c r="B383" s="209"/>
      <c r="C383" s="211"/>
      <c r="D383" s="84"/>
      <c r="E383" s="31" t="s">
        <v>922</v>
      </c>
      <c r="F383" s="50">
        <f xml:space="preserve"> 0.962*271.3*2</f>
        <v>521.98120000000006</v>
      </c>
      <c r="G383" s="212"/>
      <c r="H383" s="172"/>
    </row>
    <row r="384" spans="1:8" ht="12.75" customHeight="1">
      <c r="A384" s="45"/>
      <c r="B384" s="209"/>
      <c r="C384" s="211"/>
      <c r="D384" s="84"/>
      <c r="E384" s="31" t="s">
        <v>923</v>
      </c>
      <c r="F384" s="55">
        <f>0.981*359.4*2</f>
        <v>705.14279999999997</v>
      </c>
      <c r="G384" s="212"/>
      <c r="H384" s="172"/>
    </row>
    <row r="385" spans="1:9" ht="12.75" customHeight="1">
      <c r="A385" s="45"/>
      <c r="B385" s="220"/>
      <c r="C385" s="168"/>
      <c r="D385" s="221"/>
      <c r="E385" s="173" t="s">
        <v>421</v>
      </c>
      <c r="F385" s="50">
        <f>F383+F384</f>
        <v>1227.124</v>
      </c>
      <c r="G385" s="222"/>
      <c r="H385" s="223"/>
    </row>
    <row r="386" spans="1:9" ht="12.75" customHeight="1">
      <c r="A386" s="45"/>
      <c r="B386" s="209"/>
      <c r="C386" s="211"/>
      <c r="D386" s="84"/>
      <c r="E386" s="31" t="s">
        <v>924</v>
      </c>
      <c r="F386" s="50"/>
      <c r="G386" s="212"/>
      <c r="H386" s="172"/>
    </row>
    <row r="387" spans="1:9" ht="12.75" customHeight="1">
      <c r="A387" s="45"/>
      <c r="B387" s="209"/>
      <c r="C387" s="211"/>
      <c r="D387" s="84"/>
      <c r="E387" s="31" t="s">
        <v>925</v>
      </c>
      <c r="F387" s="50">
        <f>((1.04*0.15*(1.15+2*0.288)+4*0.22*0.21*0.075)*69)*1.2</f>
        <v>23.442004799999996</v>
      </c>
      <c r="G387" s="212"/>
      <c r="H387" s="172"/>
    </row>
    <row r="388" spans="1:9" ht="25.5">
      <c r="A388" s="45"/>
      <c r="B388" s="209"/>
      <c r="C388" s="211"/>
      <c r="D388" s="84"/>
      <c r="E388" s="31" t="s">
        <v>926</v>
      </c>
      <c r="F388" s="50"/>
      <c r="G388" s="212"/>
      <c r="H388" s="172"/>
    </row>
    <row r="389" spans="1:9" ht="12.75" customHeight="1">
      <c r="A389" s="45"/>
      <c r="B389" s="209"/>
      <c r="C389" s="211"/>
      <c r="D389" s="84"/>
      <c r="E389" s="31" t="s">
        <v>927</v>
      </c>
      <c r="F389" s="55">
        <f>24*0.12*(0.288*0.4-3.14*0.08*0.08)+0.288*0.4*0.12</f>
        <v>0.28772351999999995</v>
      </c>
      <c r="G389" s="212"/>
      <c r="H389" s="172"/>
    </row>
    <row r="390" spans="1:9" ht="12.75" customHeight="1">
      <c r="A390" s="45"/>
      <c r="B390" s="220"/>
      <c r="C390" s="168"/>
      <c r="D390" s="221"/>
      <c r="E390" s="173" t="s">
        <v>411</v>
      </c>
      <c r="F390" s="50">
        <f>F385+F387+F389</f>
        <v>1250.8537283200001</v>
      </c>
      <c r="G390" s="222"/>
      <c r="H390" s="223"/>
    </row>
    <row r="391" spans="1:9" s="6" customFormat="1" ht="25.5" customHeight="1">
      <c r="A391" s="180"/>
      <c r="B391" s="181"/>
      <c r="C391" s="88"/>
      <c r="D391" s="102" t="s">
        <v>928</v>
      </c>
      <c r="E391" s="128" t="s">
        <v>929</v>
      </c>
      <c r="F391" s="155"/>
      <c r="G391" s="156" t="s">
        <v>33</v>
      </c>
      <c r="H391" s="49">
        <f>ROUND(F394,2)</f>
        <v>4.88</v>
      </c>
      <c r="I391" s="406"/>
    </row>
    <row r="392" spans="1:9" ht="12.75" customHeight="1">
      <c r="A392" s="45"/>
      <c r="B392" s="209"/>
      <c r="C392" s="211"/>
      <c r="D392" s="84"/>
      <c r="E392" s="31" t="s">
        <v>930</v>
      </c>
      <c r="F392" s="50">
        <v>2.5</v>
      </c>
      <c r="G392" s="212"/>
      <c r="H392" s="172"/>
    </row>
    <row r="393" spans="1:9" ht="25.5">
      <c r="A393" s="45"/>
      <c r="B393" s="209"/>
      <c r="C393" s="211"/>
      <c r="D393" s="84"/>
      <c r="E393" s="31" t="s">
        <v>931</v>
      </c>
      <c r="F393" s="55">
        <f>6*1.5*1*0.22*1.2</f>
        <v>2.3759999999999999</v>
      </c>
      <c r="G393" s="212"/>
      <c r="H393" s="172"/>
    </row>
    <row r="394" spans="1:9" ht="12.75" customHeight="1">
      <c r="A394" s="45"/>
      <c r="B394" s="209"/>
      <c r="C394" s="211"/>
      <c r="D394" s="84"/>
      <c r="E394" s="31"/>
      <c r="F394" s="58">
        <f>SUM(F392:F393)</f>
        <v>4.8759999999999994</v>
      </c>
      <c r="G394" s="212"/>
      <c r="H394" s="172"/>
    </row>
    <row r="395" spans="1:9" s="6" customFormat="1" ht="25.5">
      <c r="A395" s="152">
        <f>MAX(A$2:A392)+1</f>
        <v>45</v>
      </c>
      <c r="B395" s="199" t="s">
        <v>149</v>
      </c>
      <c r="C395" s="52" t="s">
        <v>168</v>
      </c>
      <c r="D395" s="102"/>
      <c r="E395" s="183" t="s">
        <v>169</v>
      </c>
      <c r="F395" s="155"/>
      <c r="G395" s="34" t="s">
        <v>44</v>
      </c>
      <c r="H395" s="77">
        <f>H396</f>
        <v>579.33000000000004</v>
      </c>
    </row>
    <row r="396" spans="1:9" s="6" customFormat="1" ht="25.5" customHeight="1">
      <c r="A396" s="180"/>
      <c r="B396" s="181"/>
      <c r="C396" s="88"/>
      <c r="D396" s="102" t="s">
        <v>932</v>
      </c>
      <c r="E396" s="128" t="s">
        <v>933</v>
      </c>
      <c r="F396" s="155"/>
      <c r="G396" s="156" t="s">
        <v>44</v>
      </c>
      <c r="H396" s="49">
        <f>ROUND(F408,2)</f>
        <v>579.33000000000004</v>
      </c>
    </row>
    <row r="397" spans="1:9" ht="25.5">
      <c r="A397" s="45"/>
      <c r="B397" s="209"/>
      <c r="C397" s="211"/>
      <c r="D397" s="84"/>
      <c r="E397" s="31" t="s">
        <v>934</v>
      </c>
      <c r="F397" s="50"/>
      <c r="G397" s="212"/>
      <c r="H397" s="172"/>
    </row>
    <row r="398" spans="1:9" ht="12.75" customHeight="1">
      <c r="A398" s="45"/>
      <c r="B398" s="209"/>
      <c r="C398" s="211"/>
      <c r="D398" s="84"/>
      <c r="E398" s="31" t="s">
        <v>935</v>
      </c>
      <c r="F398" s="50">
        <f>24*(0.288*0.4-3.14*0.08*0.08)+0.288*0.4</f>
        <v>2.3976960000000003</v>
      </c>
      <c r="G398" s="212"/>
      <c r="H398" s="172"/>
    </row>
    <row r="399" spans="1:9" ht="12.75" customHeight="1">
      <c r="A399" s="45"/>
      <c r="B399" s="209"/>
      <c r="C399" s="211"/>
      <c r="D399" s="84"/>
      <c r="E399" s="31" t="s">
        <v>936</v>
      </c>
      <c r="F399" s="50"/>
      <c r="G399" s="212"/>
      <c r="H399" s="172"/>
    </row>
    <row r="400" spans="1:9" ht="12.75" customHeight="1">
      <c r="A400" s="45"/>
      <c r="B400" s="209"/>
      <c r="C400" s="211"/>
      <c r="D400" s="84"/>
      <c r="E400" s="31" t="s">
        <v>937</v>
      </c>
      <c r="F400" s="50">
        <f>16.74+1.312*8+0.2*12.65+2.03*0.6*2+1.86*2+0.31*0.6+0.14*0.6</f>
        <v>36.192</v>
      </c>
      <c r="G400" s="212" t="s">
        <v>451</v>
      </c>
      <c r="H400" s="172"/>
    </row>
    <row r="401" spans="1:8" ht="12.75" customHeight="1">
      <c r="A401" s="45"/>
      <c r="B401" s="209"/>
      <c r="C401" s="211"/>
      <c r="D401" s="84"/>
      <c r="E401" s="31" t="s">
        <v>938</v>
      </c>
      <c r="F401" s="50"/>
      <c r="G401" s="212"/>
      <c r="H401" s="172"/>
    </row>
    <row r="402" spans="1:8" ht="12.75" customHeight="1">
      <c r="A402" s="45"/>
      <c r="B402" s="209"/>
      <c r="C402" s="211"/>
      <c r="D402" s="84"/>
      <c r="E402" s="31" t="s">
        <v>939</v>
      </c>
      <c r="F402" s="50">
        <f>0.325*0.68*2+0.325*12.75*2</f>
        <v>8.7294999999999998</v>
      </c>
      <c r="G402" s="212" t="s">
        <v>451</v>
      </c>
      <c r="H402" s="172"/>
    </row>
    <row r="403" spans="1:8" ht="12.75" customHeight="1">
      <c r="A403" s="45"/>
      <c r="B403" s="209"/>
      <c r="C403" s="211"/>
      <c r="D403" s="84"/>
      <c r="E403" s="31" t="s">
        <v>940</v>
      </c>
      <c r="F403" s="50"/>
      <c r="G403" s="212"/>
      <c r="H403" s="172"/>
    </row>
    <row r="404" spans="1:8" ht="12.75" customHeight="1">
      <c r="A404" s="45"/>
      <c r="B404" s="209"/>
      <c r="C404" s="211"/>
      <c r="D404" s="84"/>
      <c r="E404" s="31" t="s">
        <v>941</v>
      </c>
      <c r="F404" s="50">
        <f>6*1.5*1</f>
        <v>9</v>
      </c>
      <c r="G404" s="212"/>
      <c r="H404" s="172"/>
    </row>
    <row r="405" spans="1:8" ht="12.75" customHeight="1">
      <c r="A405" s="45"/>
      <c r="B405" s="209"/>
      <c r="C405" s="211"/>
      <c r="D405" s="84"/>
      <c r="E405" s="31" t="s">
        <v>942</v>
      </c>
      <c r="F405" s="50"/>
      <c r="G405" s="212"/>
      <c r="H405" s="172"/>
    </row>
    <row r="406" spans="1:8" ht="12.75" customHeight="1">
      <c r="A406" s="45"/>
      <c r="B406" s="209"/>
      <c r="C406" s="211"/>
      <c r="D406" s="84"/>
      <c r="E406" s="31" t="s">
        <v>943</v>
      </c>
      <c r="F406" s="50">
        <f>(2*0.2*271.3+2*0.2*359.4+0.15*12.65)*2</f>
        <v>508.35500000000002</v>
      </c>
      <c r="G406" s="212"/>
      <c r="H406" s="172"/>
    </row>
    <row r="407" spans="1:8" ht="25.5">
      <c r="A407" s="45"/>
      <c r="B407" s="209"/>
      <c r="C407" s="211"/>
      <c r="D407" s="84"/>
      <c r="E407" s="31" t="s">
        <v>944</v>
      </c>
      <c r="F407" s="55">
        <f>2*0.3*10.21+2*0.3*10.21+2*2*2*0.3</f>
        <v>14.652000000000001</v>
      </c>
      <c r="G407" s="212"/>
      <c r="H407" s="172"/>
    </row>
    <row r="408" spans="1:8" ht="12.75" customHeight="1">
      <c r="A408" s="45"/>
      <c r="B408" s="220"/>
      <c r="C408" s="168"/>
      <c r="D408" s="221"/>
      <c r="E408" s="173" t="s">
        <v>411</v>
      </c>
      <c r="F408" s="50">
        <f>SUM(F397:F407)</f>
        <v>579.3261960000001</v>
      </c>
      <c r="G408" s="222"/>
      <c r="H408" s="223"/>
    </row>
    <row r="409" spans="1:8" s="6" customFormat="1" ht="25.5">
      <c r="A409" s="152">
        <f>MAX(A$2:A408)+1</f>
        <v>46</v>
      </c>
      <c r="B409" s="199" t="s">
        <v>149</v>
      </c>
      <c r="C409" s="52" t="s">
        <v>170</v>
      </c>
      <c r="D409" s="102"/>
      <c r="E409" s="183" t="s">
        <v>171</v>
      </c>
      <c r="F409" s="155"/>
      <c r="G409" s="34" t="s">
        <v>30</v>
      </c>
      <c r="H409" s="146">
        <f>H410+H418</f>
        <v>66.451999999999998</v>
      </c>
    </row>
    <row r="410" spans="1:8" s="6" customFormat="1" ht="25.5" customHeight="1">
      <c r="A410" s="180"/>
      <c r="B410" s="181"/>
      <c r="C410" s="88"/>
      <c r="D410" s="102" t="s">
        <v>945</v>
      </c>
      <c r="E410" s="128" t="s">
        <v>946</v>
      </c>
      <c r="F410" s="155"/>
      <c r="G410" s="156" t="s">
        <v>30</v>
      </c>
      <c r="H410" s="49">
        <f>ROUND(F417,2)</f>
        <v>13.77</v>
      </c>
    </row>
    <row r="411" spans="1:8" ht="12.75" customHeight="1">
      <c r="A411" s="45"/>
      <c r="B411" s="209"/>
      <c r="C411" s="211"/>
      <c r="D411" s="84"/>
      <c r="E411" s="31" t="s">
        <v>947</v>
      </c>
      <c r="F411" s="50">
        <v>6.97</v>
      </c>
      <c r="G411" s="212"/>
      <c r="H411" s="172"/>
    </row>
    <row r="412" spans="1:8" ht="12.75" customHeight="1">
      <c r="A412" s="45"/>
      <c r="B412" s="209"/>
      <c r="C412" s="211"/>
      <c r="D412" s="84"/>
      <c r="E412" s="31" t="s">
        <v>948</v>
      </c>
      <c r="F412" s="50">
        <f>0.0487*69</f>
        <v>3.3603000000000001</v>
      </c>
      <c r="G412" s="212"/>
      <c r="H412" s="172"/>
    </row>
    <row r="413" spans="1:8" ht="12.75" customHeight="1">
      <c r="A413" s="45"/>
      <c r="B413" s="209"/>
      <c r="C413" s="211"/>
      <c r="D413" s="84"/>
      <c r="E413" s="31" t="s">
        <v>949</v>
      </c>
      <c r="F413" s="50">
        <v>0.5</v>
      </c>
      <c r="G413" s="212"/>
      <c r="H413" s="172"/>
    </row>
    <row r="414" spans="1:8" ht="25.5">
      <c r="A414" s="45"/>
      <c r="B414" s="209"/>
      <c r="C414" s="211"/>
      <c r="D414" s="84"/>
      <c r="E414" s="31" t="s">
        <v>950</v>
      </c>
      <c r="F414" s="50">
        <v>1.1399999999999999</v>
      </c>
      <c r="G414" s="212"/>
      <c r="H414" s="172"/>
    </row>
    <row r="415" spans="1:8">
      <c r="A415" s="45"/>
      <c r="B415" s="209"/>
      <c r="C415" s="211"/>
      <c r="D415" s="84"/>
      <c r="E415" s="31" t="s">
        <v>951</v>
      </c>
      <c r="F415" s="50">
        <v>1.2</v>
      </c>
      <c r="G415" s="212"/>
      <c r="H415" s="172"/>
    </row>
    <row r="416" spans="1:8" ht="12.75" customHeight="1">
      <c r="A416" s="45"/>
      <c r="B416" s="209"/>
      <c r="C416" s="211"/>
      <c r="D416" s="84"/>
      <c r="E416" s="31" t="s">
        <v>952</v>
      </c>
      <c r="F416" s="55">
        <v>0.6</v>
      </c>
      <c r="G416" s="212"/>
      <c r="H416" s="172"/>
    </row>
    <row r="417" spans="1:8" ht="12.75" customHeight="1">
      <c r="A417" s="45"/>
      <c r="B417" s="220"/>
      <c r="C417" s="168"/>
      <c r="D417" s="221"/>
      <c r="E417" s="173" t="s">
        <v>411</v>
      </c>
      <c r="F417" s="50">
        <f>SUM(F411:F416)</f>
        <v>13.770299999999999</v>
      </c>
      <c r="G417" s="222"/>
      <c r="H417" s="223"/>
    </row>
    <row r="418" spans="1:8" s="6" customFormat="1" ht="25.5" customHeight="1">
      <c r="A418" s="180"/>
      <c r="B418" s="181"/>
      <c r="C418" s="88"/>
      <c r="D418" s="102" t="s">
        <v>953</v>
      </c>
      <c r="E418" s="128" t="s">
        <v>954</v>
      </c>
      <c r="F418" s="155"/>
      <c r="G418" s="156" t="s">
        <v>30</v>
      </c>
      <c r="H418" s="49">
        <f>F421</f>
        <v>52.682000000000002</v>
      </c>
    </row>
    <row r="419" spans="1:8" ht="12.75" customHeight="1">
      <c r="A419" s="45"/>
      <c r="B419" s="209"/>
      <c r="C419" s="211"/>
      <c r="D419" s="84"/>
      <c r="E419" s="31" t="s">
        <v>955</v>
      </c>
      <c r="F419" s="58">
        <v>0.08</v>
      </c>
      <c r="G419" s="212"/>
      <c r="H419" s="172"/>
    </row>
    <row r="420" spans="1:8" ht="12.75" customHeight="1">
      <c r="A420" s="45"/>
      <c r="B420" s="209"/>
      <c r="C420" s="211"/>
      <c r="D420" s="84"/>
      <c r="E420" s="31" t="s">
        <v>956</v>
      </c>
      <c r="F420" s="55">
        <f>47.82*1.1</f>
        <v>52.602000000000004</v>
      </c>
      <c r="G420" s="212"/>
      <c r="H420" s="172"/>
    </row>
    <row r="421" spans="1:8" ht="12.75" customHeight="1">
      <c r="A421" s="45"/>
      <c r="B421" s="209"/>
      <c r="C421" s="211"/>
      <c r="D421" s="84"/>
      <c r="E421" s="173" t="s">
        <v>411</v>
      </c>
      <c r="F421" s="58">
        <f>SUM(F419:F420)</f>
        <v>52.682000000000002</v>
      </c>
      <c r="G421" s="212"/>
      <c r="H421" s="172"/>
    </row>
    <row r="422" spans="1:8" s="6" customFormat="1" ht="25.5">
      <c r="A422" s="152">
        <f>MAX(A$2:A420)+1</f>
        <v>47</v>
      </c>
      <c r="B422" s="199" t="s">
        <v>149</v>
      </c>
      <c r="C422" s="52" t="s">
        <v>172</v>
      </c>
      <c r="D422" s="102"/>
      <c r="E422" s="183" t="s">
        <v>173</v>
      </c>
      <c r="F422" s="155"/>
      <c r="G422" s="34" t="s">
        <v>33</v>
      </c>
      <c r="H422" s="146">
        <f>H423+H425</f>
        <v>15.04</v>
      </c>
    </row>
    <row r="423" spans="1:8" s="6" customFormat="1" ht="25.5" customHeight="1">
      <c r="A423" s="180"/>
      <c r="B423" s="186"/>
      <c r="C423" s="52"/>
      <c r="D423" s="102" t="s">
        <v>957</v>
      </c>
      <c r="E423" s="128" t="s">
        <v>958</v>
      </c>
      <c r="F423" s="155"/>
      <c r="G423" s="156" t="s">
        <v>33</v>
      </c>
      <c r="H423" s="49">
        <f>ROUND(F424,2)</f>
        <v>2.62</v>
      </c>
    </row>
    <row r="424" spans="1:8" ht="12.75" customHeight="1">
      <c r="A424" s="45"/>
      <c r="B424" s="209"/>
      <c r="C424" s="211"/>
      <c r="D424" s="84"/>
      <c r="E424" s="31" t="s">
        <v>959</v>
      </c>
      <c r="F424" s="50">
        <f>0.202*12.95</f>
        <v>2.6158999999999999</v>
      </c>
      <c r="G424" s="212" t="s">
        <v>451</v>
      </c>
      <c r="H424" s="172"/>
    </row>
    <row r="425" spans="1:8" s="6" customFormat="1" ht="25.5" customHeight="1">
      <c r="A425" s="180"/>
      <c r="B425" s="186"/>
      <c r="C425" s="52"/>
      <c r="D425" s="102" t="s">
        <v>960</v>
      </c>
      <c r="E425" s="128" t="s">
        <v>961</v>
      </c>
      <c r="F425" s="155"/>
      <c r="G425" s="156" t="s">
        <v>33</v>
      </c>
      <c r="H425" s="49">
        <f>ROUND(F427,2)</f>
        <v>12.42</v>
      </c>
    </row>
    <row r="426" spans="1:8" ht="12.75" customHeight="1">
      <c r="A426" s="45"/>
      <c r="B426" s="209"/>
      <c r="C426" s="211"/>
      <c r="D426" s="84"/>
      <c r="E426" s="31" t="s">
        <v>962</v>
      </c>
      <c r="F426" s="50"/>
      <c r="G426" s="212"/>
      <c r="H426" s="172"/>
    </row>
    <row r="427" spans="1:8" ht="12.75" customHeight="1">
      <c r="A427" s="45"/>
      <c r="B427" s="209"/>
      <c r="C427" s="211"/>
      <c r="D427" s="84"/>
      <c r="E427" s="31" t="s">
        <v>963</v>
      </c>
      <c r="F427" s="50">
        <f>11.3+1.86*0.6</f>
        <v>12.416</v>
      </c>
      <c r="G427" s="212" t="s">
        <v>451</v>
      </c>
      <c r="H427" s="172"/>
    </row>
    <row r="428" spans="1:8" ht="25.5">
      <c r="A428" s="152">
        <f>MAX(A$2:A427)+1</f>
        <v>48</v>
      </c>
      <c r="B428" s="199" t="s">
        <v>149</v>
      </c>
      <c r="C428" s="51" t="s">
        <v>174</v>
      </c>
      <c r="D428" s="52"/>
      <c r="E428" s="53" t="s">
        <v>175</v>
      </c>
      <c r="F428" s="75"/>
      <c r="G428" s="76" t="s">
        <v>33</v>
      </c>
      <c r="H428" s="146">
        <f>H429</f>
        <v>10.87</v>
      </c>
    </row>
    <row r="429" spans="1:8" ht="25.5">
      <c r="A429" s="45"/>
      <c r="B429" s="209"/>
      <c r="C429" s="211"/>
      <c r="D429" s="230" t="s">
        <v>964</v>
      </c>
      <c r="E429" s="231" t="s">
        <v>965</v>
      </c>
      <c r="F429" s="234"/>
      <c r="G429" s="212" t="s">
        <v>33</v>
      </c>
      <c r="H429" s="49">
        <f>ROUND(F435,2)</f>
        <v>10.87</v>
      </c>
    </row>
    <row r="430" spans="1:8" ht="12.75" customHeight="1">
      <c r="A430" s="45"/>
      <c r="B430" s="209"/>
      <c r="C430" s="211"/>
      <c r="D430" s="84"/>
      <c r="E430" s="31" t="s">
        <v>966</v>
      </c>
      <c r="F430" s="58"/>
      <c r="G430" s="212"/>
      <c r="H430" s="172"/>
    </row>
    <row r="431" spans="1:8" ht="12.75" customHeight="1">
      <c r="A431" s="45"/>
      <c r="B431" s="209"/>
      <c r="C431" s="211"/>
      <c r="D431" s="84"/>
      <c r="E431" s="31" t="s">
        <v>967</v>
      </c>
      <c r="F431" s="58"/>
      <c r="G431" s="212"/>
      <c r="H431" s="172"/>
    </row>
    <row r="432" spans="1:8" ht="12.75" customHeight="1">
      <c r="A432" s="45"/>
      <c r="B432" s="209"/>
      <c r="C432" s="211"/>
      <c r="D432" s="84"/>
      <c r="E432" s="31" t="s">
        <v>968</v>
      </c>
      <c r="F432" s="58">
        <f>((1.564+2.107)/2*0.9+(1.665+2.172)/2*0.9)*0.3*1.15*2</f>
        <v>2.3312340000000003</v>
      </c>
      <c r="G432" s="212"/>
      <c r="H432" s="172"/>
    </row>
    <row r="433" spans="1:8" ht="12.75" customHeight="1">
      <c r="A433" s="45"/>
      <c r="B433" s="209"/>
      <c r="C433" s="211"/>
      <c r="D433" s="84"/>
      <c r="E433" s="31" t="s">
        <v>969</v>
      </c>
      <c r="F433" s="58"/>
      <c r="G433" s="212"/>
      <c r="H433" s="172"/>
    </row>
    <row r="434" spans="1:8" ht="38.25">
      <c r="A434" s="45"/>
      <c r="B434" s="209"/>
      <c r="C434" s="211"/>
      <c r="D434" s="84"/>
      <c r="E434" s="31" t="s">
        <v>970</v>
      </c>
      <c r="F434" s="55">
        <f>(1.56*1.535+0.66*0.3+0.9*0.3/2+1.2*0.325/2+(0.325+0.332)/2*0.36+1.56*1.635+0.66*0.3+0.9*0.3/2+1.2*0.276/2+(0.276+0.27)/2*0.36)*0.3*4*1.15</f>
        <v>8.5399091999999985</v>
      </c>
      <c r="G434" s="212"/>
      <c r="H434" s="172"/>
    </row>
    <row r="435" spans="1:8" ht="12.75" customHeight="1">
      <c r="A435" s="45"/>
      <c r="B435" s="209"/>
      <c r="C435" s="211"/>
      <c r="D435" s="84"/>
      <c r="E435" s="173" t="s">
        <v>411</v>
      </c>
      <c r="F435" s="58">
        <f>SUM(F431:F434)</f>
        <v>10.871143199999999</v>
      </c>
      <c r="G435" s="212"/>
      <c r="H435" s="172"/>
    </row>
    <row r="436" spans="1:8" ht="25.5">
      <c r="A436" s="152">
        <f>MAX(A$2:A435)+1</f>
        <v>49</v>
      </c>
      <c r="B436" s="199" t="s">
        <v>149</v>
      </c>
      <c r="C436" s="51" t="s">
        <v>176</v>
      </c>
      <c r="D436" s="52"/>
      <c r="E436" s="53" t="s">
        <v>177</v>
      </c>
      <c r="F436" s="75"/>
      <c r="G436" s="76" t="s">
        <v>33</v>
      </c>
      <c r="H436" s="146">
        <f>H437</f>
        <v>123.7</v>
      </c>
    </row>
    <row r="437" spans="1:8" ht="25.5">
      <c r="A437" s="45"/>
      <c r="B437" s="209"/>
      <c r="C437" s="211"/>
      <c r="D437" s="230" t="s">
        <v>971</v>
      </c>
      <c r="E437" s="231" t="s">
        <v>972</v>
      </c>
      <c r="F437" s="234"/>
      <c r="G437" s="212" t="s">
        <v>33</v>
      </c>
      <c r="H437" s="49">
        <f>ROUND(F447,2)</f>
        <v>123.7</v>
      </c>
    </row>
    <row r="438" spans="1:8" ht="12.75" customHeight="1">
      <c r="A438" s="45"/>
      <c r="B438" s="209"/>
      <c r="C438" s="211"/>
      <c r="D438" s="84"/>
      <c r="E438" s="31" t="s">
        <v>973</v>
      </c>
      <c r="F438" s="58"/>
      <c r="G438" s="212"/>
      <c r="H438" s="172"/>
    </row>
    <row r="439" spans="1:8" ht="12.75" customHeight="1">
      <c r="A439" s="45"/>
      <c r="B439" s="209"/>
      <c r="C439" s="211"/>
      <c r="D439" s="84"/>
      <c r="E439" s="31" t="s">
        <v>974</v>
      </c>
      <c r="F439" s="58"/>
      <c r="G439" s="212"/>
      <c r="H439" s="172"/>
    </row>
    <row r="440" spans="1:8" ht="63.75">
      <c r="A440" s="45"/>
      <c r="B440" s="209"/>
      <c r="C440" s="211"/>
      <c r="D440" s="84"/>
      <c r="E440" s="31" t="s">
        <v>975</v>
      </c>
      <c r="F440" s="58">
        <f>(((0.485+0.937)/2*0.75+(1.014+0.592)/2*0.75+(0.628+1.081)/2*0.75+(1.158+0.735)/2*0.75)/2*4+((2.175*(0.628+0.674)/2+2.175*(0.735+0.781)/2+2*1.275*0.3+2*0.9*0.3/2+1.2*0.324/2+(0.324+0.344)/2*0.975+1.2*0.275/2+(0.256+0.275)/2*0.975))*1.16)*2*1.15</f>
        <v>24.892774649999996</v>
      </c>
      <c r="G440" s="212"/>
      <c r="H440" s="172"/>
    </row>
    <row r="441" spans="1:8" ht="12.75" customHeight="1">
      <c r="A441" s="45"/>
      <c r="B441" s="209"/>
      <c r="C441" s="211"/>
      <c r="D441" s="84"/>
      <c r="E441" s="31" t="s">
        <v>976</v>
      </c>
      <c r="F441" s="58"/>
      <c r="G441" s="212"/>
      <c r="H441" s="172"/>
    </row>
    <row r="442" spans="1:8" ht="12.75" customHeight="1">
      <c r="A442" s="45"/>
      <c r="B442" s="209"/>
      <c r="C442" s="211"/>
      <c r="D442" s="84"/>
      <c r="E442" s="31" t="s">
        <v>977</v>
      </c>
      <c r="F442" s="58">
        <f>((1.8*3.627+1.2*0.324/2+(0.324+0.336)/2*0.6+1.8*3.726+1.2*0.276/2+(0.276+0.264)/2*0.6)+(1.8*3.565+1.2*0.324/2+(0.324+0.336)/2*0.6+1.8*3.664+1.2*0.276/2+(0.276+0.264)/2*0.6))/2*0.95*4*1.15</f>
        <v>60.497406000000005</v>
      </c>
      <c r="G442" s="212"/>
      <c r="H442" s="172"/>
    </row>
    <row r="443" spans="1:8" ht="12.75" customHeight="1">
      <c r="A443" s="45"/>
      <c r="B443" s="209"/>
      <c r="C443" s="211"/>
      <c r="D443" s="84"/>
      <c r="E443" s="31" t="s">
        <v>978</v>
      </c>
      <c r="F443" s="58"/>
      <c r="G443" s="212"/>
      <c r="H443" s="172"/>
    </row>
    <row r="444" spans="1:8" ht="12.75" customHeight="1">
      <c r="A444" s="45"/>
      <c r="B444" s="209"/>
      <c r="C444" s="211"/>
      <c r="D444" s="84"/>
      <c r="E444" s="31" t="s">
        <v>979</v>
      </c>
      <c r="F444" s="58">
        <f>(1.575*0.627+1.2*0.325/2+(0.325+0.332)/2*0.375+0.675*0.3+0.9*0.3/2+1.575*0.734+1.2*0.276/2+(0.276+0.269)/2*0.375+0.675*0.3+0.9*0.3/2)*0.9*4*1.15</f>
        <v>14.094837000000002</v>
      </c>
      <c r="G444" s="212"/>
      <c r="H444" s="172"/>
    </row>
    <row r="445" spans="1:8" ht="12.75" customHeight="1">
      <c r="A445" s="45"/>
      <c r="B445" s="209"/>
      <c r="C445" s="211"/>
      <c r="D445" s="84"/>
      <c r="E445" s="31" t="s">
        <v>980</v>
      </c>
      <c r="F445" s="58"/>
      <c r="G445" s="212"/>
      <c r="H445" s="172"/>
    </row>
    <row r="446" spans="1:8" ht="12.75" customHeight="1">
      <c r="A446" s="45"/>
      <c r="B446" s="209"/>
      <c r="C446" s="211"/>
      <c r="D446" s="84"/>
      <c r="E446" s="31" t="s">
        <v>981</v>
      </c>
      <c r="F446" s="55">
        <f>((1.45*3.627+1.2*0.324/2+(0.324+0.329)/2*0.25+1.45*3.726+1.2*0.276/2+(0.276+0.271)/2*0.25)+(1.45*3.566+1.2*0.324/2+(0.324+0.329)/2*0.25+1.45*3.665+1.2*0.276/2+(0.276+0.271)/2*0.25))/2*0.95*2*1.15</f>
        <v>24.217228999999989</v>
      </c>
      <c r="G446" s="212"/>
      <c r="H446" s="172"/>
    </row>
    <row r="447" spans="1:8" ht="12.75" customHeight="1">
      <c r="A447" s="45"/>
      <c r="B447" s="209"/>
      <c r="C447" s="211"/>
      <c r="D447" s="84"/>
      <c r="E447" s="173" t="s">
        <v>411</v>
      </c>
      <c r="F447" s="58">
        <f>SUM(F439:F446)</f>
        <v>123.70224664999999</v>
      </c>
      <c r="G447" s="212"/>
      <c r="H447" s="172"/>
    </row>
    <row r="448" spans="1:8" ht="25.5">
      <c r="A448" s="152">
        <f>MAX(A$2:A447)+1</f>
        <v>50</v>
      </c>
      <c r="B448" s="199" t="s">
        <v>149</v>
      </c>
      <c r="C448" s="51" t="s">
        <v>178</v>
      </c>
      <c r="D448" s="52"/>
      <c r="E448" s="53" t="s">
        <v>179</v>
      </c>
      <c r="F448" s="75"/>
      <c r="G448" s="76" t="s">
        <v>44</v>
      </c>
      <c r="H448" s="146">
        <f>H449</f>
        <v>314.36</v>
      </c>
    </row>
    <row r="449" spans="1:8" ht="25.5">
      <c r="A449" s="45"/>
      <c r="B449" s="209"/>
      <c r="C449" s="102"/>
      <c r="D449" s="79" t="s">
        <v>982</v>
      </c>
      <c r="E449" s="91" t="s">
        <v>983</v>
      </c>
      <c r="F449" s="92"/>
      <c r="G449" s="83" t="s">
        <v>44</v>
      </c>
      <c r="H449" s="49">
        <f>ROUND(F466,2)</f>
        <v>314.36</v>
      </c>
    </row>
    <row r="450" spans="1:8" ht="12.75" customHeight="1">
      <c r="A450" s="45"/>
      <c r="B450" s="209"/>
      <c r="C450" s="211"/>
      <c r="D450" s="84"/>
      <c r="E450" s="31" t="s">
        <v>966</v>
      </c>
      <c r="F450" s="58"/>
      <c r="G450" s="212"/>
      <c r="H450" s="172"/>
    </row>
    <row r="451" spans="1:8" ht="12.75" customHeight="1">
      <c r="A451" s="45"/>
      <c r="B451" s="209"/>
      <c r="C451" s="211"/>
      <c r="D451" s="84"/>
      <c r="E451" s="31" t="s">
        <v>967</v>
      </c>
      <c r="F451" s="58"/>
      <c r="G451" s="212"/>
      <c r="H451" s="172"/>
    </row>
    <row r="452" spans="1:8" ht="12.75" customHeight="1">
      <c r="A452" s="45"/>
      <c r="B452" s="209"/>
      <c r="C452" s="211"/>
      <c r="D452" s="84"/>
      <c r="E452" s="31" t="s">
        <v>984</v>
      </c>
      <c r="F452" s="58">
        <f>((1.564+2.107)/2*0.9*2+(1.665+2.172)/2*0.9*2 +2.107*0.3+2.172*0.3)*1.15*2</f>
        <v>18.494070000000001</v>
      </c>
      <c r="G452" s="212"/>
      <c r="H452" s="172"/>
    </row>
    <row r="453" spans="1:8" ht="12.75" customHeight="1">
      <c r="A453" s="45"/>
      <c r="B453" s="209"/>
      <c r="C453" s="211"/>
      <c r="D453" s="84"/>
      <c r="E453" s="31" t="s">
        <v>969</v>
      </c>
      <c r="F453" s="58"/>
      <c r="G453" s="212"/>
      <c r="H453" s="172"/>
    </row>
    <row r="454" spans="1:8" ht="38.25">
      <c r="A454" s="45"/>
      <c r="B454" s="209"/>
      <c r="C454" s="211"/>
      <c r="D454" s="84"/>
      <c r="E454" s="31" t="s">
        <v>985</v>
      </c>
      <c r="F454" s="55">
        <f>((1.56*1.535+0.66*0.3+0.9*0.3/2+1.2*0.325/2+(0.325+0.332)/2*0.36+1.56*1.635+0.66*0.3+0.9*0.3/2+1.2*0.276/2+(0.276+0.27)/2*0.36)*2+2.166*0.3+2.205*0.3)*4*1.15</f>
        <v>62.964707999999995</v>
      </c>
      <c r="G454" s="212"/>
      <c r="H454" s="172"/>
    </row>
    <row r="455" spans="1:8" ht="12.75" customHeight="1">
      <c r="A455" s="45"/>
      <c r="B455" s="209"/>
      <c r="C455" s="211"/>
      <c r="D455" s="84"/>
      <c r="E455" s="173" t="s">
        <v>421</v>
      </c>
      <c r="F455" s="58">
        <f>SUM(F451:F454)</f>
        <v>81.458777999999995</v>
      </c>
      <c r="G455" s="212"/>
      <c r="H455" s="172"/>
    </row>
    <row r="456" spans="1:8" ht="12.75" customHeight="1">
      <c r="A456" s="45"/>
      <c r="B456" s="209"/>
      <c r="C456" s="211"/>
      <c r="D456" s="84"/>
      <c r="E456" s="31" t="s">
        <v>973</v>
      </c>
      <c r="F456" s="58"/>
      <c r="G456" s="212"/>
      <c r="H456" s="172"/>
    </row>
    <row r="457" spans="1:8" ht="12.75" customHeight="1">
      <c r="A457" s="45"/>
      <c r="B457" s="209"/>
      <c r="C457" s="211"/>
      <c r="D457" s="84"/>
      <c r="E457" s="31" t="s">
        <v>986</v>
      </c>
      <c r="F457" s="58"/>
      <c r="G457" s="212"/>
      <c r="H457" s="172"/>
    </row>
    <row r="458" spans="1:8" ht="127.5">
      <c r="A458" s="45"/>
      <c r="B458" s="209"/>
      <c r="C458" s="211"/>
      <c r="D458" s="84"/>
      <c r="E458" s="31" t="s">
        <v>987</v>
      </c>
      <c r="F458" s="58">
        <f>((0.485+0.937)/2*0.75+(0.592+1.014)/2*0.75+((0.937+1.081)/2+(1.014+1.158)/2)*4+2.175*0.628+1.275*0.3+0.9*0.3/2+1.2*0.324/2+(0.324+0.344)/2*0.975-(0.628+1.081)/2*0.75+2.175*0.674+1.275*0.3+0.9*0.3/2+1.2*0.324/2+(0.324+0.344)/2*0.975+(1.272+1.317)/2*1.16+2.175*0.735+1.275*0.3+0.9*0.3/2+1.2*0.275/2+(0.275+0.256)/2*0.975-(0.735+1.158)/2*0.75+2.175*0.781+1.275*0.3+0.9*0.3/2+1.2*0.276/2+(0.276+0.257)/2*0.975+(1.292+1.337)/2*1.16)*2*1.15</f>
        <v>48.943401999999999</v>
      </c>
      <c r="G458" s="212"/>
      <c r="H458" s="172"/>
    </row>
    <row r="459" spans="1:8" ht="12.75" customHeight="1">
      <c r="A459" s="45"/>
      <c r="B459" s="209"/>
      <c r="C459" s="211"/>
      <c r="D459" s="84"/>
      <c r="E459" s="31" t="s">
        <v>988</v>
      </c>
      <c r="F459" s="58"/>
      <c r="G459" s="212"/>
      <c r="H459" s="172"/>
    </row>
    <row r="460" spans="1:8" ht="25.5">
      <c r="A460" s="45"/>
      <c r="B460" s="209"/>
      <c r="C460" s="211"/>
      <c r="D460" s="84"/>
      <c r="E460" s="31" t="s">
        <v>989</v>
      </c>
      <c r="F460" s="58">
        <f>(1.8*3.627+1.2*0.324/2+(0.324+0.336)/2*0.6+1.8*3.726+1.2*0.276/2+(0.276+0.264)/2*0.6+(3.963+3.99)*0.95)*4*1.15</f>
        <v>98.949449999999999</v>
      </c>
      <c r="G460" s="212"/>
      <c r="H460" s="172"/>
    </row>
    <row r="461" spans="1:8" ht="12.75" customHeight="1">
      <c r="A461" s="45"/>
      <c r="B461" s="209"/>
      <c r="C461" s="211"/>
      <c r="D461" s="84"/>
      <c r="E461" s="31" t="s">
        <v>990</v>
      </c>
      <c r="F461" s="58"/>
      <c r="G461" s="212"/>
      <c r="H461" s="172"/>
    </row>
    <row r="462" spans="1:8" ht="38.25">
      <c r="A462" s="45"/>
      <c r="B462" s="209"/>
      <c r="C462" s="211"/>
      <c r="D462" s="84"/>
      <c r="E462" s="173" t="s">
        <v>991</v>
      </c>
      <c r="F462" s="58">
        <f>((1.575*0.627+1.2*0.325/2+(0.325+0.332)/2*0.375+0.675*0.3+0.9*0.3/2+1.575*0.734+1.2*0.276/2+(0.276+0.269)/2*0.375+0.675*0.3+0.9*0.3/2)*2+0.9*(1.26+1.303))*4*1.15</f>
        <v>41.932679999999998</v>
      </c>
      <c r="G462" s="212"/>
      <c r="H462" s="172"/>
    </row>
    <row r="463" spans="1:8">
      <c r="A463" s="45"/>
      <c r="B463" s="209"/>
      <c r="C463" s="211"/>
      <c r="D463" s="84"/>
      <c r="E463" s="31" t="s">
        <v>980</v>
      </c>
      <c r="F463" s="58"/>
      <c r="G463" s="212"/>
      <c r="H463" s="172"/>
    </row>
    <row r="464" spans="1:8" ht="38.25">
      <c r="A464" s="45"/>
      <c r="B464" s="209"/>
      <c r="C464" s="211"/>
      <c r="D464" s="84"/>
      <c r="E464" s="31" t="s">
        <v>992</v>
      </c>
      <c r="F464" s="55">
        <f>((1.45*3.627+1.2*0.324/2+(0.324+0.329)/2*0.25+1.45*3.726+1.2*0.276/2+(0.276+0.271)/2*0.25)+(3.956+3.997)*0.95)*2*1.15</f>
        <v>43.072559999999989</v>
      </c>
      <c r="G464" s="212"/>
      <c r="H464" s="172"/>
    </row>
    <row r="465" spans="1:9" ht="12.75" customHeight="1">
      <c r="A465" s="45"/>
      <c r="B465" s="209"/>
      <c r="C465" s="211"/>
      <c r="D465" s="84"/>
      <c r="E465" s="173" t="s">
        <v>421</v>
      </c>
      <c r="F465" s="58">
        <f>SUM(F458:F464)</f>
        <v>232.89809199999999</v>
      </c>
      <c r="G465" s="212"/>
      <c r="H465" s="172"/>
    </row>
    <row r="466" spans="1:9" ht="12.75" customHeight="1">
      <c r="A466" s="45"/>
      <c r="B466" s="209"/>
      <c r="C466" s="211"/>
      <c r="D466" s="84"/>
      <c r="E466" s="173" t="s">
        <v>411</v>
      </c>
      <c r="F466" s="58">
        <f>F455+F465</f>
        <v>314.35686999999996</v>
      </c>
      <c r="G466" s="212"/>
      <c r="H466" s="172"/>
    </row>
    <row r="467" spans="1:9" ht="12.75" customHeight="1">
      <c r="A467" s="45"/>
      <c r="B467" s="209"/>
      <c r="C467" s="211"/>
      <c r="D467" s="84"/>
      <c r="E467" s="235" t="s">
        <v>993</v>
      </c>
      <c r="F467" s="58"/>
      <c r="G467" s="212"/>
      <c r="H467" s="172"/>
    </row>
    <row r="468" spans="1:9" ht="12.75" customHeight="1">
      <c r="A468" s="45"/>
      <c r="B468" s="209"/>
      <c r="C468" s="211"/>
      <c r="D468" s="84"/>
      <c r="E468" s="235" t="s">
        <v>994</v>
      </c>
      <c r="F468" s="58"/>
      <c r="G468" s="212"/>
      <c r="H468" s="172"/>
    </row>
    <row r="469" spans="1:9" ht="12.75" customHeight="1">
      <c r="A469" s="45"/>
      <c r="B469" s="209"/>
      <c r="C469" s="211"/>
      <c r="D469" s="84"/>
      <c r="E469" s="235" t="s">
        <v>995</v>
      </c>
      <c r="F469" s="58"/>
      <c r="G469" s="212"/>
      <c r="H469" s="172"/>
    </row>
    <row r="470" spans="1:9" ht="12.75" customHeight="1">
      <c r="A470" s="45"/>
      <c r="B470" s="209"/>
      <c r="C470" s="211"/>
      <c r="D470" s="84"/>
      <c r="E470" s="235" t="s">
        <v>996</v>
      </c>
      <c r="F470" s="58"/>
      <c r="G470" s="212"/>
      <c r="H470" s="172"/>
    </row>
    <row r="471" spans="1:9" ht="12.75" customHeight="1">
      <c r="A471" s="45"/>
      <c r="B471" s="209"/>
      <c r="C471" s="211"/>
      <c r="D471" s="84"/>
      <c r="E471" s="235" t="s">
        <v>997</v>
      </c>
      <c r="F471" s="58"/>
      <c r="G471" s="212"/>
      <c r="H471" s="172"/>
    </row>
    <row r="472" spans="1:9" ht="12.75" customHeight="1">
      <c r="A472" s="45"/>
      <c r="B472" s="209"/>
      <c r="C472" s="211"/>
      <c r="D472" s="84"/>
      <c r="E472" s="235" t="s">
        <v>998</v>
      </c>
      <c r="F472" s="58"/>
      <c r="G472" s="212"/>
      <c r="H472" s="172"/>
    </row>
    <row r="473" spans="1:9" ht="12.75" customHeight="1">
      <c r="A473" s="45"/>
      <c r="B473" s="209"/>
      <c r="C473" s="211"/>
      <c r="D473" s="84"/>
      <c r="E473" s="195" t="s">
        <v>999</v>
      </c>
      <c r="F473" s="58"/>
      <c r="G473" s="212"/>
      <c r="H473" s="172"/>
    </row>
    <row r="474" spans="1:9" ht="25.5">
      <c r="A474" s="152">
        <f>MAX(A$2:A463)+1</f>
        <v>51</v>
      </c>
      <c r="B474" s="199" t="s">
        <v>149</v>
      </c>
      <c r="C474" s="51" t="s">
        <v>180</v>
      </c>
      <c r="D474" s="52"/>
      <c r="E474" s="53" t="s">
        <v>181</v>
      </c>
      <c r="F474" s="75"/>
      <c r="G474" s="76" t="s">
        <v>30</v>
      </c>
      <c r="H474" s="146">
        <f>H475</f>
        <v>18.7</v>
      </c>
      <c r="I474" s="236"/>
    </row>
    <row r="475" spans="1:9" ht="25.5">
      <c r="A475" s="45"/>
      <c r="B475" s="209"/>
      <c r="C475" s="211"/>
      <c r="D475" s="79" t="s">
        <v>1000</v>
      </c>
      <c r="E475" s="91" t="s">
        <v>1001</v>
      </c>
      <c r="F475" s="92"/>
      <c r="G475" s="83" t="s">
        <v>30</v>
      </c>
      <c r="H475" s="49">
        <f>ROUND(F486,2)</f>
        <v>18.7</v>
      </c>
    </row>
    <row r="476" spans="1:9" ht="12.75" customHeight="1">
      <c r="A476" s="45"/>
      <c r="B476" s="209"/>
      <c r="C476" s="211"/>
      <c r="D476" s="84"/>
      <c r="E476" s="31" t="s">
        <v>966</v>
      </c>
      <c r="F476" s="58"/>
      <c r="G476" s="212"/>
      <c r="H476" s="172"/>
    </row>
    <row r="477" spans="1:9" ht="12.75" customHeight="1">
      <c r="A477" s="45"/>
      <c r="B477" s="209"/>
      <c r="C477" s="211"/>
      <c r="D477" s="84"/>
      <c r="E477" s="31" t="s">
        <v>1002</v>
      </c>
      <c r="F477" s="58">
        <f>0.377*1.15</f>
        <v>0.43354999999999999</v>
      </c>
      <c r="G477" s="212"/>
      <c r="H477" s="172"/>
    </row>
    <row r="478" spans="1:9" ht="12.75" customHeight="1">
      <c r="A478" s="45"/>
      <c r="B478" s="209"/>
      <c r="C478" s="211"/>
      <c r="D478" s="84"/>
      <c r="E478" s="31" t="s">
        <v>1003</v>
      </c>
      <c r="F478" s="55">
        <f>1.099*1.15</f>
        <v>1.2638499999999999</v>
      </c>
      <c r="G478" s="212"/>
      <c r="H478" s="172"/>
    </row>
    <row r="479" spans="1:9" ht="12.75" customHeight="1">
      <c r="A479" s="45"/>
      <c r="B479" s="209"/>
      <c r="C479" s="211"/>
      <c r="D479" s="84"/>
      <c r="E479" s="173" t="s">
        <v>421</v>
      </c>
      <c r="F479" s="58">
        <f>SUM(F477:F478)</f>
        <v>1.6974</v>
      </c>
      <c r="G479" s="212"/>
      <c r="H479" s="172"/>
    </row>
    <row r="480" spans="1:9" ht="12.75" customHeight="1">
      <c r="A480" s="45"/>
      <c r="B480" s="209"/>
      <c r="C480" s="211"/>
      <c r="D480" s="84"/>
      <c r="E480" s="31" t="s">
        <v>973</v>
      </c>
      <c r="F480" s="58"/>
      <c r="G480" s="212"/>
      <c r="H480" s="172"/>
    </row>
    <row r="481" spans="1:8" ht="12.75" customHeight="1">
      <c r="A481" s="45"/>
      <c r="B481" s="209"/>
      <c r="C481" s="211"/>
      <c r="D481" s="84"/>
      <c r="E481" s="31" t="s">
        <v>1004</v>
      </c>
      <c r="F481" s="58">
        <f>2.8*1.15</f>
        <v>3.2199999999999998</v>
      </c>
      <c r="G481" s="212"/>
      <c r="H481" s="172"/>
    </row>
    <row r="482" spans="1:8" ht="12.75" customHeight="1">
      <c r="A482" s="45"/>
      <c r="B482" s="209"/>
      <c r="C482" s="211"/>
      <c r="D482" s="84"/>
      <c r="E482" s="31" t="s">
        <v>1005</v>
      </c>
      <c r="F482" s="58">
        <f>7.685*1.15</f>
        <v>8.837749999999998</v>
      </c>
      <c r="G482" s="212"/>
      <c r="H482" s="172"/>
    </row>
    <row r="483" spans="1:8" ht="12.75" customHeight="1">
      <c r="A483" s="45"/>
      <c r="B483" s="209"/>
      <c r="C483" s="211"/>
      <c r="D483" s="84"/>
      <c r="E483" s="31" t="s">
        <v>1006</v>
      </c>
      <c r="F483" s="58">
        <f>2.191*1.15</f>
        <v>2.5196499999999995</v>
      </c>
      <c r="G483" s="212"/>
      <c r="H483" s="172"/>
    </row>
    <row r="484" spans="1:8" ht="12.75" customHeight="1">
      <c r="A484" s="45"/>
      <c r="B484" s="209"/>
      <c r="C484" s="211"/>
      <c r="D484" s="84"/>
      <c r="E484" s="31" t="s">
        <v>1007</v>
      </c>
      <c r="F484" s="55">
        <f>2.105*1.15</f>
        <v>2.42075</v>
      </c>
      <c r="G484" s="212"/>
      <c r="H484" s="172"/>
    </row>
    <row r="485" spans="1:8" ht="12.75" customHeight="1">
      <c r="A485" s="45"/>
      <c r="B485" s="209"/>
      <c r="C485" s="211"/>
      <c r="D485" s="84"/>
      <c r="E485" s="173" t="s">
        <v>421</v>
      </c>
      <c r="F485" s="58">
        <f>SUM(F481:F484)</f>
        <v>16.998149999999995</v>
      </c>
      <c r="G485" s="212"/>
      <c r="H485" s="172"/>
    </row>
    <row r="486" spans="1:8" ht="12.75" customHeight="1">
      <c r="A486" s="45"/>
      <c r="B486" s="209"/>
      <c r="C486" s="211"/>
      <c r="D486" s="84"/>
      <c r="E486" s="173" t="s">
        <v>411</v>
      </c>
      <c r="F486" s="58">
        <f>F479+F485</f>
        <v>18.695549999999997</v>
      </c>
      <c r="G486" s="212"/>
      <c r="H486" s="172"/>
    </row>
    <row r="487" spans="1:8" ht="25.5">
      <c r="A487" s="152">
        <f>MAX(A$2:A486)+1</f>
        <v>52</v>
      </c>
      <c r="B487" s="199" t="s">
        <v>149</v>
      </c>
      <c r="C487" s="51" t="s">
        <v>182</v>
      </c>
      <c r="D487" s="52"/>
      <c r="E487" s="53" t="s">
        <v>183</v>
      </c>
      <c r="F487" s="75"/>
      <c r="G487" s="76" t="s">
        <v>30</v>
      </c>
      <c r="H487" s="146">
        <f>H488+H514</f>
        <v>35.96</v>
      </c>
    </row>
    <row r="488" spans="1:8" ht="25.5">
      <c r="A488" s="45"/>
      <c r="B488" s="209"/>
      <c r="C488" s="211"/>
      <c r="D488" s="79" t="s">
        <v>1008</v>
      </c>
      <c r="E488" s="91" t="s">
        <v>1009</v>
      </c>
      <c r="F488" s="92"/>
      <c r="G488" s="83" t="s">
        <v>30</v>
      </c>
      <c r="H488" s="49">
        <f>ROUND(F513,2)</f>
        <v>12.5</v>
      </c>
    </row>
    <row r="489" spans="1:8" ht="12.75" customHeight="1">
      <c r="A489" s="45"/>
      <c r="B489" s="209"/>
      <c r="C489" s="211"/>
      <c r="D489" s="84"/>
      <c r="E489" s="31" t="s">
        <v>1010</v>
      </c>
      <c r="F489" s="58"/>
      <c r="G489" s="212"/>
      <c r="H489" s="172"/>
    </row>
    <row r="490" spans="1:8" ht="12.75" customHeight="1">
      <c r="A490" s="45"/>
      <c r="B490" s="209"/>
      <c r="C490" s="211"/>
      <c r="D490" s="84"/>
      <c r="E490" s="31" t="s">
        <v>1011</v>
      </c>
      <c r="F490" s="58">
        <v>1.2</v>
      </c>
      <c r="G490" s="212"/>
      <c r="H490" s="172"/>
    </row>
    <row r="491" spans="1:8" ht="12.75" customHeight="1">
      <c r="A491" s="45"/>
      <c r="B491" s="209"/>
      <c r="C491" s="211"/>
      <c r="D491" s="84"/>
      <c r="E491" s="31" t="s">
        <v>1012</v>
      </c>
      <c r="F491" s="58">
        <f>2*0.593</f>
        <v>1.1859999999999999</v>
      </c>
      <c r="G491" s="212"/>
      <c r="H491" s="172"/>
    </row>
    <row r="492" spans="1:8" ht="12.75" customHeight="1">
      <c r="A492" s="45"/>
      <c r="B492" s="209"/>
      <c r="C492" s="211"/>
      <c r="D492" s="84"/>
      <c r="E492" s="31" t="s">
        <v>1013</v>
      </c>
      <c r="F492" s="58">
        <f>2*2.877</f>
        <v>5.7539999999999996</v>
      </c>
      <c r="G492" s="212"/>
      <c r="H492" s="172"/>
    </row>
    <row r="493" spans="1:8" ht="12.75" customHeight="1">
      <c r="A493" s="45"/>
      <c r="B493" s="209"/>
      <c r="C493" s="211"/>
      <c r="D493" s="84"/>
      <c r="E493" s="31" t="s">
        <v>1014</v>
      </c>
      <c r="F493" s="58">
        <f>4*0.171</f>
        <v>0.68400000000000005</v>
      </c>
      <c r="G493" s="212"/>
      <c r="H493" s="172"/>
    </row>
    <row r="494" spans="1:8" ht="12.75" customHeight="1">
      <c r="A494" s="45"/>
      <c r="B494" s="209"/>
      <c r="C494" s="211"/>
      <c r="D494" s="84"/>
      <c r="E494" s="31" t="s">
        <v>1015</v>
      </c>
      <c r="F494" s="55">
        <f>1*0.479</f>
        <v>0.47899999999999998</v>
      </c>
      <c r="G494" s="212"/>
      <c r="H494" s="172"/>
    </row>
    <row r="495" spans="1:8" ht="12.75" customHeight="1">
      <c r="A495" s="45"/>
      <c r="B495" s="209"/>
      <c r="C495" s="211"/>
      <c r="D495" s="84"/>
      <c r="E495" s="173" t="s">
        <v>421</v>
      </c>
      <c r="F495" s="58">
        <f>SUM(F490:F494)</f>
        <v>9.302999999999999</v>
      </c>
      <c r="G495" s="212"/>
      <c r="H495" s="172"/>
    </row>
    <row r="496" spans="1:8" ht="12.75" customHeight="1">
      <c r="A496" s="45"/>
      <c r="B496" s="209"/>
      <c r="C496" s="211"/>
      <c r="D496" s="84"/>
      <c r="E496" s="31" t="s">
        <v>1016</v>
      </c>
      <c r="F496" s="58"/>
      <c r="G496" s="212"/>
      <c r="H496" s="172"/>
    </row>
    <row r="497" spans="1:9" ht="12.75" customHeight="1">
      <c r="A497" s="45"/>
      <c r="B497" s="209"/>
      <c r="C497" s="211"/>
      <c r="D497" s="84"/>
      <c r="E497" s="31" t="s">
        <v>1017</v>
      </c>
      <c r="F497" s="58"/>
      <c r="G497" s="212"/>
      <c r="H497" s="172"/>
    </row>
    <row r="498" spans="1:9" ht="12.75" customHeight="1">
      <c r="A498" s="45"/>
      <c r="B498" s="209"/>
      <c r="C498" s="211"/>
      <c r="D498" s="84"/>
      <c r="E498" s="31" t="s">
        <v>1018</v>
      </c>
      <c r="F498" s="58"/>
      <c r="G498" s="212"/>
      <c r="H498" s="172"/>
    </row>
    <row r="499" spans="1:9" ht="12.75" customHeight="1">
      <c r="A499" s="45"/>
      <c r="B499" s="209"/>
      <c r="C499" s="211"/>
      <c r="D499" s="84"/>
      <c r="E499" s="31" t="s">
        <v>1019</v>
      </c>
      <c r="F499" s="58"/>
      <c r="G499" s="212"/>
      <c r="H499" s="172"/>
    </row>
    <row r="500" spans="1:9">
      <c r="A500" s="45"/>
      <c r="B500" s="209"/>
      <c r="C500" s="211"/>
      <c r="D500" s="84"/>
      <c r="E500" s="31" t="s">
        <v>1020</v>
      </c>
      <c r="F500" s="58"/>
      <c r="G500" s="212"/>
      <c r="H500" s="172"/>
    </row>
    <row r="501" spans="1:9">
      <c r="A501" s="45"/>
      <c r="B501" s="209"/>
      <c r="C501" s="211"/>
      <c r="D501" s="84"/>
      <c r="E501" s="31"/>
      <c r="F501" s="58"/>
      <c r="G501" s="212"/>
      <c r="H501" s="172"/>
    </row>
    <row r="502" spans="1:9" ht="12.75" customHeight="1">
      <c r="A502" s="45"/>
      <c r="B502" s="209"/>
      <c r="C502" s="211"/>
      <c r="D502" s="84"/>
      <c r="E502" s="31" t="s">
        <v>1021</v>
      </c>
      <c r="F502" s="237"/>
      <c r="G502" s="212"/>
      <c r="H502" s="172"/>
    </row>
    <row r="503" spans="1:9" ht="12.75" customHeight="1">
      <c r="A503" s="45"/>
      <c r="B503" s="209"/>
      <c r="C503" s="211"/>
      <c r="D503" s="84"/>
      <c r="E503" s="31" t="s">
        <v>1022</v>
      </c>
      <c r="F503" s="58">
        <v>1.02</v>
      </c>
      <c r="G503" s="212"/>
      <c r="H503" s="172"/>
      <c r="I503" s="192"/>
    </row>
    <row r="504" spans="1:9" ht="12.75" customHeight="1">
      <c r="A504" s="45"/>
      <c r="B504" s="209"/>
      <c r="C504" s="211"/>
      <c r="D504" s="84"/>
      <c r="E504" s="31" t="s">
        <v>1023</v>
      </c>
      <c r="F504" s="58">
        <v>0.435</v>
      </c>
      <c r="G504" s="212"/>
      <c r="H504" s="172"/>
    </row>
    <row r="505" spans="1:9" ht="12.75" customHeight="1">
      <c r="A505" s="45"/>
      <c r="B505" s="209"/>
      <c r="C505" s="211"/>
      <c r="D505" s="84"/>
      <c r="E505" s="31" t="s">
        <v>1024</v>
      </c>
      <c r="F505" s="58">
        <f>2*0.689</f>
        <v>1.3779999999999999</v>
      </c>
      <c r="G505" s="212"/>
      <c r="H505" s="172"/>
    </row>
    <row r="506" spans="1:9" ht="12.75" customHeight="1">
      <c r="A506" s="45"/>
      <c r="B506" s="209"/>
      <c r="C506" s="211"/>
      <c r="D506" s="84"/>
      <c r="E506" s="31" t="s">
        <v>1025</v>
      </c>
      <c r="F506" s="55">
        <f>4*0.091</f>
        <v>0.36399999999999999</v>
      </c>
      <c r="G506" s="212"/>
      <c r="H506" s="172"/>
    </row>
    <row r="507" spans="1:9" ht="12.75" customHeight="1">
      <c r="A507" s="45"/>
      <c r="B507" s="209"/>
      <c r="C507" s="211"/>
      <c r="D507" s="84"/>
      <c r="E507" s="173" t="s">
        <v>421</v>
      </c>
      <c r="F507" s="58">
        <f>SUM(F503:F506)</f>
        <v>3.1970000000000001</v>
      </c>
      <c r="G507" s="212"/>
      <c r="H507" s="172"/>
    </row>
    <row r="508" spans="1:9" ht="12.75" customHeight="1">
      <c r="A508" s="45"/>
      <c r="B508" s="209"/>
      <c r="C508" s="211"/>
      <c r="D508" s="84"/>
      <c r="E508" s="31" t="s">
        <v>1016</v>
      </c>
      <c r="F508" s="58"/>
      <c r="G508" s="212"/>
      <c r="H508" s="172"/>
    </row>
    <row r="509" spans="1:9" ht="12.75" customHeight="1">
      <c r="A509" s="45"/>
      <c r="B509" s="209"/>
      <c r="C509" s="211"/>
      <c r="D509" s="84"/>
      <c r="E509" s="31" t="s">
        <v>1026</v>
      </c>
      <c r="F509" s="58"/>
      <c r="G509" s="212"/>
      <c r="H509" s="172"/>
    </row>
    <row r="510" spans="1:9" ht="12.75" customHeight="1">
      <c r="A510" s="45"/>
      <c r="B510" s="209"/>
      <c r="C510" s="211"/>
      <c r="D510" s="84"/>
      <c r="E510" s="31" t="s">
        <v>1027</v>
      </c>
      <c r="F510" s="58"/>
      <c r="G510" s="212"/>
      <c r="H510" s="172"/>
    </row>
    <row r="511" spans="1:9" ht="12.75" customHeight="1">
      <c r="A511" s="45"/>
      <c r="B511" s="209"/>
      <c r="C511" s="211"/>
      <c r="D511" s="84"/>
      <c r="E511" s="31" t="s">
        <v>1028</v>
      </c>
      <c r="F511" s="58"/>
      <c r="G511" s="212"/>
      <c r="H511" s="172"/>
    </row>
    <row r="512" spans="1:9" ht="25.5">
      <c r="A512" s="45"/>
      <c r="B512" s="209"/>
      <c r="C512" s="211"/>
      <c r="D512" s="84"/>
      <c r="E512" s="31" t="s">
        <v>1029</v>
      </c>
      <c r="F512" s="58"/>
      <c r="G512" s="212"/>
      <c r="H512" s="172"/>
    </row>
    <row r="513" spans="1:11" ht="12.75" customHeight="1">
      <c r="A513" s="45"/>
      <c r="B513" s="209"/>
      <c r="C513" s="211"/>
      <c r="D513" s="84"/>
      <c r="E513" s="173" t="s">
        <v>411</v>
      </c>
      <c r="F513" s="58">
        <f>F495+F507</f>
        <v>12.5</v>
      </c>
      <c r="G513" s="212"/>
      <c r="H513" s="172"/>
    </row>
    <row r="514" spans="1:11" ht="25.5">
      <c r="A514" s="152"/>
      <c r="B514" s="199"/>
      <c r="C514" s="211"/>
      <c r="D514" s="79" t="s">
        <v>1030</v>
      </c>
      <c r="E514" s="91" t="s">
        <v>1031</v>
      </c>
      <c r="F514" s="92"/>
      <c r="G514" s="83" t="s">
        <v>30</v>
      </c>
      <c r="H514" s="172">
        <f>F515</f>
        <v>23.46</v>
      </c>
      <c r="K514" s="62"/>
    </row>
    <row r="515" spans="1:11" ht="25.5">
      <c r="A515" s="45"/>
      <c r="B515" s="209"/>
      <c r="C515" s="211"/>
      <c r="D515" s="84"/>
      <c r="E515" s="31" t="s">
        <v>1032</v>
      </c>
      <c r="F515" s="58">
        <v>23.46</v>
      </c>
      <c r="G515" s="212"/>
      <c r="H515" s="172"/>
    </row>
    <row r="516" spans="1:11" ht="12.75" customHeight="1">
      <c r="A516" s="45"/>
      <c r="B516" s="209"/>
      <c r="C516" s="211"/>
      <c r="D516" s="84"/>
      <c r="E516" s="31" t="s">
        <v>1016</v>
      </c>
      <c r="F516" s="237"/>
      <c r="G516" s="212"/>
      <c r="H516" s="172"/>
    </row>
    <row r="517" spans="1:11" ht="12.75" customHeight="1">
      <c r="A517" s="45"/>
      <c r="B517" s="209"/>
      <c r="C517" s="211"/>
      <c r="D517" s="84"/>
      <c r="E517" s="31" t="s">
        <v>1033</v>
      </c>
      <c r="F517" s="237"/>
      <c r="G517" s="212"/>
      <c r="H517" s="172"/>
    </row>
    <row r="518" spans="1:11" ht="12.75" customHeight="1">
      <c r="A518" s="45"/>
      <c r="B518" s="209"/>
      <c r="C518" s="211"/>
      <c r="D518" s="84"/>
      <c r="E518" s="31" t="s">
        <v>1034</v>
      </c>
      <c r="F518" s="237"/>
      <c r="G518" s="212"/>
      <c r="H518" s="172"/>
    </row>
    <row r="519" spans="1:11" s="6" customFormat="1" ht="15">
      <c r="A519" s="152">
        <f>MAX(A$2:A518)+1</f>
        <v>53</v>
      </c>
      <c r="B519" s="199" t="s">
        <v>149</v>
      </c>
      <c r="C519" s="52">
        <v>15020404</v>
      </c>
      <c r="D519" s="102"/>
      <c r="E519" s="183" t="s">
        <v>185</v>
      </c>
      <c r="F519" s="155"/>
      <c r="G519" s="34" t="s">
        <v>33</v>
      </c>
      <c r="H519" s="77">
        <f>H520</f>
        <v>40.69</v>
      </c>
    </row>
    <row r="520" spans="1:11" s="6" customFormat="1" ht="12.75" customHeight="1">
      <c r="A520" s="180"/>
      <c r="B520" s="186"/>
      <c r="C520" s="52"/>
      <c r="D520" s="102">
        <v>15020404</v>
      </c>
      <c r="E520" s="128" t="s">
        <v>185</v>
      </c>
      <c r="F520" s="155"/>
      <c r="G520" s="156" t="s">
        <v>33</v>
      </c>
      <c r="H520" s="49">
        <f>ROUND(F525,2)</f>
        <v>40.69</v>
      </c>
    </row>
    <row r="521" spans="1:11" ht="12.75" customHeight="1">
      <c r="A521" s="45"/>
      <c r="B521" s="209"/>
      <c r="C521" s="211"/>
      <c r="D521" s="84"/>
      <c r="E521" s="31" t="s">
        <v>1035</v>
      </c>
      <c r="F521" s="50"/>
      <c r="G521" s="212"/>
      <c r="H521" s="172"/>
    </row>
    <row r="522" spans="1:11" ht="12.75" customHeight="1">
      <c r="A522" s="45"/>
      <c r="B522" s="209"/>
      <c r="C522" s="211"/>
      <c r="D522" s="84"/>
      <c r="E522" s="31" t="s">
        <v>1036</v>
      </c>
      <c r="F522" s="58">
        <f>(640.939-1.012-1.202-1.202)*0.8*0.04</f>
        <v>20.400736000000002</v>
      </c>
      <c r="G522" s="212"/>
      <c r="H522" s="172"/>
    </row>
    <row r="523" spans="1:11" ht="12.75" customHeight="1">
      <c r="A523" s="45"/>
      <c r="B523" s="209"/>
      <c r="C523" s="211"/>
      <c r="D523" s="84"/>
      <c r="E523" s="31" t="s">
        <v>1037</v>
      </c>
      <c r="F523" s="58"/>
      <c r="G523" s="212"/>
      <c r="H523" s="172"/>
    </row>
    <row r="524" spans="1:11" ht="12.75" customHeight="1">
      <c r="A524" s="45"/>
      <c r="B524" s="209"/>
      <c r="C524" s="211"/>
      <c r="D524" s="84"/>
      <c r="E524" s="31" t="s">
        <v>1038</v>
      </c>
      <c r="F524" s="55">
        <f>(637.517-1.012-1.202-1.202)*0.8*0.04</f>
        <v>20.291232000000004</v>
      </c>
      <c r="G524" s="212"/>
      <c r="H524" s="172"/>
    </row>
    <row r="525" spans="1:11" ht="12.75" customHeight="1">
      <c r="A525" s="45"/>
      <c r="B525" s="209"/>
      <c r="C525" s="211"/>
      <c r="D525" s="84"/>
      <c r="E525" s="173" t="s">
        <v>411</v>
      </c>
      <c r="F525" s="58">
        <f>F522+F524</f>
        <v>40.691968000000003</v>
      </c>
      <c r="G525" s="212"/>
      <c r="H525" s="172"/>
    </row>
    <row r="526" spans="1:11" ht="12.75" customHeight="1">
      <c r="A526" s="152">
        <f>MAX(A$2:A525)+1</f>
        <v>54</v>
      </c>
      <c r="B526" s="199" t="s">
        <v>149</v>
      </c>
      <c r="C526" s="51" t="s">
        <v>186</v>
      </c>
      <c r="D526" s="102"/>
      <c r="E526" s="53" t="s">
        <v>187</v>
      </c>
      <c r="F526" s="75"/>
      <c r="G526" s="76" t="s">
        <v>30</v>
      </c>
      <c r="H526" s="146">
        <f>H527</f>
        <v>5.29</v>
      </c>
    </row>
    <row r="527" spans="1:11" ht="12.75" customHeight="1">
      <c r="A527" s="152"/>
      <c r="B527" s="199"/>
      <c r="C527" s="211"/>
      <c r="D527" s="79" t="s">
        <v>186</v>
      </c>
      <c r="E527" s="91" t="s">
        <v>187</v>
      </c>
      <c r="F527" s="92"/>
      <c r="G527" s="83" t="s">
        <v>30</v>
      </c>
      <c r="H527" s="49">
        <f>ROUND(F535,2)</f>
        <v>5.29</v>
      </c>
    </row>
    <row r="528" spans="1:11" ht="12.75" customHeight="1">
      <c r="A528" s="152"/>
      <c r="B528" s="199"/>
      <c r="C528" s="211"/>
      <c r="D528" s="84"/>
      <c r="E528" s="31" t="s">
        <v>1039</v>
      </c>
      <c r="F528" s="237"/>
      <c r="G528" s="83"/>
      <c r="H528" s="49"/>
    </row>
    <row r="529" spans="1:8" ht="12.75" customHeight="1">
      <c r="A529" s="45"/>
      <c r="B529" s="209"/>
      <c r="C529" s="211"/>
      <c r="D529" s="84"/>
      <c r="E529" s="31" t="s">
        <v>1040</v>
      </c>
      <c r="F529" s="58">
        <f>(4.9*2*4+0.65*6*2+0.9*6*2+0.8*4*4+0.9*4*2)*16.4/1000</f>
        <v>1.2759199999999999</v>
      </c>
      <c r="G529" s="212"/>
      <c r="H529" s="172"/>
    </row>
    <row r="530" spans="1:8" ht="12.75" customHeight="1">
      <c r="A530" s="45"/>
      <c r="B530" s="209"/>
      <c r="C530" s="211"/>
      <c r="D530" s="84"/>
      <c r="E530" s="31" t="s">
        <v>1041</v>
      </c>
      <c r="F530" s="58"/>
      <c r="G530" s="212"/>
      <c r="H530" s="172"/>
    </row>
    <row r="531" spans="1:8" ht="12.75" customHeight="1">
      <c r="A531" s="45"/>
      <c r="B531" s="209"/>
      <c r="C531" s="211"/>
      <c r="D531" s="84"/>
      <c r="E531" s="31" t="s">
        <v>1042</v>
      </c>
      <c r="F531" s="58">
        <f>(0.25*0.25*0.04*1.03*7850+0.06*20.1)*(6*2*2+4*2)/1000</f>
        <v>0.68543200000000004</v>
      </c>
      <c r="G531" s="212"/>
      <c r="H531" s="172"/>
    </row>
    <row r="532" spans="1:8" ht="25.5">
      <c r="A532" s="45"/>
      <c r="B532" s="209"/>
      <c r="C532" s="211"/>
      <c r="D532" s="84"/>
      <c r="E532" s="31" t="s">
        <v>1043</v>
      </c>
      <c r="F532" s="58"/>
      <c r="G532" s="212"/>
      <c r="H532" s="172"/>
    </row>
    <row r="533" spans="1:8" ht="12.75" customHeight="1">
      <c r="A533" s="45"/>
      <c r="B533" s="209"/>
      <c r="C533" s="211"/>
      <c r="D533" s="84"/>
      <c r="E533" s="31" t="s">
        <v>1044</v>
      </c>
      <c r="F533" s="58">
        <f>0.05*3/1000*(16*3*2*2+4*3*2*2+18*3*2*2+18*2*2+16*3*2*2*2+15*4*2*2+4*3*2*4+3*3*2*4+12*4)</f>
        <v>0.20520000000000002</v>
      </c>
      <c r="G533" s="212"/>
      <c r="H533" s="172"/>
    </row>
    <row r="534" spans="1:8" ht="12.75" customHeight="1">
      <c r="A534" s="45"/>
      <c r="B534" s="209"/>
      <c r="C534" s="211"/>
      <c r="D534" s="84"/>
      <c r="E534" s="31" t="s">
        <v>1045</v>
      </c>
      <c r="F534" s="55">
        <v>3.12</v>
      </c>
      <c r="G534" s="212"/>
      <c r="H534" s="172"/>
    </row>
    <row r="535" spans="1:8" ht="12.75" customHeight="1">
      <c r="A535" s="45"/>
      <c r="B535" s="209"/>
      <c r="C535" s="211"/>
      <c r="D535" s="84"/>
      <c r="E535" s="173" t="s">
        <v>411</v>
      </c>
      <c r="F535" s="58">
        <f>SUM(F528:F534)</f>
        <v>5.2865520000000004</v>
      </c>
      <c r="G535" s="212"/>
      <c r="H535" s="172"/>
    </row>
    <row r="536" spans="1:8" s="6" customFormat="1" ht="25.5">
      <c r="A536" s="152">
        <f>MAX(A$2:A529)+1</f>
        <v>55</v>
      </c>
      <c r="B536" s="199" t="s">
        <v>149</v>
      </c>
      <c r="C536" s="52" t="s">
        <v>188</v>
      </c>
      <c r="D536" s="34"/>
      <c r="E536" s="183" t="s">
        <v>189</v>
      </c>
      <c r="F536" s="106"/>
      <c r="G536" s="34" t="s">
        <v>44</v>
      </c>
      <c r="H536" s="77">
        <f>H537</f>
        <v>136.87</v>
      </c>
    </row>
    <row r="537" spans="1:8" s="6" customFormat="1" ht="25.5">
      <c r="A537" s="180"/>
      <c r="B537" s="186"/>
      <c r="C537" s="52"/>
      <c r="D537" s="102" t="s">
        <v>188</v>
      </c>
      <c r="E537" s="128" t="s">
        <v>189</v>
      </c>
      <c r="F537" s="155"/>
      <c r="G537" s="156" t="s">
        <v>44</v>
      </c>
      <c r="H537" s="49">
        <f>ROUND(F545,2)</f>
        <v>136.87</v>
      </c>
    </row>
    <row r="538" spans="1:8" ht="25.5">
      <c r="A538" s="45"/>
      <c r="B538" s="209"/>
      <c r="C538" s="211"/>
      <c r="D538" s="84"/>
      <c r="E538" s="31" t="s">
        <v>1046</v>
      </c>
      <c r="F538" s="50"/>
      <c r="G538" s="212"/>
      <c r="H538" s="172"/>
    </row>
    <row r="539" spans="1:8" ht="12.75" customHeight="1">
      <c r="A539" s="45"/>
      <c r="B539" s="209"/>
      <c r="C539" s="211"/>
      <c r="D539" s="84"/>
      <c r="E539" s="31" t="s">
        <v>1047</v>
      </c>
      <c r="F539" s="50">
        <f>(0.5+0.5)*12.65</f>
        <v>12.65</v>
      </c>
      <c r="G539" s="212" t="s">
        <v>451</v>
      </c>
      <c r="H539" s="172"/>
    </row>
    <row r="540" spans="1:8" ht="12.75" customHeight="1">
      <c r="A540" s="45"/>
      <c r="B540" s="209"/>
      <c r="C540" s="211"/>
      <c r="D540" s="84"/>
      <c r="E540" s="31" t="s">
        <v>1048</v>
      </c>
      <c r="F540" s="50"/>
      <c r="G540" s="212"/>
      <c r="H540" s="172"/>
    </row>
    <row r="541" spans="1:8" ht="12.75" customHeight="1">
      <c r="A541" s="45"/>
      <c r="B541" s="209"/>
      <c r="C541" s="211"/>
      <c r="D541" s="84"/>
      <c r="E541" s="31" t="s">
        <v>1049</v>
      </c>
      <c r="F541" s="50">
        <f>507*0.084</f>
        <v>42.588000000000001</v>
      </c>
      <c r="G541" s="212"/>
      <c r="H541" s="172"/>
    </row>
    <row r="542" spans="1:8" ht="12.75" customHeight="1">
      <c r="A542" s="45"/>
      <c r="B542" s="209"/>
      <c r="C542" s="211"/>
      <c r="D542" s="84"/>
      <c r="E542" s="31" t="s">
        <v>1050</v>
      </c>
      <c r="F542" s="50">
        <f>340*0.099</f>
        <v>33.660000000000004</v>
      </c>
      <c r="G542" s="212"/>
      <c r="H542" s="172"/>
    </row>
    <row r="543" spans="1:8" ht="25.5">
      <c r="A543" s="45"/>
      <c r="B543" s="209"/>
      <c r="C543" s="211"/>
      <c r="D543" s="84"/>
      <c r="E543" s="31" t="s">
        <v>1051</v>
      </c>
      <c r="F543" s="50">
        <f>(0.16*0.185*(360-6*6*2*2)+0.24*0.17*616)*1.2</f>
        <v>37.831679999999999</v>
      </c>
      <c r="G543" s="212"/>
      <c r="H543" s="172"/>
    </row>
    <row r="544" spans="1:8" ht="12.75" customHeight="1">
      <c r="A544" s="45"/>
      <c r="B544" s="220"/>
      <c r="C544" s="168"/>
      <c r="D544" s="221"/>
      <c r="E544" s="31" t="s">
        <v>1052</v>
      </c>
      <c r="F544" s="55">
        <f>2*6*2*(0.44*0.8)*1.2</f>
        <v>10.137600000000001</v>
      </c>
      <c r="G544" s="222"/>
      <c r="H544" s="223"/>
    </row>
    <row r="545" spans="1:8" ht="12.75" customHeight="1">
      <c r="A545" s="45"/>
      <c r="B545" s="220"/>
      <c r="C545" s="168"/>
      <c r="D545" s="221"/>
      <c r="E545" s="173" t="s">
        <v>411</v>
      </c>
      <c r="F545" s="50">
        <f>SUM(F539:F544)</f>
        <v>136.86727999999999</v>
      </c>
      <c r="G545" s="222"/>
      <c r="H545" s="223"/>
    </row>
    <row r="546" spans="1:8" s="6" customFormat="1" ht="25.5">
      <c r="A546" s="152">
        <f>MAX(A$2:A545)+1</f>
        <v>56</v>
      </c>
      <c r="B546" s="199" t="s">
        <v>149</v>
      </c>
      <c r="C546" s="52" t="s">
        <v>192</v>
      </c>
      <c r="D546" s="34"/>
      <c r="E546" s="183" t="s">
        <v>193</v>
      </c>
      <c r="F546" s="106"/>
      <c r="G546" s="34" t="s">
        <v>72</v>
      </c>
      <c r="H546" s="77">
        <f>H547</f>
        <v>46</v>
      </c>
    </row>
    <row r="547" spans="1:8" s="6" customFormat="1" ht="12.75" customHeight="1">
      <c r="A547" s="180"/>
      <c r="B547" s="186"/>
      <c r="C547" s="52"/>
      <c r="D547" s="102" t="s">
        <v>192</v>
      </c>
      <c r="E547" s="128" t="s">
        <v>193</v>
      </c>
      <c r="F547" s="155"/>
      <c r="G547" s="156" t="s">
        <v>72</v>
      </c>
      <c r="H547" s="49">
        <f>ROUND(F548,2)</f>
        <v>46</v>
      </c>
    </row>
    <row r="548" spans="1:8" ht="12.75" customHeight="1">
      <c r="A548" s="45"/>
      <c r="B548" s="209"/>
      <c r="C548" s="211"/>
      <c r="D548" s="84"/>
      <c r="E548" s="31" t="s">
        <v>1484</v>
      </c>
      <c r="F548" s="50">
        <v>46</v>
      </c>
      <c r="G548" s="212"/>
      <c r="H548" s="172"/>
    </row>
    <row r="549" spans="1:8" s="6" customFormat="1" ht="25.5">
      <c r="A549" s="152">
        <f>MAX(A$2:A548)+1</f>
        <v>57</v>
      </c>
      <c r="B549" s="199" t="s">
        <v>149</v>
      </c>
      <c r="C549" s="52" t="s">
        <v>194</v>
      </c>
      <c r="D549" s="34"/>
      <c r="E549" s="183" t="s">
        <v>195</v>
      </c>
      <c r="F549" s="106"/>
      <c r="G549" s="34" t="s">
        <v>51</v>
      </c>
      <c r="H549" s="77">
        <f>H550</f>
        <v>282.18</v>
      </c>
    </row>
    <row r="550" spans="1:8" s="6" customFormat="1" ht="25.5">
      <c r="A550" s="180"/>
      <c r="B550" s="186"/>
      <c r="C550" s="52"/>
      <c r="D550" s="102" t="s">
        <v>194</v>
      </c>
      <c r="E550" s="128" t="s">
        <v>195</v>
      </c>
      <c r="F550" s="155"/>
      <c r="G550" s="156" t="s">
        <v>51</v>
      </c>
      <c r="H550" s="49">
        <f>ROUND(F564,2)</f>
        <v>282.18</v>
      </c>
    </row>
    <row r="551" spans="1:8" ht="12.75" customHeight="1">
      <c r="A551" s="45"/>
      <c r="B551" s="209"/>
      <c r="C551" s="211"/>
      <c r="D551" s="84"/>
      <c r="E551" s="31" t="s">
        <v>1053</v>
      </c>
      <c r="F551" s="50"/>
      <c r="G551" s="212"/>
      <c r="H551" s="172"/>
    </row>
    <row r="552" spans="1:8" ht="12.75" customHeight="1">
      <c r="A552" s="45"/>
      <c r="B552" s="209"/>
      <c r="C552" s="211"/>
      <c r="D552" s="84"/>
      <c r="E552" s="31" t="s">
        <v>1054</v>
      </c>
      <c r="F552" s="50">
        <f>19*0.6+25*(1.34+0.46)</f>
        <v>56.4</v>
      </c>
      <c r="G552" s="212"/>
      <c r="H552" s="172"/>
    </row>
    <row r="553" spans="1:8" ht="25.5">
      <c r="A553" s="45"/>
      <c r="B553" s="209"/>
      <c r="C553" s="211"/>
      <c r="D553" s="84"/>
      <c r="E553" s="31" t="s">
        <v>1055</v>
      </c>
      <c r="F553" s="55">
        <f xml:space="preserve"> 12*0.28</f>
        <v>3.3600000000000003</v>
      </c>
      <c r="G553" s="212"/>
      <c r="H553" s="172"/>
    </row>
    <row r="554" spans="1:8" ht="12.75" customHeight="1">
      <c r="A554" s="45"/>
      <c r="B554" s="209"/>
      <c r="C554" s="211"/>
      <c r="D554" s="84"/>
      <c r="E554" s="173" t="s">
        <v>421</v>
      </c>
      <c r="F554" s="50">
        <f>SUM(F552:F553)</f>
        <v>59.76</v>
      </c>
      <c r="G554" s="212"/>
      <c r="H554" s="172"/>
    </row>
    <row r="555" spans="1:8" ht="12.75" customHeight="1">
      <c r="A555" s="45"/>
      <c r="B555" s="209"/>
      <c r="C555" s="211"/>
      <c r="D555" s="84"/>
      <c r="E555" s="31" t="s">
        <v>1056</v>
      </c>
      <c r="F555" s="50">
        <v>1.5</v>
      </c>
      <c r="G555" s="212"/>
      <c r="H555" s="172"/>
    </row>
    <row r="556" spans="1:8" ht="25.5">
      <c r="A556" s="45"/>
      <c r="B556" s="209"/>
      <c r="C556" s="211"/>
      <c r="D556" s="84"/>
      <c r="E556" s="31" t="s">
        <v>1057</v>
      </c>
      <c r="F556" s="50"/>
      <c r="G556" s="212"/>
      <c r="H556" s="172"/>
    </row>
    <row r="557" spans="1:8" ht="25.5">
      <c r="A557" s="45"/>
      <c r="B557" s="209"/>
      <c r="C557" s="211"/>
      <c r="D557" s="84"/>
      <c r="E557" s="31" t="s">
        <v>1058</v>
      </c>
      <c r="F557" s="50"/>
      <c r="G557" s="212"/>
      <c r="H557" s="172"/>
    </row>
    <row r="558" spans="1:8" ht="25.5">
      <c r="A558" s="45"/>
      <c r="B558" s="209"/>
      <c r="C558" s="211"/>
      <c r="D558" s="84"/>
      <c r="E558" s="31" t="s">
        <v>1485</v>
      </c>
      <c r="F558" s="50"/>
      <c r="G558" s="212"/>
      <c r="H558" s="172"/>
    </row>
    <row r="559" spans="1:8" ht="38.25">
      <c r="A559" s="45"/>
      <c r="B559" s="209"/>
      <c r="C559" s="211"/>
      <c r="D559" s="84"/>
      <c r="E559" s="31" t="s">
        <v>1059</v>
      </c>
      <c r="F559" s="50">
        <f>2.454+2.774+3.664+5.044+1.5+1.5+2.674+2.644+3.504+6.054+5.034+3.884+2.814+2.824+3.574+5.264+5.304+3.974+3.134+2.684+1+2*6</f>
        <v>83.301999999999992</v>
      </c>
      <c r="G559" s="212"/>
      <c r="H559" s="172"/>
    </row>
    <row r="560" spans="1:8" ht="25.5">
      <c r="A560" s="45"/>
      <c r="B560" s="209"/>
      <c r="C560" s="211"/>
      <c r="D560" s="84"/>
      <c r="E560" s="31" t="s">
        <v>1486</v>
      </c>
      <c r="F560" s="50">
        <v>70</v>
      </c>
      <c r="G560" s="212"/>
      <c r="H560" s="172"/>
    </row>
    <row r="561" spans="1:8" ht="25.5">
      <c r="A561" s="45"/>
      <c r="B561" s="209"/>
      <c r="C561" s="211"/>
      <c r="D561" s="84"/>
      <c r="E561" s="31" t="s">
        <v>1060</v>
      </c>
      <c r="F561" s="50">
        <v>26</v>
      </c>
      <c r="G561" s="212" t="s">
        <v>451</v>
      </c>
      <c r="H561" s="172"/>
    </row>
    <row r="562" spans="1:8" ht="25.5">
      <c r="A562" s="45"/>
      <c r="B562" s="209"/>
      <c r="C562" s="211"/>
      <c r="D562" s="84"/>
      <c r="E562" s="31" t="s">
        <v>1061</v>
      </c>
      <c r="F562" s="55">
        <f>24*(1.47+0.24+0.024)</f>
        <v>41.616</v>
      </c>
      <c r="G562" s="212"/>
      <c r="H562" s="172"/>
    </row>
    <row r="563" spans="1:8" ht="12.75" customHeight="1">
      <c r="A563" s="45"/>
      <c r="B563" s="209"/>
      <c r="C563" s="211"/>
      <c r="D563" s="84"/>
      <c r="E563" s="173" t="s">
        <v>421</v>
      </c>
      <c r="F563" s="50">
        <f>SUM(F559:F562)</f>
        <v>220.91800000000001</v>
      </c>
      <c r="G563" s="212"/>
      <c r="H563" s="172"/>
    </row>
    <row r="564" spans="1:8" ht="12.75" customHeight="1">
      <c r="A564" s="45"/>
      <c r="B564" s="209"/>
      <c r="C564" s="211"/>
      <c r="D564" s="84"/>
      <c r="E564" s="173" t="s">
        <v>411</v>
      </c>
      <c r="F564" s="58">
        <f>F554+F555+F563</f>
        <v>282.178</v>
      </c>
      <c r="G564" s="212"/>
      <c r="H564" s="172"/>
    </row>
    <row r="565" spans="1:8" ht="25.5">
      <c r="A565" s="45"/>
      <c r="B565" s="209"/>
      <c r="C565" s="211"/>
      <c r="D565" s="84"/>
      <c r="E565" s="31" t="s">
        <v>1062</v>
      </c>
      <c r="F565" s="58"/>
      <c r="G565" s="212"/>
      <c r="H565" s="172"/>
    </row>
    <row r="566" spans="1:8" ht="12.75" customHeight="1">
      <c r="A566" s="45"/>
      <c r="B566" s="209"/>
      <c r="C566" s="211"/>
      <c r="D566" s="84"/>
      <c r="E566" s="31" t="s">
        <v>1063</v>
      </c>
      <c r="F566" s="58"/>
      <c r="G566" s="212"/>
      <c r="H566" s="172"/>
    </row>
    <row r="567" spans="1:8" ht="12.75" customHeight="1">
      <c r="A567" s="45"/>
      <c r="B567" s="209"/>
      <c r="C567" s="211"/>
      <c r="D567" s="84"/>
      <c r="E567" s="31" t="s">
        <v>1064</v>
      </c>
      <c r="F567" s="58"/>
      <c r="G567" s="212"/>
      <c r="H567" s="172"/>
    </row>
    <row r="568" spans="1:8" ht="12.75" customHeight="1">
      <c r="A568" s="45"/>
      <c r="B568" s="209"/>
      <c r="C568" s="211"/>
      <c r="D568" s="84"/>
      <c r="E568" s="31" t="s">
        <v>1065</v>
      </c>
      <c r="F568" s="58"/>
      <c r="G568" s="212"/>
      <c r="H568" s="172"/>
    </row>
    <row r="569" spans="1:8" s="6" customFormat="1" ht="25.5">
      <c r="A569" s="152">
        <f>MAX(A$2:A563)+1</f>
        <v>58</v>
      </c>
      <c r="B569" s="199" t="s">
        <v>149</v>
      </c>
      <c r="C569" s="52" t="s">
        <v>196</v>
      </c>
      <c r="D569" s="102"/>
      <c r="E569" s="183" t="s">
        <v>197</v>
      </c>
      <c r="F569" s="155"/>
      <c r="G569" s="34" t="s">
        <v>44</v>
      </c>
      <c r="H569" s="77">
        <f>H570</f>
        <v>115.58</v>
      </c>
    </row>
    <row r="570" spans="1:8" s="6" customFormat="1" ht="25.5">
      <c r="A570" s="180"/>
      <c r="B570" s="186"/>
      <c r="C570" s="52"/>
      <c r="D570" s="102" t="s">
        <v>1066</v>
      </c>
      <c r="E570" s="128" t="s">
        <v>1067</v>
      </c>
      <c r="F570" s="155"/>
      <c r="G570" s="156" t="s">
        <v>44</v>
      </c>
      <c r="H570" s="49">
        <f>ROUND(F575,2)</f>
        <v>115.58</v>
      </c>
    </row>
    <row r="571" spans="1:8" ht="25.5">
      <c r="A571" s="45"/>
      <c r="B571" s="209"/>
      <c r="C571" s="211"/>
      <c r="D571" s="84"/>
      <c r="E571" s="31" t="s">
        <v>1068</v>
      </c>
      <c r="F571" s="50"/>
      <c r="G571" s="212"/>
      <c r="H571" s="172"/>
    </row>
    <row r="572" spans="1:8" ht="12.75" customHeight="1">
      <c r="A572" s="45"/>
      <c r="B572" s="209"/>
      <c r="C572" s="211"/>
      <c r="D572" s="84"/>
      <c r="E572" s="31" t="s">
        <v>1069</v>
      </c>
      <c r="F572" s="50">
        <f>(0.1+0.1+0.3)*(10.21+10.21)</f>
        <v>10.210000000000001</v>
      </c>
      <c r="G572" s="212"/>
      <c r="H572" s="172"/>
    </row>
    <row r="573" spans="1:8" ht="12.75" customHeight="1">
      <c r="A573" s="45"/>
      <c r="B573" s="209"/>
      <c r="C573" s="211"/>
      <c r="D573" s="84"/>
      <c r="E573" s="31" t="s">
        <v>1070</v>
      </c>
      <c r="F573" s="50"/>
      <c r="G573" s="212"/>
      <c r="H573" s="172"/>
    </row>
    <row r="574" spans="1:8" ht="12.75" customHeight="1">
      <c r="A574" s="45"/>
      <c r="B574" s="209"/>
      <c r="C574" s="211"/>
      <c r="D574" s="84"/>
      <c r="E574" s="31" t="s">
        <v>1071</v>
      </c>
      <c r="F574" s="55">
        <f>(1.04+2*0.288)*0.945*69</f>
        <v>105.37128</v>
      </c>
      <c r="G574" s="212"/>
      <c r="H574" s="172"/>
    </row>
    <row r="575" spans="1:8" ht="12.75" customHeight="1">
      <c r="A575" s="45"/>
      <c r="B575" s="209"/>
      <c r="C575" s="211"/>
      <c r="D575" s="84"/>
      <c r="E575" s="31"/>
      <c r="F575" s="58">
        <f>F572+F574</f>
        <v>115.58127999999999</v>
      </c>
      <c r="G575" s="212"/>
      <c r="H575" s="172"/>
    </row>
    <row r="576" spans="1:8" s="6" customFormat="1" ht="25.5">
      <c r="A576" s="152">
        <f>MAX(A$2:A572)+1</f>
        <v>59</v>
      </c>
      <c r="B576" s="199" t="s">
        <v>149</v>
      </c>
      <c r="C576" s="52" t="s">
        <v>198</v>
      </c>
      <c r="D576" s="102"/>
      <c r="E576" s="183" t="s">
        <v>199</v>
      </c>
      <c r="F576" s="155"/>
      <c r="G576" s="34" t="s">
        <v>51</v>
      </c>
      <c r="H576" s="77">
        <f>H577+H595</f>
        <v>1798.0300000000002</v>
      </c>
    </row>
    <row r="577" spans="1:8" s="6" customFormat="1" ht="25.5">
      <c r="A577" s="180"/>
      <c r="B577" s="186"/>
      <c r="C577" s="52"/>
      <c r="D577" s="102" t="s">
        <v>1072</v>
      </c>
      <c r="E577" s="128" t="s">
        <v>1073</v>
      </c>
      <c r="F577" s="155"/>
      <c r="G577" s="156" t="s">
        <v>51</v>
      </c>
      <c r="H577" s="49">
        <f>ROUND(F594,2)</f>
        <v>1427.41</v>
      </c>
    </row>
    <row r="578" spans="1:8" ht="12.75" customHeight="1">
      <c r="A578" s="45"/>
      <c r="B578" s="209"/>
      <c r="C578" s="211"/>
      <c r="D578" s="84"/>
      <c r="E578" s="31" t="s">
        <v>1074</v>
      </c>
      <c r="F578" s="50"/>
      <c r="G578" s="212"/>
      <c r="H578" s="172"/>
    </row>
    <row r="579" spans="1:8" ht="12.75" customHeight="1">
      <c r="A579" s="45"/>
      <c r="B579" s="209"/>
      <c r="C579" s="211"/>
      <c r="D579" s="84"/>
      <c r="E579" s="31" t="s">
        <v>1075</v>
      </c>
      <c r="F579" s="50">
        <f>25*0.972+25*3.48</f>
        <v>111.3</v>
      </c>
      <c r="G579" s="212"/>
      <c r="H579" s="172"/>
    </row>
    <row r="580" spans="1:8" ht="12.75" customHeight="1">
      <c r="A580" s="45"/>
      <c r="B580" s="209"/>
      <c r="C580" s="211"/>
      <c r="D580" s="84"/>
      <c r="E580" s="31" t="s">
        <v>1076</v>
      </c>
      <c r="F580" s="50"/>
      <c r="G580" s="212"/>
      <c r="H580" s="172"/>
    </row>
    <row r="581" spans="1:8" ht="12.75" customHeight="1">
      <c r="A581" s="45"/>
      <c r="B581" s="209"/>
      <c r="C581" s="211"/>
      <c r="D581" s="84"/>
      <c r="E581" s="31" t="s">
        <v>1077</v>
      </c>
      <c r="F581" s="50">
        <f>9*3.42</f>
        <v>30.78</v>
      </c>
      <c r="G581" s="212"/>
      <c r="H581" s="172"/>
    </row>
    <row r="582" spans="1:8" ht="12.75" customHeight="1">
      <c r="A582" s="45"/>
      <c r="B582" s="209"/>
      <c r="C582" s="211"/>
      <c r="D582" s="84"/>
      <c r="E582" s="31" t="s">
        <v>1078</v>
      </c>
      <c r="F582" s="55">
        <f xml:space="preserve"> (0+9)*0.952</f>
        <v>8.5679999999999996</v>
      </c>
      <c r="G582" s="212"/>
      <c r="H582" s="172"/>
    </row>
    <row r="583" spans="1:8" ht="12.75" customHeight="1">
      <c r="A583" s="45"/>
      <c r="B583" s="220"/>
      <c r="C583" s="168"/>
      <c r="D583" s="221"/>
      <c r="E583" s="173" t="s">
        <v>421</v>
      </c>
      <c r="F583" s="50">
        <f>SUM(F579:F582)</f>
        <v>150.648</v>
      </c>
      <c r="G583" s="222"/>
      <c r="H583" s="223"/>
    </row>
    <row r="584" spans="1:8" ht="25.5">
      <c r="A584" s="45"/>
      <c r="B584" s="209"/>
      <c r="C584" s="211"/>
      <c r="D584" s="84"/>
      <c r="E584" s="31" t="s">
        <v>1079</v>
      </c>
      <c r="F584" s="238" t="s">
        <v>451</v>
      </c>
      <c r="G584" s="212"/>
      <c r="H584" s="172"/>
    </row>
    <row r="585" spans="1:8">
      <c r="A585" s="45"/>
      <c r="B585" s="209"/>
      <c r="C585" s="211"/>
      <c r="D585" s="84"/>
      <c r="E585" s="31" t="s">
        <v>1080</v>
      </c>
      <c r="F585" s="50">
        <v>640.94000000000005</v>
      </c>
      <c r="G585" s="212"/>
      <c r="H585" s="172"/>
    </row>
    <row r="586" spans="1:8" ht="12.75" customHeight="1">
      <c r="A586" s="45"/>
      <c r="B586" s="220"/>
      <c r="C586" s="168"/>
      <c r="D586" s="221"/>
      <c r="E586" s="31" t="s">
        <v>1081</v>
      </c>
      <c r="F586" s="55">
        <v>635.82000000000005</v>
      </c>
      <c r="G586" s="222"/>
      <c r="H586" s="223"/>
    </row>
    <row r="587" spans="1:8">
      <c r="A587" s="45"/>
      <c r="B587" s="209"/>
      <c r="C587" s="211"/>
      <c r="D587" s="84"/>
      <c r="E587" s="173" t="s">
        <v>421</v>
      </c>
      <c r="F587" s="50">
        <f>F585+F586</f>
        <v>1276.7600000000002</v>
      </c>
      <c r="G587" s="212"/>
      <c r="H587" s="172"/>
    </row>
    <row r="588" spans="1:8">
      <c r="A588" s="45"/>
      <c r="B588" s="209"/>
      <c r="C588" s="211"/>
      <c r="D588" s="84"/>
      <c r="E588" s="31" t="s">
        <v>1082</v>
      </c>
      <c r="F588" s="200"/>
      <c r="G588" s="212"/>
      <c r="H588" s="172"/>
    </row>
    <row r="589" spans="1:8">
      <c r="A589" s="45"/>
      <c r="B589" s="209"/>
      <c r="C589" s="211"/>
      <c r="D589" s="84"/>
      <c r="E589" s="31" t="s">
        <v>1083</v>
      </c>
      <c r="F589" s="50"/>
      <c r="G589" s="212"/>
      <c r="H589" s="172"/>
    </row>
    <row r="590" spans="1:8">
      <c r="A590" s="45"/>
      <c r="B590" s="209"/>
      <c r="C590" s="211"/>
      <c r="D590" s="84"/>
      <c r="E590" s="31" t="s">
        <v>1084</v>
      </c>
      <c r="F590" s="50"/>
      <c r="G590" s="212"/>
      <c r="H590" s="172"/>
    </row>
    <row r="591" spans="1:8">
      <c r="A591" s="45"/>
      <c r="B591" s="209"/>
      <c r="C591" s="211"/>
      <c r="D591" s="84"/>
      <c r="E591" s="31" t="s">
        <v>1085</v>
      </c>
      <c r="F591" s="50"/>
      <c r="G591" s="212"/>
      <c r="H591" s="172"/>
    </row>
    <row r="592" spans="1:8">
      <c r="A592" s="45"/>
      <c r="B592" s="209"/>
      <c r="C592" s="211"/>
      <c r="D592" s="84"/>
      <c r="E592" s="31" t="s">
        <v>1086</v>
      </c>
      <c r="F592" s="50"/>
      <c r="G592" s="212"/>
      <c r="H592" s="172"/>
    </row>
    <row r="593" spans="1:8" ht="25.5">
      <c r="A593" s="45"/>
      <c r="B593" s="209"/>
      <c r="C593" s="211"/>
      <c r="D593" s="84"/>
      <c r="E593" s="31" t="s">
        <v>1087</v>
      </c>
      <c r="F593" s="50"/>
      <c r="G593" s="212"/>
      <c r="H593" s="172"/>
    </row>
    <row r="594" spans="1:8" ht="12.75" customHeight="1">
      <c r="A594" s="45"/>
      <c r="B594" s="220"/>
      <c r="C594" s="168"/>
      <c r="D594" s="221"/>
      <c r="E594" s="173" t="s">
        <v>411</v>
      </c>
      <c r="F594" s="50">
        <f>F583+F587</f>
        <v>1427.4080000000001</v>
      </c>
      <c r="G594" s="222"/>
      <c r="H594" s="223"/>
    </row>
    <row r="595" spans="1:8" s="6" customFormat="1" ht="25.5">
      <c r="A595" s="180"/>
      <c r="B595" s="186"/>
      <c r="C595" s="52"/>
      <c r="D595" s="84" t="s">
        <v>1088</v>
      </c>
      <c r="E595" s="81" t="s">
        <v>1089</v>
      </c>
      <c r="F595" s="179"/>
      <c r="G595" s="83" t="s">
        <v>51</v>
      </c>
      <c r="H595" s="49">
        <f>ROUND(F603,2)</f>
        <v>370.62</v>
      </c>
    </row>
    <row r="596" spans="1:8" ht="25.5">
      <c r="A596" s="45"/>
      <c r="B596" s="209"/>
      <c r="C596" s="211"/>
      <c r="D596" s="84"/>
      <c r="E596" s="31" t="s">
        <v>1090</v>
      </c>
      <c r="F596" s="50"/>
      <c r="G596" s="212"/>
      <c r="H596" s="172"/>
    </row>
    <row r="597" spans="1:8" ht="12.75" customHeight="1">
      <c r="A597" s="45"/>
      <c r="B597" s="209"/>
      <c r="C597" s="211"/>
      <c r="D597" s="84"/>
      <c r="E597" s="31" t="s">
        <v>1091</v>
      </c>
      <c r="F597" s="50">
        <f>641*0.04</f>
        <v>25.64</v>
      </c>
      <c r="G597" s="212"/>
      <c r="H597" s="172"/>
    </row>
    <row r="598" spans="1:8" ht="12.75" customHeight="1">
      <c r="A598" s="45"/>
      <c r="B598" s="209"/>
      <c r="C598" s="211"/>
      <c r="D598" s="84"/>
      <c r="E598" s="31" t="s">
        <v>1092</v>
      </c>
      <c r="F598" s="55">
        <f>641*0.25</f>
        <v>160.25</v>
      </c>
      <c r="G598" s="212"/>
      <c r="H598" s="172"/>
    </row>
    <row r="599" spans="1:8" ht="12.75" customHeight="1">
      <c r="A599" s="45"/>
      <c r="B599" s="209"/>
      <c r="C599" s="211"/>
      <c r="D599" s="84"/>
      <c r="E599" s="173" t="s">
        <v>421</v>
      </c>
      <c r="F599" s="50">
        <f>F597+F598</f>
        <v>185.89</v>
      </c>
      <c r="G599" s="212"/>
      <c r="H599" s="172"/>
    </row>
    <row r="600" spans="1:8" ht="12.75" customHeight="1">
      <c r="A600" s="45"/>
      <c r="B600" s="209"/>
      <c r="C600" s="211"/>
      <c r="D600" s="84"/>
      <c r="E600" s="31" t="s">
        <v>1093</v>
      </c>
      <c r="F600" s="50">
        <f>637*0.04</f>
        <v>25.48</v>
      </c>
      <c r="G600" s="212"/>
      <c r="H600" s="172"/>
    </row>
    <row r="601" spans="1:8" ht="12.75" customHeight="1">
      <c r="A601" s="45"/>
      <c r="B601" s="209"/>
      <c r="C601" s="211"/>
      <c r="D601" s="84"/>
      <c r="E601" s="31" t="s">
        <v>1094</v>
      </c>
      <c r="F601" s="55">
        <f>637*0.25</f>
        <v>159.25</v>
      </c>
      <c r="G601" s="212"/>
      <c r="H601" s="172"/>
    </row>
    <row r="602" spans="1:8" ht="12.75" customHeight="1">
      <c r="A602" s="45"/>
      <c r="B602" s="209"/>
      <c r="C602" s="211"/>
      <c r="D602" s="84"/>
      <c r="E602" s="173" t="s">
        <v>421</v>
      </c>
      <c r="F602" s="50">
        <f>F600+F601</f>
        <v>184.73</v>
      </c>
      <c r="G602" s="212"/>
      <c r="H602" s="172"/>
    </row>
    <row r="603" spans="1:8" ht="12.75" customHeight="1">
      <c r="A603" s="45"/>
      <c r="B603" s="220"/>
      <c r="C603" s="168"/>
      <c r="D603" s="221"/>
      <c r="E603" s="173" t="s">
        <v>411</v>
      </c>
      <c r="F603" s="50">
        <f>F599+F602</f>
        <v>370.62</v>
      </c>
      <c r="G603" s="222"/>
      <c r="H603" s="223"/>
    </row>
    <row r="604" spans="1:8" s="6" customFormat="1" ht="25.5">
      <c r="A604" s="152">
        <f>MAX(A$2:A603)+1</f>
        <v>60</v>
      </c>
      <c r="B604" s="199" t="s">
        <v>149</v>
      </c>
      <c r="C604" s="52" t="s">
        <v>200</v>
      </c>
      <c r="D604" s="102"/>
      <c r="E604" s="183" t="s">
        <v>201</v>
      </c>
      <c r="F604" s="155"/>
      <c r="G604" s="34" t="s">
        <v>51</v>
      </c>
      <c r="H604" s="77">
        <f>H605</f>
        <v>13</v>
      </c>
    </row>
    <row r="605" spans="1:8" s="6" customFormat="1" ht="25.5">
      <c r="A605" s="180"/>
      <c r="B605" s="186"/>
      <c r="C605" s="52"/>
      <c r="D605" s="79" t="s">
        <v>1095</v>
      </c>
      <c r="E605" s="81" t="s">
        <v>1096</v>
      </c>
      <c r="F605" s="155"/>
      <c r="G605" s="156" t="s">
        <v>51</v>
      </c>
      <c r="H605" s="49">
        <f>F606</f>
        <v>13</v>
      </c>
    </row>
    <row r="606" spans="1:8" ht="25.5">
      <c r="A606" s="45"/>
      <c r="B606" s="209"/>
      <c r="C606" s="211"/>
      <c r="D606" s="84"/>
      <c r="E606" s="31" t="s">
        <v>1097</v>
      </c>
      <c r="F606" s="50">
        <v>13</v>
      </c>
      <c r="G606" s="212"/>
      <c r="H606" s="172"/>
    </row>
    <row r="607" spans="1:8" ht="12.75" customHeight="1">
      <c r="A607" s="152">
        <f>MAX(A$2:A606)+1</f>
        <v>61</v>
      </c>
      <c r="B607" s="199" t="s">
        <v>149</v>
      </c>
      <c r="C607" s="51" t="s">
        <v>202</v>
      </c>
      <c r="D607" s="52"/>
      <c r="E607" s="53" t="s">
        <v>203</v>
      </c>
      <c r="F607" s="75"/>
      <c r="G607" s="76" t="s">
        <v>72</v>
      </c>
      <c r="H607" s="146">
        <f>H608+H610+H612+H614</f>
        <v>4</v>
      </c>
    </row>
    <row r="608" spans="1:8" ht="25.5">
      <c r="A608" s="45"/>
      <c r="B608" s="209"/>
      <c r="C608" s="211"/>
      <c r="D608" s="79" t="s">
        <v>1098</v>
      </c>
      <c r="E608" s="91" t="s">
        <v>1099</v>
      </c>
      <c r="F608" s="92"/>
      <c r="G608" s="83" t="s">
        <v>72</v>
      </c>
      <c r="H608" s="172">
        <f>F609</f>
        <v>1</v>
      </c>
    </row>
    <row r="609" spans="1:8" ht="12.75" customHeight="1">
      <c r="A609" s="45"/>
      <c r="B609" s="209"/>
      <c r="C609" s="211"/>
      <c r="D609" s="84"/>
      <c r="E609" s="31" t="s">
        <v>1100</v>
      </c>
      <c r="F609" s="50">
        <v>1</v>
      </c>
      <c r="G609" s="212"/>
      <c r="H609" s="172"/>
    </row>
    <row r="610" spans="1:8" ht="25.5">
      <c r="A610" s="45"/>
      <c r="B610" s="209"/>
      <c r="C610" s="211"/>
      <c r="D610" s="79" t="s">
        <v>1101</v>
      </c>
      <c r="E610" s="91" t="s">
        <v>1102</v>
      </c>
      <c r="F610" s="92"/>
      <c r="G610" s="83" t="s">
        <v>72</v>
      </c>
      <c r="H610" s="172">
        <f>F611</f>
        <v>1</v>
      </c>
    </row>
    <row r="611" spans="1:8" ht="12.75" customHeight="1">
      <c r="A611" s="45"/>
      <c r="B611" s="209"/>
      <c r="C611" s="211"/>
      <c r="D611" s="84"/>
      <c r="E611" s="31" t="s">
        <v>1103</v>
      </c>
      <c r="F611" s="50">
        <v>1</v>
      </c>
      <c r="G611" s="83"/>
      <c r="H611" s="172"/>
    </row>
    <row r="612" spans="1:8" ht="25.5">
      <c r="A612" s="45"/>
      <c r="B612" s="209"/>
      <c r="C612" s="211"/>
      <c r="D612" s="79" t="s">
        <v>1104</v>
      </c>
      <c r="E612" s="91" t="s">
        <v>1105</v>
      </c>
      <c r="F612" s="92"/>
      <c r="G612" s="83" t="s">
        <v>72</v>
      </c>
      <c r="H612" s="172">
        <f>F613</f>
        <v>1</v>
      </c>
    </row>
    <row r="613" spans="1:8" ht="12.75" customHeight="1">
      <c r="A613" s="45"/>
      <c r="B613" s="209"/>
      <c r="C613" s="211"/>
      <c r="D613" s="84"/>
      <c r="E613" s="31" t="s">
        <v>1106</v>
      </c>
      <c r="F613" s="58">
        <v>1</v>
      </c>
      <c r="G613" s="212"/>
      <c r="H613" s="172"/>
    </row>
    <row r="614" spans="1:8" ht="25.5">
      <c r="A614" s="45"/>
      <c r="B614" s="209"/>
      <c r="C614" s="211"/>
      <c r="D614" s="79" t="s">
        <v>1107</v>
      </c>
      <c r="E614" s="91" t="s">
        <v>1108</v>
      </c>
      <c r="F614" s="50"/>
      <c r="G614" s="83" t="s">
        <v>72</v>
      </c>
      <c r="H614" s="172">
        <f>F615</f>
        <v>1</v>
      </c>
    </row>
    <row r="615" spans="1:8" ht="12.75" customHeight="1">
      <c r="A615" s="45"/>
      <c r="B615" s="209"/>
      <c r="C615" s="211"/>
      <c r="D615" s="84"/>
      <c r="E615" s="31" t="s">
        <v>1109</v>
      </c>
      <c r="F615" s="58">
        <v>1</v>
      </c>
      <c r="G615" s="83"/>
      <c r="H615" s="172"/>
    </row>
    <row r="616" spans="1:8" s="6" customFormat="1" ht="15">
      <c r="A616" s="152">
        <f>MAX(A$2:A615)+1</f>
        <v>62</v>
      </c>
      <c r="B616" s="199" t="s">
        <v>149</v>
      </c>
      <c r="C616" s="52" t="s">
        <v>204</v>
      </c>
      <c r="D616" s="102"/>
      <c r="E616" s="183" t="s">
        <v>205</v>
      </c>
      <c r="F616" s="155"/>
      <c r="G616" s="34" t="s">
        <v>72</v>
      </c>
      <c r="H616" s="77">
        <f>H617</f>
        <v>125</v>
      </c>
    </row>
    <row r="617" spans="1:8" s="6" customFormat="1">
      <c r="A617" s="180"/>
      <c r="B617" s="186"/>
      <c r="C617" s="52"/>
      <c r="D617" s="79" t="s">
        <v>204</v>
      </c>
      <c r="E617" s="81" t="s">
        <v>205</v>
      </c>
      <c r="F617" s="155"/>
      <c r="G617" s="156" t="s">
        <v>72</v>
      </c>
      <c r="H617" s="49">
        <f>F631</f>
        <v>125</v>
      </c>
    </row>
    <row r="618" spans="1:8" ht="25.5">
      <c r="A618" s="45"/>
      <c r="B618" s="209"/>
      <c r="C618" s="211"/>
      <c r="D618" s="84"/>
      <c r="E618" s="31" t="s">
        <v>1477</v>
      </c>
      <c r="F618" s="50">
        <f>17+25+2</f>
        <v>44</v>
      </c>
      <c r="G618" s="212"/>
      <c r="H618" s="172"/>
    </row>
    <row r="619" spans="1:8" ht="12.75" customHeight="1">
      <c r="A619" s="45"/>
      <c r="B619" s="209"/>
      <c r="C619" s="211"/>
      <c r="D619" s="84"/>
      <c r="E619" s="31" t="s">
        <v>1110</v>
      </c>
      <c r="F619" s="50">
        <v>12</v>
      </c>
      <c r="G619" s="212"/>
      <c r="H619" s="172"/>
    </row>
    <row r="620" spans="1:8" ht="12.75" customHeight="1">
      <c r="A620" s="45"/>
      <c r="B620" s="209"/>
      <c r="C620" s="211"/>
      <c r="D620" s="84"/>
      <c r="E620" s="31" t="s">
        <v>1111</v>
      </c>
      <c r="F620" s="50"/>
      <c r="G620" s="212"/>
      <c r="H620" s="172"/>
    </row>
    <row r="621" spans="1:8" ht="12.75" customHeight="1">
      <c r="A621" s="45"/>
      <c r="B621" s="209"/>
      <c r="C621" s="211"/>
      <c r="D621" s="84"/>
      <c r="E621" s="31" t="s">
        <v>1112</v>
      </c>
      <c r="F621" s="50"/>
      <c r="G621" s="212"/>
      <c r="H621" s="172"/>
    </row>
    <row r="622" spans="1:8" ht="38.25">
      <c r="A622" s="45"/>
      <c r="B622" s="209"/>
      <c r="C622" s="211"/>
      <c r="D622" s="84"/>
      <c r="E622" s="31" t="s">
        <v>1113</v>
      </c>
      <c r="F622" s="50"/>
      <c r="G622" s="212"/>
      <c r="H622" s="172"/>
    </row>
    <row r="623" spans="1:8" ht="38.25">
      <c r="A623" s="45"/>
      <c r="B623" s="209"/>
      <c r="C623" s="211"/>
      <c r="D623" s="84"/>
      <c r="E623" s="31" t="s">
        <v>1114</v>
      </c>
      <c r="F623" s="50"/>
      <c r="G623" s="212"/>
      <c r="H623" s="172"/>
    </row>
    <row r="624" spans="1:8" ht="12.75" customHeight="1">
      <c r="A624" s="45"/>
      <c r="B624" s="209"/>
      <c r="C624" s="211"/>
      <c r="D624" s="84"/>
      <c r="E624" s="31" t="s">
        <v>1115</v>
      </c>
      <c r="F624" s="50"/>
      <c r="G624" s="212"/>
      <c r="H624" s="172"/>
    </row>
    <row r="625" spans="1:8" ht="25.5">
      <c r="A625" s="45"/>
      <c r="B625" s="209"/>
      <c r="C625" s="211"/>
      <c r="D625" s="84"/>
      <c r="E625" s="31" t="s">
        <v>1116</v>
      </c>
      <c r="F625" s="50"/>
      <c r="G625" s="212"/>
      <c r="H625" s="172"/>
    </row>
    <row r="626" spans="1:8" ht="12.75" customHeight="1">
      <c r="A626" s="45"/>
      <c r="B626" s="209"/>
      <c r="C626" s="211"/>
      <c r="D626" s="84"/>
      <c r="E626" s="31" t="s">
        <v>1117</v>
      </c>
      <c r="F626" s="50"/>
      <c r="G626" s="212"/>
      <c r="H626" s="172"/>
    </row>
    <row r="627" spans="1:8" ht="25.5">
      <c r="A627" s="45"/>
      <c r="B627" s="209"/>
      <c r="C627" s="211"/>
      <c r="D627" s="84"/>
      <c r="E627" s="31" t="s">
        <v>1116</v>
      </c>
      <c r="F627" s="50"/>
      <c r="G627" s="212"/>
      <c r="H627" s="172"/>
    </row>
    <row r="628" spans="1:8" ht="12.75" customHeight="1">
      <c r="A628" s="45"/>
      <c r="B628" s="209"/>
      <c r="C628" s="211"/>
      <c r="D628" s="84"/>
      <c r="E628" s="31" t="s">
        <v>1118</v>
      </c>
      <c r="F628" s="50"/>
      <c r="G628" s="212"/>
      <c r="H628" s="172"/>
    </row>
    <row r="629" spans="1:8" ht="12.75" customHeight="1">
      <c r="A629" s="45"/>
      <c r="B629" s="209"/>
      <c r="C629" s="211"/>
      <c r="D629" s="84"/>
      <c r="E629" s="31" t="s">
        <v>1119</v>
      </c>
      <c r="F629" s="50"/>
      <c r="G629" s="212"/>
      <c r="H629" s="172"/>
    </row>
    <row r="630" spans="1:8" ht="12.75" customHeight="1">
      <c r="A630" s="45"/>
      <c r="B630" s="209"/>
      <c r="C630" s="211"/>
      <c r="D630" s="84"/>
      <c r="E630" s="31" t="s">
        <v>1120</v>
      </c>
      <c r="F630" s="55">
        <v>69</v>
      </c>
      <c r="G630" s="212"/>
      <c r="H630" s="172"/>
    </row>
    <row r="631" spans="1:8" ht="12.75" customHeight="1">
      <c r="A631" s="45"/>
      <c r="B631" s="220"/>
      <c r="C631" s="168"/>
      <c r="D631" s="221"/>
      <c r="E631" s="173" t="s">
        <v>411</v>
      </c>
      <c r="F631" s="50">
        <f>SUM(F618:F630)</f>
        <v>125</v>
      </c>
      <c r="G631" s="222"/>
      <c r="H631" s="223"/>
    </row>
    <row r="632" spans="1:8" s="62" customFormat="1" ht="17.25" customHeight="1">
      <c r="A632" s="152">
        <f>MAX(A$2:A631)+1</f>
        <v>63</v>
      </c>
      <c r="B632" s="199" t="s">
        <v>149</v>
      </c>
      <c r="C632" s="52" t="s">
        <v>206</v>
      </c>
      <c r="D632" s="102"/>
      <c r="E632" s="27" t="s">
        <v>207</v>
      </c>
      <c r="F632" s="239"/>
      <c r="G632" s="34" t="s">
        <v>51</v>
      </c>
      <c r="H632" s="77">
        <f>H633</f>
        <v>152.15</v>
      </c>
    </row>
    <row r="633" spans="1:8" s="6" customFormat="1">
      <c r="A633" s="180"/>
      <c r="B633" s="186"/>
      <c r="C633" s="52"/>
      <c r="D633" s="79" t="s">
        <v>206</v>
      </c>
      <c r="E633" s="81" t="s">
        <v>207</v>
      </c>
      <c r="F633" s="155"/>
      <c r="G633" s="156" t="s">
        <v>51</v>
      </c>
      <c r="H633" s="49">
        <f>ROUND(F642,2)</f>
        <v>152.15</v>
      </c>
    </row>
    <row r="634" spans="1:8" ht="25.5">
      <c r="A634" s="45"/>
      <c r="B634" s="209"/>
      <c r="C634" s="211"/>
      <c r="D634" s="84"/>
      <c r="E634" s="31" t="s">
        <v>1121</v>
      </c>
      <c r="F634" s="50">
        <f>0.15*72</f>
        <v>10.799999999999999</v>
      </c>
      <c r="G634" s="212"/>
      <c r="H634" s="172"/>
    </row>
    <row r="635" spans="1:8" ht="25.5">
      <c r="A635" s="45"/>
      <c r="B635" s="209"/>
      <c r="C635" s="211"/>
      <c r="D635" s="84"/>
      <c r="E635" s="31" t="s">
        <v>1122</v>
      </c>
      <c r="F635" s="50">
        <f>0.15*36</f>
        <v>5.3999999999999995</v>
      </c>
      <c r="G635" s="212"/>
      <c r="H635" s="172"/>
    </row>
    <row r="636" spans="1:8" ht="12.75" customHeight="1">
      <c r="A636" s="45"/>
      <c r="B636" s="209"/>
      <c r="C636" s="211"/>
      <c r="D636" s="84"/>
      <c r="E636" s="31" t="s">
        <v>823</v>
      </c>
      <c r="F636" s="50">
        <f>(21+21)*0.25</f>
        <v>10.5</v>
      </c>
      <c r="G636" s="212"/>
      <c r="H636" s="172"/>
    </row>
    <row r="637" spans="1:8" ht="12.75" customHeight="1">
      <c r="A637" s="45"/>
      <c r="B637" s="209"/>
      <c r="C637" s="211"/>
      <c r="D637" s="84"/>
      <c r="E637" s="31" t="s">
        <v>1123</v>
      </c>
      <c r="F637" s="50"/>
      <c r="G637" s="212"/>
      <c r="H637" s="172"/>
    </row>
    <row r="638" spans="1:8" ht="12.75" customHeight="1">
      <c r="A638" s="45"/>
      <c r="B638" s="209"/>
      <c r="C638" s="211"/>
      <c r="D638" s="84"/>
      <c r="E638" s="31" t="s">
        <v>825</v>
      </c>
      <c r="F638" s="50">
        <f>128*0.3</f>
        <v>38.4</v>
      </c>
      <c r="G638" s="212" t="s">
        <v>451</v>
      </c>
      <c r="H638" s="172"/>
    </row>
    <row r="639" spans="1:8" ht="12.75" customHeight="1">
      <c r="A639" s="45"/>
      <c r="B639" s="209"/>
      <c r="C639" s="211"/>
      <c r="D639" s="84"/>
      <c r="E639" s="31" t="s">
        <v>1124</v>
      </c>
      <c r="F639" s="50"/>
      <c r="G639" s="212" t="s">
        <v>451</v>
      </c>
      <c r="H639" s="172"/>
    </row>
    <row r="640" spans="1:8" ht="12.75" customHeight="1">
      <c r="A640" s="45"/>
      <c r="B640" s="209"/>
      <c r="C640" s="211"/>
      <c r="D640" s="84"/>
      <c r="E640" s="31" t="s">
        <v>1125</v>
      </c>
      <c r="F640" s="50">
        <f>(2*(4+8+8+4+5)+2*37)*0.091</f>
        <v>12.012</v>
      </c>
      <c r="G640" s="212"/>
      <c r="H640" s="172"/>
    </row>
    <row r="641" spans="1:11" ht="25.5">
      <c r="A641" s="45"/>
      <c r="B641" s="209"/>
      <c r="C641" s="211"/>
      <c r="D641" s="84"/>
      <c r="E641" s="31" t="s">
        <v>1126</v>
      </c>
      <c r="F641" s="55">
        <f>0.14*(19*2*2*2+24*2*2*4)</f>
        <v>75.040000000000006</v>
      </c>
      <c r="G641" s="212"/>
      <c r="H641" s="172"/>
    </row>
    <row r="642" spans="1:11" ht="12.75" customHeight="1">
      <c r="A642" s="45"/>
      <c r="B642" s="220"/>
      <c r="C642" s="168"/>
      <c r="D642" s="221"/>
      <c r="E642" s="173" t="s">
        <v>411</v>
      </c>
      <c r="F642" s="50">
        <f>SUM(F634:F641)</f>
        <v>152.15199999999999</v>
      </c>
      <c r="G642" s="222"/>
      <c r="H642" s="223"/>
    </row>
    <row r="643" spans="1:11" s="6" customFormat="1" ht="25.5">
      <c r="A643" s="152">
        <f>MAX(A$2:A642)+1</f>
        <v>64</v>
      </c>
      <c r="B643" s="199" t="s">
        <v>149</v>
      </c>
      <c r="C643" s="52" t="s">
        <v>208</v>
      </c>
      <c r="D643" s="102"/>
      <c r="E643" s="183" t="s">
        <v>209</v>
      </c>
      <c r="F643" s="155"/>
      <c r="G643" s="34" t="s">
        <v>51</v>
      </c>
      <c r="H643" s="77">
        <f>H644</f>
        <v>1276.76</v>
      </c>
    </row>
    <row r="644" spans="1:11" s="6" customFormat="1" ht="25.5">
      <c r="A644" s="180"/>
      <c r="B644" s="186"/>
      <c r="C644" s="52"/>
      <c r="D644" s="79" t="s">
        <v>208</v>
      </c>
      <c r="E644" s="81" t="s">
        <v>1127</v>
      </c>
      <c r="F644" s="155"/>
      <c r="G644" s="156" t="s">
        <v>51</v>
      </c>
      <c r="H644" s="49">
        <f>ROUND(F648,2)</f>
        <v>1276.76</v>
      </c>
    </row>
    <row r="645" spans="1:11" ht="38.25">
      <c r="A645" s="45"/>
      <c r="B645" s="220"/>
      <c r="C645" s="168"/>
      <c r="D645" s="221"/>
      <c r="E645" s="195" t="s">
        <v>1128</v>
      </c>
      <c r="F645" s="58"/>
      <c r="G645" s="222"/>
      <c r="H645" s="223"/>
      <c r="I645" s="6"/>
    </row>
    <row r="646" spans="1:11" ht="12.75" customHeight="1">
      <c r="A646" s="45"/>
      <c r="B646" s="220"/>
      <c r="C646" s="168"/>
      <c r="D646" s="221"/>
      <c r="E646" s="195" t="s">
        <v>1129</v>
      </c>
      <c r="F646" s="58">
        <v>640.94000000000005</v>
      </c>
      <c r="G646" s="222"/>
      <c r="H646" s="223"/>
      <c r="I646" s="6"/>
    </row>
    <row r="647" spans="1:11" ht="12.75" customHeight="1">
      <c r="A647" s="45"/>
      <c r="B647" s="220"/>
      <c r="C647" s="168"/>
      <c r="D647" s="221"/>
      <c r="E647" s="195" t="s">
        <v>1081</v>
      </c>
      <c r="F647" s="55">
        <v>635.82000000000005</v>
      </c>
      <c r="G647" s="222"/>
      <c r="H647" s="223"/>
      <c r="I647" s="6"/>
    </row>
    <row r="648" spans="1:11" ht="12.75" customHeight="1">
      <c r="A648" s="45"/>
      <c r="B648" s="220"/>
      <c r="C648" s="168"/>
      <c r="D648" s="221"/>
      <c r="E648" s="173"/>
      <c r="F648" s="58">
        <f>SUM(F646:F647)</f>
        <v>1276.7600000000002</v>
      </c>
      <c r="G648" s="222"/>
      <c r="H648" s="223"/>
      <c r="I648" s="6"/>
    </row>
    <row r="649" spans="1:11" s="6" customFormat="1" ht="15">
      <c r="A649" s="152">
        <f>MAX(A$2:A648)+1</f>
        <v>65</v>
      </c>
      <c r="B649" s="199" t="s">
        <v>149</v>
      </c>
      <c r="C649" s="51" t="s">
        <v>190</v>
      </c>
      <c r="D649" s="240"/>
      <c r="E649" s="213" t="s">
        <v>191</v>
      </c>
      <c r="F649" s="106"/>
      <c r="G649" s="76" t="s">
        <v>51</v>
      </c>
      <c r="H649" s="77">
        <f>H650+H658</f>
        <v>1404.4299999999998</v>
      </c>
      <c r="K649" s="62"/>
    </row>
    <row r="650" spans="1:11" s="6" customFormat="1">
      <c r="A650" s="180"/>
      <c r="B650" s="181"/>
      <c r="C650" s="52"/>
      <c r="D650" s="241" t="s">
        <v>1130</v>
      </c>
      <c r="E650" s="242" t="s">
        <v>1131</v>
      </c>
      <c r="F650" s="179"/>
      <c r="G650" s="83" t="s">
        <v>51</v>
      </c>
      <c r="H650" s="49">
        <f>ROUND(F654,2)</f>
        <v>705.03</v>
      </c>
    </row>
    <row r="651" spans="1:11">
      <c r="A651" s="45"/>
      <c r="B651" s="209"/>
      <c r="C651" s="211"/>
      <c r="D651" s="84"/>
      <c r="E651" s="31" t="s">
        <v>1132</v>
      </c>
      <c r="F651" s="50">
        <v>640.94000000000005</v>
      </c>
      <c r="G651" s="212" t="s">
        <v>451</v>
      </c>
      <c r="H651" s="172"/>
    </row>
    <row r="652" spans="1:11">
      <c r="A652" s="45"/>
      <c r="B652" s="209"/>
      <c r="C652" s="211"/>
      <c r="D652" s="84"/>
      <c r="E652" s="31" t="s">
        <v>1133</v>
      </c>
      <c r="F652" s="50"/>
      <c r="G652" s="212"/>
      <c r="H652" s="172"/>
    </row>
    <row r="653" spans="1:11">
      <c r="A653" s="45"/>
      <c r="B653" s="209"/>
      <c r="C653" s="211"/>
      <c r="D653" s="84"/>
      <c r="E653" s="31" t="s">
        <v>1134</v>
      </c>
      <c r="F653" s="55">
        <f>0.1*640.94</f>
        <v>64.094000000000008</v>
      </c>
      <c r="G653" s="212"/>
      <c r="H653" s="172"/>
    </row>
    <row r="654" spans="1:11" ht="12.75" customHeight="1">
      <c r="A654" s="45"/>
      <c r="B654" s="220"/>
      <c r="C654" s="168"/>
      <c r="D654" s="221"/>
      <c r="E654" s="173" t="s">
        <v>411</v>
      </c>
      <c r="F654" s="50">
        <f>F651+F653</f>
        <v>705.03400000000011</v>
      </c>
      <c r="G654" s="222"/>
      <c r="H654" s="223"/>
    </row>
    <row r="655" spans="1:11">
      <c r="A655" s="45"/>
      <c r="B655" s="209"/>
      <c r="C655" s="211"/>
      <c r="D655" s="84"/>
      <c r="E655" s="31" t="s">
        <v>1483</v>
      </c>
      <c r="F655" s="50"/>
      <c r="G655" s="212"/>
      <c r="H655" s="172"/>
    </row>
    <row r="656" spans="1:11">
      <c r="A656" s="45"/>
      <c r="B656" s="209"/>
      <c r="C656" s="211"/>
      <c r="D656" s="84"/>
      <c r="E656" s="31" t="s">
        <v>1136</v>
      </c>
      <c r="F656" s="50"/>
      <c r="G656" s="212"/>
      <c r="H656" s="172"/>
    </row>
    <row r="657" spans="1:8" ht="25.5">
      <c r="A657" s="45"/>
      <c r="B657" s="209"/>
      <c r="C657" s="211"/>
      <c r="D657" s="84"/>
      <c r="E657" s="31" t="s">
        <v>1137</v>
      </c>
      <c r="F657" s="50"/>
      <c r="G657" s="212"/>
      <c r="H657" s="172"/>
    </row>
    <row r="658" spans="1:8" s="6" customFormat="1">
      <c r="A658" s="180"/>
      <c r="B658" s="181"/>
      <c r="C658" s="51" t="s">
        <v>451</v>
      </c>
      <c r="D658" s="241" t="s">
        <v>1138</v>
      </c>
      <c r="E658" s="242" t="s">
        <v>1139</v>
      </c>
      <c r="F658" s="179"/>
      <c r="G658" s="83" t="s">
        <v>51</v>
      </c>
      <c r="H658" s="49">
        <f>ROUND(F662,2)</f>
        <v>699.4</v>
      </c>
    </row>
    <row r="659" spans="1:8" ht="25.5">
      <c r="A659" s="45"/>
      <c r="B659" s="209"/>
      <c r="C659" s="211"/>
      <c r="D659" s="84"/>
      <c r="E659" s="31" t="s">
        <v>1140</v>
      </c>
      <c r="F659" s="50">
        <v>635.82000000000005</v>
      </c>
      <c r="G659" s="212"/>
      <c r="H659" s="172"/>
    </row>
    <row r="660" spans="1:8">
      <c r="A660" s="45"/>
      <c r="B660" s="209"/>
      <c r="C660" s="211"/>
      <c r="D660" s="84"/>
      <c r="E660" s="31" t="s">
        <v>1133</v>
      </c>
      <c r="F660" s="50"/>
      <c r="G660" s="212"/>
      <c r="H660" s="172"/>
    </row>
    <row r="661" spans="1:8">
      <c r="A661" s="45"/>
      <c r="B661" s="209"/>
      <c r="C661" s="211"/>
      <c r="D661" s="84"/>
      <c r="E661" s="31" t="s">
        <v>1141</v>
      </c>
      <c r="F661" s="55">
        <f>0.1*635.82</f>
        <v>63.582000000000008</v>
      </c>
      <c r="G661" s="212"/>
      <c r="H661" s="172"/>
    </row>
    <row r="662" spans="1:8" ht="12.75" customHeight="1">
      <c r="A662" s="45"/>
      <c r="B662" s="220"/>
      <c r="C662" s="168"/>
      <c r="D662" s="221"/>
      <c r="E662" s="173" t="s">
        <v>411</v>
      </c>
      <c r="F662" s="50">
        <f>SUM(F659:F661)</f>
        <v>699.40200000000004</v>
      </c>
      <c r="G662" s="222"/>
      <c r="H662" s="223"/>
    </row>
    <row r="663" spans="1:8">
      <c r="A663" s="45"/>
      <c r="B663" s="209"/>
      <c r="C663" s="211"/>
      <c r="D663" s="243"/>
      <c r="E663" s="235" t="s">
        <v>1135</v>
      </c>
      <c r="F663" s="50"/>
      <c r="G663" s="212"/>
      <c r="H663" s="172"/>
    </row>
    <row r="664" spans="1:8" ht="25.5">
      <c r="A664" s="45"/>
      <c r="B664" s="209"/>
      <c r="C664" s="211"/>
      <c r="D664" s="243"/>
      <c r="E664" s="235" t="s">
        <v>1142</v>
      </c>
      <c r="F664" s="50"/>
      <c r="G664" s="212"/>
      <c r="H664" s="172"/>
    </row>
    <row r="665" spans="1:8" ht="25.5">
      <c r="A665" s="45"/>
      <c r="B665" s="209"/>
      <c r="C665" s="211"/>
      <c r="D665" s="243"/>
      <c r="E665" s="235" t="s">
        <v>1143</v>
      </c>
      <c r="F665" s="58"/>
      <c r="G665" s="212"/>
      <c r="H665" s="172"/>
    </row>
    <row r="666" spans="1:8" ht="25.5">
      <c r="A666" s="45"/>
      <c r="B666" s="209"/>
      <c r="C666" s="211"/>
      <c r="D666" s="243"/>
      <c r="E666" s="235" t="s">
        <v>1144</v>
      </c>
      <c r="F666" s="58"/>
      <c r="G666" s="212"/>
      <c r="H666" s="172"/>
    </row>
    <row r="667" spans="1:8" ht="25.5">
      <c r="A667" s="45"/>
      <c r="B667" s="209"/>
      <c r="C667" s="211"/>
      <c r="D667" s="243"/>
      <c r="E667" s="235" t="s">
        <v>1145</v>
      </c>
      <c r="F667" s="58"/>
      <c r="G667" s="212"/>
      <c r="H667" s="172"/>
    </row>
    <row r="668" spans="1:8" ht="51">
      <c r="A668" s="45"/>
      <c r="B668" s="209"/>
      <c r="C668" s="211"/>
      <c r="D668" s="243"/>
      <c r="E668" s="235" t="s">
        <v>1146</v>
      </c>
      <c r="F668" s="50"/>
      <c r="G668" s="212"/>
      <c r="H668" s="172"/>
    </row>
    <row r="669" spans="1:8" s="6" customFormat="1" ht="25.5">
      <c r="A669" s="152">
        <f>MAX(A$2:A668)+1</f>
        <v>66</v>
      </c>
      <c r="B669" s="199" t="s">
        <v>149</v>
      </c>
      <c r="C669" s="51" t="s">
        <v>210</v>
      </c>
      <c r="D669" s="240"/>
      <c r="E669" s="213" t="s">
        <v>211</v>
      </c>
      <c r="F669" s="106"/>
      <c r="G669" s="76" t="s">
        <v>33</v>
      </c>
      <c r="H669" s="77">
        <f>H670</f>
        <v>43.8</v>
      </c>
    </row>
    <row r="670" spans="1:8" s="62" customFormat="1" ht="12.75" customHeight="1">
      <c r="A670" s="152"/>
      <c r="B670" s="244"/>
      <c r="C670" s="245"/>
      <c r="D670" s="246" t="s">
        <v>210</v>
      </c>
      <c r="E670" s="247" t="s">
        <v>211</v>
      </c>
      <c r="F670" s="155"/>
      <c r="G670" s="83" t="s">
        <v>33</v>
      </c>
      <c r="H670" s="49">
        <f>ROUND(F672,2)</f>
        <v>43.8</v>
      </c>
    </row>
    <row r="671" spans="1:8" ht="25.5">
      <c r="A671" s="45"/>
      <c r="B671" s="209"/>
      <c r="C671" s="248"/>
      <c r="D671" s="241"/>
      <c r="E671" s="235" t="s">
        <v>1147</v>
      </c>
      <c r="F671" s="50"/>
      <c r="G671" s="212"/>
      <c r="H671" s="172"/>
    </row>
    <row r="672" spans="1:8" ht="25.5">
      <c r="A672" s="45"/>
      <c r="B672" s="209"/>
      <c r="C672" s="248"/>
      <c r="D672" s="79"/>
      <c r="E672" s="31" t="s">
        <v>1148</v>
      </c>
      <c r="F672" s="50">
        <f>(2*1.5*(1.31+3.98+3.94+2.24+1.09+2.31+2.21+1.05+2.21+3.88+3.86+1.12))*0.5</f>
        <v>43.800000000000004</v>
      </c>
      <c r="G672" s="212"/>
      <c r="H672" s="172"/>
    </row>
    <row r="673" spans="1:8" s="6" customFormat="1" ht="25.5">
      <c r="A673" s="152">
        <f>MAX(A$2:A672)+1</f>
        <v>67</v>
      </c>
      <c r="B673" s="199" t="s">
        <v>149</v>
      </c>
      <c r="C673" s="51" t="s">
        <v>212</v>
      </c>
      <c r="D673" s="240"/>
      <c r="E673" s="213" t="s">
        <v>213</v>
      </c>
      <c r="F673" s="106"/>
      <c r="G673" s="76" t="s">
        <v>33</v>
      </c>
      <c r="H673" s="77">
        <f>H674</f>
        <v>24694.560000000001</v>
      </c>
    </row>
    <row r="674" spans="1:8" s="62" customFormat="1" ht="12.75" customHeight="1">
      <c r="A674" s="152"/>
      <c r="B674" s="244"/>
      <c r="C674" s="245"/>
      <c r="D674" s="246" t="s">
        <v>1149</v>
      </c>
      <c r="E674" s="247" t="s">
        <v>1150</v>
      </c>
      <c r="F674" s="155"/>
      <c r="G674" s="83" t="s">
        <v>33</v>
      </c>
      <c r="H674" s="49">
        <f>ROUND(F681,2)</f>
        <v>24694.560000000001</v>
      </c>
    </row>
    <row r="675" spans="1:8" ht="25.5">
      <c r="A675" s="45"/>
      <c r="B675" s="209"/>
      <c r="C675" s="248"/>
      <c r="D675" s="241"/>
      <c r="E675" s="235" t="s">
        <v>1151</v>
      </c>
      <c r="F675" s="50"/>
      <c r="G675" s="212"/>
      <c r="H675" s="172"/>
    </row>
    <row r="676" spans="1:8">
      <c r="A676" s="45"/>
      <c r="B676" s="209"/>
      <c r="C676" s="248"/>
      <c r="D676" s="241"/>
      <c r="E676" s="235" t="s">
        <v>1152</v>
      </c>
      <c r="F676" s="50">
        <f>630.34*(12.65+2)*2.5</f>
        <v>23086.202500000003</v>
      </c>
      <c r="G676" s="212"/>
      <c r="H676" s="172"/>
    </row>
    <row r="677" spans="1:8">
      <c r="A677" s="45"/>
      <c r="B677" s="209"/>
      <c r="C677" s="248"/>
      <c r="D677" s="241"/>
      <c r="E677" s="235" t="s">
        <v>1153</v>
      </c>
      <c r="F677" s="50"/>
      <c r="G677" s="212"/>
      <c r="H677" s="172"/>
    </row>
    <row r="678" spans="1:8" ht="25.5">
      <c r="A678" s="45"/>
      <c r="B678" s="209"/>
      <c r="C678" s="248"/>
      <c r="D678" s="241"/>
      <c r="E678" s="235" t="s">
        <v>1154</v>
      </c>
      <c r="F678" s="50">
        <f>((1+1.8+1)*(1+13+1)-1.8*13)*(10.2-2.5+10.1-2.5+9.8-2.5+9.5-2.5+8*1)</f>
        <v>1263.3599999999997</v>
      </c>
      <c r="G678" s="212"/>
      <c r="H678" s="172"/>
    </row>
    <row r="679" spans="1:8">
      <c r="A679" s="45"/>
      <c r="B679" s="209"/>
      <c r="C679" s="248"/>
      <c r="D679" s="241"/>
      <c r="E679" s="235" t="s">
        <v>1155</v>
      </c>
      <c r="F679" s="50"/>
      <c r="G679" s="212"/>
      <c r="H679" s="172"/>
    </row>
    <row r="680" spans="1:8">
      <c r="A680" s="45"/>
      <c r="B680" s="209"/>
      <c r="C680" s="248"/>
      <c r="D680" s="241"/>
      <c r="E680" s="235" t="s">
        <v>1156</v>
      </c>
      <c r="F680" s="55">
        <f>((2.6+1+1)*(9.2+1+1)-2.6*9.2)*(6+7.3+6.7-3*2.5)</f>
        <v>345</v>
      </c>
      <c r="G680" s="212"/>
      <c r="H680" s="172"/>
    </row>
    <row r="681" spans="1:8">
      <c r="A681" s="45"/>
      <c r="B681" s="209"/>
      <c r="C681" s="248"/>
      <c r="D681" s="241"/>
      <c r="E681" s="249" t="s">
        <v>411</v>
      </c>
      <c r="F681" s="50">
        <f>F676+F678+F680</f>
        <v>24694.562500000004</v>
      </c>
      <c r="G681" s="212"/>
      <c r="H681" s="172"/>
    </row>
    <row r="682" spans="1:8" ht="25.5">
      <c r="A682" s="152">
        <f>MAX(A$2:A681)+1</f>
        <v>68</v>
      </c>
      <c r="B682" s="199" t="s">
        <v>149</v>
      </c>
      <c r="C682" s="240" t="s">
        <v>214</v>
      </c>
      <c r="D682" s="102"/>
      <c r="E682" s="183" t="s">
        <v>215</v>
      </c>
      <c r="F682" s="155"/>
      <c r="G682" s="34" t="s">
        <v>44</v>
      </c>
      <c r="H682" s="77">
        <f>H683</f>
        <v>21.79</v>
      </c>
    </row>
    <row r="683" spans="1:8" ht="25.5">
      <c r="A683" s="180"/>
      <c r="B683" s="186"/>
      <c r="C683" s="240"/>
      <c r="D683" s="79" t="s">
        <v>214</v>
      </c>
      <c r="E683" s="81" t="s">
        <v>215</v>
      </c>
      <c r="F683" s="155"/>
      <c r="G683" s="156" t="s">
        <v>44</v>
      </c>
      <c r="H683" s="49">
        <f>ROUND(F685,2)</f>
        <v>21.79</v>
      </c>
    </row>
    <row r="684" spans="1:8" ht="12.75" customHeight="1">
      <c r="A684" s="45"/>
      <c r="B684" s="209"/>
      <c r="C684" s="248"/>
      <c r="D684" s="241"/>
      <c r="E684" s="235" t="s">
        <v>1157</v>
      </c>
      <c r="F684" s="50"/>
      <c r="G684" s="212"/>
      <c r="H684" s="172"/>
    </row>
    <row r="685" spans="1:8" ht="12.75" customHeight="1">
      <c r="A685" s="45"/>
      <c r="B685" s="209"/>
      <c r="C685" s="248"/>
      <c r="D685" s="241"/>
      <c r="E685" s="235" t="s">
        <v>1158</v>
      </c>
      <c r="F685" s="50">
        <f>(1529.722+528.041+17.308+19.342+8596.3+11102.3)*0.001</f>
        <v>21.793012999999998</v>
      </c>
      <c r="G685" s="212"/>
      <c r="H685" s="172"/>
    </row>
    <row r="686" spans="1:8" ht="25.5">
      <c r="A686" s="152">
        <f>MAX(A$2:A685)+1</f>
        <v>69</v>
      </c>
      <c r="B686" s="199" t="s">
        <v>149</v>
      </c>
      <c r="C686" s="240" t="s">
        <v>216</v>
      </c>
      <c r="D686" s="102"/>
      <c r="E686" s="183" t="s">
        <v>217</v>
      </c>
      <c r="F686" s="155"/>
      <c r="G686" s="34" t="s">
        <v>30</v>
      </c>
      <c r="H686" s="77">
        <f>H687</f>
        <v>0.73</v>
      </c>
    </row>
    <row r="687" spans="1:8" ht="25.5">
      <c r="A687" s="180"/>
      <c r="B687" s="186"/>
      <c r="C687" s="240"/>
      <c r="D687" s="79" t="s">
        <v>216</v>
      </c>
      <c r="E687" s="81" t="s">
        <v>217</v>
      </c>
      <c r="F687" s="155"/>
      <c r="G687" s="156" t="s">
        <v>30</v>
      </c>
      <c r="H687" s="49">
        <f>ROUND(F694,2)</f>
        <v>0.73</v>
      </c>
    </row>
    <row r="688" spans="1:8" ht="25.5">
      <c r="A688" s="45"/>
      <c r="B688" s="209"/>
      <c r="C688" s="248"/>
      <c r="D688" s="241"/>
      <c r="E688" s="235" t="s">
        <v>1159</v>
      </c>
      <c r="F688" s="50"/>
      <c r="G688" s="212"/>
      <c r="H688" s="172"/>
    </row>
    <row r="689" spans="1:9" ht="38.25">
      <c r="A689" s="45"/>
      <c r="B689" s="209"/>
      <c r="C689" s="248"/>
      <c r="D689" s="241"/>
      <c r="E689" s="235" t="s">
        <v>741</v>
      </c>
      <c r="F689" s="50">
        <f xml:space="preserve"> (1.5*(0.8+0.25)+1.5*(1.985+0.15)+1.5*(0.8+0.25)+1.5*(0.77+0.15))*0.006*7.87</f>
        <v>0.36512865000000005</v>
      </c>
      <c r="G689" s="212"/>
      <c r="H689" s="172"/>
    </row>
    <row r="690" spans="1:9" ht="38.25">
      <c r="A690" s="45"/>
      <c r="B690" s="209"/>
      <c r="C690" s="248"/>
      <c r="D690" s="241"/>
      <c r="E690" s="235" t="s">
        <v>1160</v>
      </c>
      <c r="F690" s="55">
        <f>(1.5*(0.8+0.25)+1.5*(1.81+0.15)+1.5*(0.8+0.25)+1.5*(0.77+0.15))*0.006*7.87</f>
        <v>0.35273340000000003</v>
      </c>
      <c r="G690" s="212"/>
      <c r="H690" s="172"/>
    </row>
    <row r="691" spans="1:9" ht="12.75" customHeight="1">
      <c r="A691" s="45"/>
      <c r="B691" s="186"/>
      <c r="C691" s="240"/>
      <c r="D691" s="241"/>
      <c r="E691" s="249" t="s">
        <v>421</v>
      </c>
      <c r="F691" s="50">
        <f>SUM(F689:F690)</f>
        <v>0.71786205000000014</v>
      </c>
      <c r="G691" s="212"/>
      <c r="H691" s="172"/>
    </row>
    <row r="692" spans="1:9" ht="38.25">
      <c r="A692" s="45"/>
      <c r="B692" s="186"/>
      <c r="C692" s="240"/>
      <c r="D692" s="241"/>
      <c r="E692" s="235" t="s">
        <v>1161</v>
      </c>
      <c r="F692" s="50"/>
      <c r="G692" s="212"/>
      <c r="H692" s="172"/>
    </row>
    <row r="693" spans="1:9" ht="25.5">
      <c r="A693" s="45"/>
      <c r="B693" s="186"/>
      <c r="C693" s="240"/>
      <c r="D693" s="241"/>
      <c r="E693" s="235" t="s">
        <v>1162</v>
      </c>
      <c r="F693" s="55">
        <f xml:space="preserve"> (0.2*0.3*2+0.3*0.6*2+0.2*0.6)*0.003*7.87</f>
        <v>1.4166E-2</v>
      </c>
      <c r="G693" s="212"/>
      <c r="H693" s="172"/>
    </row>
    <row r="694" spans="1:9" ht="12.75" customHeight="1">
      <c r="A694" s="45"/>
      <c r="B694" s="186"/>
      <c r="C694" s="240"/>
      <c r="D694" s="241"/>
      <c r="E694" s="249" t="s">
        <v>411</v>
      </c>
      <c r="F694" s="50">
        <f>F691+F693</f>
        <v>0.73202805000000015</v>
      </c>
      <c r="G694" s="212"/>
      <c r="H694" s="172"/>
    </row>
    <row r="695" spans="1:9" s="207" customFormat="1" ht="31.5">
      <c r="A695" s="180"/>
      <c r="B695" s="46" t="s">
        <v>223</v>
      </c>
      <c r="C695" s="202"/>
      <c r="D695" s="203"/>
      <c r="E695" s="186" t="s">
        <v>1163</v>
      </c>
      <c r="F695" s="204"/>
      <c r="G695" s="205"/>
      <c r="H695" s="206"/>
    </row>
    <row r="696" spans="1:9" s="62" customFormat="1" ht="12.75" customHeight="1">
      <c r="A696" s="152">
        <f>MAX(A$2:A695)+1</f>
        <v>70</v>
      </c>
      <c r="B696" s="199" t="s">
        <v>223</v>
      </c>
      <c r="C696" s="51" t="s">
        <v>224</v>
      </c>
      <c r="D696" s="52"/>
      <c r="E696" s="53" t="s">
        <v>225</v>
      </c>
      <c r="F696" s="50"/>
      <c r="G696" s="76" t="s">
        <v>51</v>
      </c>
      <c r="H696" s="77">
        <f>H697</f>
        <v>1034</v>
      </c>
    </row>
    <row r="697" spans="1:9" s="62" customFormat="1" ht="12.75" customHeight="1">
      <c r="A697" s="152"/>
      <c r="B697" s="244"/>
      <c r="C697" s="250"/>
      <c r="D697" s="79" t="s">
        <v>1164</v>
      </c>
      <c r="E697" s="91" t="s">
        <v>1165</v>
      </c>
      <c r="F697" s="92"/>
      <c r="G697" s="83" t="s">
        <v>51</v>
      </c>
      <c r="H697" s="49">
        <f>F701</f>
        <v>1034</v>
      </c>
      <c r="I697" s="207"/>
    </row>
    <row r="698" spans="1:9" s="62" customFormat="1" ht="12.75" customHeight="1">
      <c r="A698" s="152"/>
      <c r="B698" s="244"/>
      <c r="C698" s="250"/>
      <c r="D698" s="246"/>
      <c r="E698" s="235" t="s">
        <v>1166</v>
      </c>
      <c r="F698" s="251"/>
      <c r="G698" s="83"/>
      <c r="H698" s="49"/>
    </row>
    <row r="699" spans="1:9" s="62" customFormat="1" ht="12.75" customHeight="1">
      <c r="A699" s="152"/>
      <c r="B699" s="244"/>
      <c r="C699" s="250"/>
      <c r="D699" s="246"/>
      <c r="E699" s="235" t="s">
        <v>1167</v>
      </c>
      <c r="F699" s="50">
        <v>892</v>
      </c>
      <c r="G699" s="83"/>
      <c r="H699" s="49"/>
    </row>
    <row r="700" spans="1:9" s="62" customFormat="1" ht="12.75" customHeight="1">
      <c r="A700" s="152"/>
      <c r="B700" s="244"/>
      <c r="C700" s="250"/>
      <c r="D700" s="246"/>
      <c r="E700" s="235" t="s">
        <v>1168</v>
      </c>
      <c r="F700" s="55">
        <v>142</v>
      </c>
      <c r="G700" s="83"/>
      <c r="H700" s="49"/>
    </row>
    <row r="701" spans="1:9" s="62" customFormat="1" ht="12.75" customHeight="1">
      <c r="A701" s="152"/>
      <c r="B701" s="244"/>
      <c r="C701" s="250"/>
      <c r="D701" s="246"/>
      <c r="E701" s="235"/>
      <c r="F701" s="252">
        <f>SUM(F699:F700)</f>
        <v>1034</v>
      </c>
      <c r="G701" s="83"/>
      <c r="H701" s="49"/>
    </row>
    <row r="702" spans="1:9" s="207" customFormat="1" ht="31.5">
      <c r="A702" s="180"/>
      <c r="B702" s="46" t="s">
        <v>227</v>
      </c>
      <c r="C702" s="202"/>
      <c r="D702" s="203"/>
      <c r="E702" s="186" t="s">
        <v>559</v>
      </c>
      <c r="F702" s="204"/>
      <c r="G702" s="205"/>
      <c r="H702" s="206"/>
    </row>
    <row r="703" spans="1:9" s="6" customFormat="1" ht="25.5" customHeight="1">
      <c r="A703" s="152">
        <f>MAX(A$2:A702)+1</f>
        <v>71</v>
      </c>
      <c r="B703" s="253" t="s">
        <v>227</v>
      </c>
      <c r="C703" s="52" t="s">
        <v>230</v>
      </c>
      <c r="D703" s="102"/>
      <c r="E703" s="183" t="s">
        <v>231</v>
      </c>
      <c r="F703" s="155"/>
      <c r="G703" s="34" t="s">
        <v>44</v>
      </c>
      <c r="H703" s="77">
        <f>H704</f>
        <v>6485.18</v>
      </c>
    </row>
    <row r="704" spans="1:9" s="6" customFormat="1" ht="38.25">
      <c r="A704" s="180"/>
      <c r="B704" s="186"/>
      <c r="C704" s="52"/>
      <c r="D704" s="102" t="s">
        <v>1169</v>
      </c>
      <c r="E704" s="128" t="s">
        <v>1170</v>
      </c>
      <c r="F704" s="155"/>
      <c r="G704" s="156" t="s">
        <v>44</v>
      </c>
      <c r="H704" s="49">
        <f>ROUND(F709,2)</f>
        <v>6485.18</v>
      </c>
      <c r="I704" s="207"/>
    </row>
    <row r="705" spans="1:9" s="6" customFormat="1">
      <c r="A705" s="180"/>
      <c r="B705" s="181"/>
      <c r="C705" s="250"/>
      <c r="D705" s="185"/>
      <c r="E705" s="235" t="s">
        <v>1171</v>
      </c>
      <c r="F705" s="155"/>
      <c r="G705" s="156"/>
      <c r="H705" s="49"/>
    </row>
    <row r="706" spans="1:9" s="62" customFormat="1" ht="14.25" customHeight="1">
      <c r="A706" s="152"/>
      <c r="B706" s="244"/>
      <c r="C706" s="250"/>
      <c r="D706" s="246"/>
      <c r="E706" s="235" t="s">
        <v>1172</v>
      </c>
      <c r="F706" s="50"/>
      <c r="G706" s="83"/>
      <c r="H706" s="49"/>
    </row>
    <row r="707" spans="1:9" s="62" customFormat="1" ht="12.75" customHeight="1">
      <c r="A707" s="152"/>
      <c r="B707" s="244"/>
      <c r="C707" s="250"/>
      <c r="D707" s="246"/>
      <c r="E707" s="235" t="s">
        <v>1173</v>
      </c>
      <c r="F707" s="50">
        <f xml:space="preserve"> (271.3+1)*10.25</f>
        <v>2791.0750000000003</v>
      </c>
      <c r="G707" s="83" t="s">
        <v>451</v>
      </c>
      <c r="H707" s="49"/>
    </row>
    <row r="708" spans="1:9" s="62" customFormat="1" ht="12.75" customHeight="1">
      <c r="A708" s="152"/>
      <c r="B708" s="244"/>
      <c r="C708" s="250"/>
      <c r="D708" s="246"/>
      <c r="E708" s="235" t="s">
        <v>1174</v>
      </c>
      <c r="F708" s="55">
        <f>(359.4+1)*10.25</f>
        <v>3694.1</v>
      </c>
      <c r="G708" s="83" t="s">
        <v>451</v>
      </c>
      <c r="H708" s="49"/>
    </row>
    <row r="709" spans="1:9" ht="12.75" customHeight="1">
      <c r="A709" s="45"/>
      <c r="B709" s="220"/>
      <c r="C709" s="168"/>
      <c r="D709" s="221"/>
      <c r="E709" s="173" t="s">
        <v>421</v>
      </c>
      <c r="F709" s="50">
        <f>F707+F708</f>
        <v>6485.1750000000002</v>
      </c>
      <c r="G709" s="222"/>
      <c r="H709" s="223"/>
    </row>
    <row r="710" spans="1:9" ht="38.25">
      <c r="A710" s="152">
        <f>MAX(A$2:A709)+1</f>
        <v>72</v>
      </c>
      <c r="B710" s="253" t="s">
        <v>227</v>
      </c>
      <c r="C710" s="51" t="s">
        <v>232</v>
      </c>
      <c r="D710" s="52"/>
      <c r="E710" s="53" t="s">
        <v>1175</v>
      </c>
      <c r="F710" s="75"/>
      <c r="G710" s="76" t="s">
        <v>44</v>
      </c>
      <c r="H710" s="254">
        <f>H711</f>
        <v>6485.18</v>
      </c>
    </row>
    <row r="711" spans="1:9" ht="38.25">
      <c r="A711" s="45"/>
      <c r="B711" s="220"/>
      <c r="C711" s="102"/>
      <c r="D711" s="79" t="s">
        <v>1176</v>
      </c>
      <c r="E711" s="91" t="s">
        <v>1177</v>
      </c>
      <c r="F711" s="92"/>
      <c r="G711" s="83" t="s">
        <v>44</v>
      </c>
      <c r="H711" s="49">
        <f>ROUND(F715,2)</f>
        <v>6485.18</v>
      </c>
    </row>
    <row r="712" spans="1:9" s="62" customFormat="1" ht="14.25" customHeight="1">
      <c r="A712" s="152"/>
      <c r="B712" s="244"/>
      <c r="C712" s="250"/>
      <c r="D712" s="246"/>
      <c r="E712" s="235" t="s">
        <v>1178</v>
      </c>
      <c r="F712" s="50"/>
      <c r="G712" s="83"/>
      <c r="H712" s="49"/>
    </row>
    <row r="713" spans="1:9" s="62" customFormat="1" ht="12.75" customHeight="1">
      <c r="A713" s="152"/>
      <c r="B713" s="244"/>
      <c r="C713" s="250"/>
      <c r="D713" s="246"/>
      <c r="E713" s="235" t="s">
        <v>1179</v>
      </c>
      <c r="F713" s="50">
        <f>10.25*(271.3+1)</f>
        <v>2791.0750000000003</v>
      </c>
      <c r="G713" s="83"/>
      <c r="H713" s="49"/>
    </row>
    <row r="714" spans="1:9" s="62" customFormat="1" ht="12.75" customHeight="1">
      <c r="A714" s="152"/>
      <c r="B714" s="244"/>
      <c r="C714" s="250"/>
      <c r="D714" s="246"/>
      <c r="E714" s="235" t="s">
        <v>1180</v>
      </c>
      <c r="F714" s="55">
        <f>10.25*(359.4+1)</f>
        <v>3694.1</v>
      </c>
      <c r="G714" s="83"/>
      <c r="H714" s="49"/>
    </row>
    <row r="715" spans="1:9" ht="12.75" customHeight="1">
      <c r="A715" s="45"/>
      <c r="B715" s="220"/>
      <c r="C715" s="168"/>
      <c r="D715" s="221"/>
      <c r="E715" s="173" t="s">
        <v>411</v>
      </c>
      <c r="F715" s="50">
        <f>F713+F714</f>
        <v>6485.1750000000002</v>
      </c>
      <c r="G715" s="222"/>
      <c r="H715" s="223"/>
    </row>
    <row r="716" spans="1:9" s="6" customFormat="1" ht="25.5">
      <c r="A716" s="152">
        <f>MAX(A$2:A715)+1</f>
        <v>73</v>
      </c>
      <c r="B716" s="253" t="s">
        <v>227</v>
      </c>
      <c r="C716" s="52" t="s">
        <v>236</v>
      </c>
      <c r="D716" s="102"/>
      <c r="E716" s="183" t="s">
        <v>237</v>
      </c>
      <c r="F716" s="155"/>
      <c r="G716" s="34" t="s">
        <v>33</v>
      </c>
      <c r="H716" s="77">
        <f>H717</f>
        <v>255.94</v>
      </c>
    </row>
    <row r="717" spans="1:9" s="6" customFormat="1" ht="25.5">
      <c r="A717" s="180"/>
      <c r="B717" s="186"/>
      <c r="C717" s="52"/>
      <c r="D717" s="102" t="s">
        <v>579</v>
      </c>
      <c r="E717" s="128" t="s">
        <v>1181</v>
      </c>
      <c r="F717" s="155"/>
      <c r="G717" s="156" t="s">
        <v>33</v>
      </c>
      <c r="H717" s="49">
        <f>ROUND(F722,2)</f>
        <v>255.94</v>
      </c>
      <c r="I717" s="207"/>
    </row>
    <row r="718" spans="1:9" s="62" customFormat="1" ht="12.75" customHeight="1">
      <c r="A718" s="152"/>
      <c r="B718" s="244"/>
      <c r="C718" s="250"/>
      <c r="D718" s="246"/>
      <c r="E718" s="235" t="s">
        <v>1182</v>
      </c>
      <c r="F718" s="50"/>
      <c r="G718" s="83"/>
      <c r="H718" s="49"/>
    </row>
    <row r="719" spans="1:9" s="62" customFormat="1" ht="12.75" customHeight="1">
      <c r="A719" s="152"/>
      <c r="B719" s="244"/>
      <c r="C719" s="250"/>
      <c r="D719" s="246"/>
      <c r="E719" s="235" t="s">
        <v>1183</v>
      </c>
      <c r="F719" s="50"/>
      <c r="G719" s="83"/>
      <c r="H719" s="49"/>
    </row>
    <row r="720" spans="1:9" s="62" customFormat="1" ht="12.75" customHeight="1">
      <c r="A720" s="152"/>
      <c r="B720" s="244"/>
      <c r="C720" s="250"/>
      <c r="D720" s="246"/>
      <c r="E720" s="235" t="s">
        <v>1184</v>
      </c>
      <c r="F720" s="50">
        <f>(271.3*10.25-271.3*0.02*2-10.21*1*2)*0.04</f>
        <v>109.98212000000001</v>
      </c>
      <c r="G720" s="83" t="s">
        <v>451</v>
      </c>
      <c r="H720" s="49"/>
    </row>
    <row r="721" spans="1:9" s="62" customFormat="1" ht="12.75" customHeight="1">
      <c r="A721" s="152"/>
      <c r="B721" s="244"/>
      <c r="C721" s="250"/>
      <c r="D721" s="246"/>
      <c r="E721" s="235" t="s">
        <v>1185</v>
      </c>
      <c r="F721" s="55">
        <f>(359.4*10.25-359.4*0.02*2-10.21*1*2)*0.04</f>
        <v>145.96215999999998</v>
      </c>
      <c r="G721" s="83" t="s">
        <v>451</v>
      </c>
      <c r="H721" s="49"/>
    </row>
    <row r="722" spans="1:9" ht="12.75" customHeight="1">
      <c r="A722" s="45"/>
      <c r="B722" s="220"/>
      <c r="C722" s="168"/>
      <c r="D722" s="221"/>
      <c r="E722" s="173" t="s">
        <v>411</v>
      </c>
      <c r="F722" s="50">
        <f>F721+F720</f>
        <v>255.94427999999999</v>
      </c>
      <c r="G722" s="222"/>
      <c r="H722" s="223"/>
    </row>
    <row r="723" spans="1:9" s="6" customFormat="1" ht="25.5">
      <c r="A723" s="152">
        <f>MAX(A$2:A722)+1</f>
        <v>74</v>
      </c>
      <c r="B723" s="255" t="s">
        <v>227</v>
      </c>
      <c r="C723" s="51" t="s">
        <v>238</v>
      </c>
      <c r="D723" s="88"/>
      <c r="E723" s="105" t="s">
        <v>239</v>
      </c>
      <c r="F723" s="106"/>
      <c r="G723" s="34" t="s">
        <v>33</v>
      </c>
      <c r="H723" s="77">
        <f>H724</f>
        <v>7.44</v>
      </c>
    </row>
    <row r="724" spans="1:9" s="6" customFormat="1" ht="25.5">
      <c r="A724" s="180"/>
      <c r="B724" s="186"/>
      <c r="C724" s="52"/>
      <c r="D724" s="243" t="s">
        <v>1186</v>
      </c>
      <c r="E724" s="242" t="s">
        <v>1187</v>
      </c>
      <c r="F724" s="179"/>
      <c r="G724" s="156" t="s">
        <v>33</v>
      </c>
      <c r="H724" s="49">
        <f>ROUND(F727,2)</f>
        <v>7.44</v>
      </c>
      <c r="I724" s="207"/>
    </row>
    <row r="725" spans="1:9" s="62" customFormat="1" ht="25.5">
      <c r="A725" s="152"/>
      <c r="B725" s="244"/>
      <c r="C725" s="250"/>
      <c r="D725" s="246"/>
      <c r="E725" s="235" t="s">
        <v>1188</v>
      </c>
      <c r="F725" s="50"/>
      <c r="G725" s="83"/>
      <c r="H725" s="49"/>
    </row>
    <row r="726" spans="1:9" s="62" customFormat="1" ht="12.75" customHeight="1">
      <c r="A726" s="152"/>
      <c r="B726" s="244"/>
      <c r="C726" s="250"/>
      <c r="D726" s="246"/>
      <c r="E726" s="235" t="s">
        <v>1189</v>
      </c>
      <c r="F726" s="50"/>
      <c r="G726" s="83"/>
      <c r="H726" s="49"/>
    </row>
    <row r="727" spans="1:9" s="62" customFormat="1" ht="25.5">
      <c r="A727" s="152"/>
      <c r="B727" s="244"/>
      <c r="C727" s="250"/>
      <c r="D727" s="246"/>
      <c r="E727" s="235" t="s">
        <v>1190</v>
      </c>
      <c r="F727" s="50">
        <f>0.1*0.045*(10+10+10+269.09+358.25)+0.43*0.43*0.06*42+0.06*(0.53+2*0.165+2*0.33)*44</f>
        <v>7.4367780000000003</v>
      </c>
      <c r="G727" s="83"/>
      <c r="H727" s="49"/>
    </row>
    <row r="728" spans="1:9" s="62" customFormat="1" ht="25.5">
      <c r="A728" s="152">
        <f>MAX(A$2:A727)+1</f>
        <v>75</v>
      </c>
      <c r="B728" s="253" t="s">
        <v>227</v>
      </c>
      <c r="C728" s="52" t="s">
        <v>240</v>
      </c>
      <c r="D728" s="102"/>
      <c r="E728" s="183" t="s">
        <v>241</v>
      </c>
      <c r="F728" s="155"/>
      <c r="G728" s="34" t="s">
        <v>33</v>
      </c>
      <c r="H728" s="77">
        <f>(+H729)</f>
        <v>322.20999999999998</v>
      </c>
      <c r="I728" s="6"/>
    </row>
    <row r="729" spans="1:9" s="62" customFormat="1" ht="25.5">
      <c r="A729" s="180"/>
      <c r="B729" s="186"/>
      <c r="C729" s="52"/>
      <c r="D729" s="102" t="s">
        <v>1191</v>
      </c>
      <c r="E729" s="128" t="s">
        <v>1192</v>
      </c>
      <c r="F729" s="155"/>
      <c r="G729" s="156" t="s">
        <v>33</v>
      </c>
      <c r="H729" s="49">
        <f>ROUND(F743,2)</f>
        <v>322.20999999999998</v>
      </c>
      <c r="I729" s="207"/>
    </row>
    <row r="730" spans="1:9" s="62" customFormat="1" ht="12.75" customHeight="1">
      <c r="A730" s="152"/>
      <c r="B730" s="244"/>
      <c r="C730" s="250"/>
      <c r="D730" s="246"/>
      <c r="E730" s="235" t="s">
        <v>1193</v>
      </c>
      <c r="F730" s="50"/>
      <c r="G730" s="83"/>
      <c r="H730" s="49"/>
    </row>
    <row r="731" spans="1:9" s="62" customFormat="1" ht="12.75" customHeight="1">
      <c r="A731" s="152"/>
      <c r="B731" s="244"/>
      <c r="C731" s="250"/>
      <c r="D731" s="246"/>
      <c r="E731" s="235" t="s">
        <v>1194</v>
      </c>
      <c r="F731" s="50">
        <f>(271.3*10.21-10.21*2)*0.045*1.1</f>
        <v>136.10287350000002</v>
      </c>
      <c r="G731" s="83"/>
      <c r="H731" s="49"/>
    </row>
    <row r="732" spans="1:9" s="62" customFormat="1" ht="12.75" customHeight="1">
      <c r="A732" s="152"/>
      <c r="B732" s="244"/>
      <c r="C732" s="250"/>
      <c r="D732" s="246"/>
      <c r="E732" s="235" t="s">
        <v>1195</v>
      </c>
      <c r="F732" s="55">
        <f>(359.4*10.21-10.21*2)*0.045*1.1</f>
        <v>180.628173</v>
      </c>
      <c r="G732" s="83"/>
      <c r="H732" s="49"/>
    </row>
    <row r="733" spans="1:9" ht="12.75" customHeight="1">
      <c r="A733" s="45"/>
      <c r="B733" s="220"/>
      <c r="C733" s="168"/>
      <c r="D733" s="221"/>
      <c r="E733" s="173" t="s">
        <v>421</v>
      </c>
      <c r="F733" s="50">
        <f>F732+F731</f>
        <v>316.73104650000005</v>
      </c>
      <c r="G733" s="222"/>
      <c r="H733" s="223"/>
    </row>
    <row r="734" spans="1:9" s="62" customFormat="1" ht="25.5">
      <c r="A734" s="152"/>
      <c r="B734" s="244"/>
      <c r="C734" s="250"/>
      <c r="D734" s="246"/>
      <c r="E734" s="235" t="s">
        <v>1196</v>
      </c>
      <c r="F734" s="50"/>
      <c r="G734" s="83"/>
      <c r="H734" s="49"/>
    </row>
    <row r="735" spans="1:9" s="62" customFormat="1" ht="12.75" customHeight="1">
      <c r="A735" s="152"/>
      <c r="B735" s="244"/>
      <c r="C735" s="250"/>
      <c r="D735" s="246"/>
      <c r="E735" s="235" t="s">
        <v>1197</v>
      </c>
      <c r="F735" s="50">
        <f>10.21*1*3*0.045*1.1</f>
        <v>1.5161850000000001</v>
      </c>
      <c r="G735" s="83" t="s">
        <v>451</v>
      </c>
      <c r="H735" s="49"/>
    </row>
    <row r="736" spans="1:9" s="62" customFormat="1" ht="12.75" customHeight="1">
      <c r="A736" s="152"/>
      <c r="B736" s="244"/>
      <c r="C736" s="250"/>
      <c r="D736" s="246"/>
      <c r="E736" s="235" t="s">
        <v>1198</v>
      </c>
      <c r="F736" s="55">
        <f>10.21*1*3*0.045*1.1</f>
        <v>1.5161850000000001</v>
      </c>
      <c r="G736" s="83" t="s">
        <v>451</v>
      </c>
      <c r="H736" s="49"/>
    </row>
    <row r="737" spans="1:11" s="62" customFormat="1" ht="12.75" customHeight="1">
      <c r="A737" s="45"/>
      <c r="B737" s="220"/>
      <c r="C737" s="168"/>
      <c r="D737" s="221"/>
      <c r="E737" s="173" t="s">
        <v>421</v>
      </c>
      <c r="F737" s="50">
        <f>F736+F735</f>
        <v>3.0323700000000002</v>
      </c>
      <c r="G737" s="222"/>
      <c r="H737" s="223"/>
    </row>
    <row r="738" spans="1:11" s="62" customFormat="1" ht="12.75" customHeight="1">
      <c r="A738" s="45"/>
      <c r="B738" s="220"/>
      <c r="C738" s="168"/>
      <c r="D738" s="221"/>
      <c r="E738" s="173" t="s">
        <v>1199</v>
      </c>
      <c r="F738" s="50">
        <f>F733+F737</f>
        <v>319.76341650000006</v>
      </c>
      <c r="G738" s="222"/>
      <c r="H738" s="223"/>
    </row>
    <row r="739" spans="1:11" s="62" customFormat="1" ht="12.75" customHeight="1">
      <c r="A739" s="152"/>
      <c r="B739" s="244"/>
      <c r="C739" s="250"/>
      <c r="D739" s="246"/>
      <c r="E739" s="235" t="s">
        <v>1200</v>
      </c>
      <c r="F739" s="50"/>
      <c r="G739" s="83"/>
      <c r="H739" s="49"/>
    </row>
    <row r="740" spans="1:11" s="62" customFormat="1" ht="12.75" customHeight="1">
      <c r="A740" s="152"/>
      <c r="B740" s="244"/>
      <c r="C740" s="250"/>
      <c r="D740" s="246"/>
      <c r="E740" s="235" t="s">
        <v>1201</v>
      </c>
      <c r="F740" s="50">
        <f>10.21*1*3*0.04</f>
        <v>1.2252000000000001</v>
      </c>
      <c r="G740" s="83" t="s">
        <v>451</v>
      </c>
      <c r="H740" s="49"/>
    </row>
    <row r="741" spans="1:11" s="62" customFormat="1" ht="12.75" customHeight="1">
      <c r="A741" s="152"/>
      <c r="B741" s="244"/>
      <c r="C741" s="250"/>
      <c r="D741" s="246"/>
      <c r="E741" s="235" t="s">
        <v>1202</v>
      </c>
      <c r="F741" s="55">
        <f>10.21*1*3*0.04</f>
        <v>1.2252000000000001</v>
      </c>
      <c r="G741" s="83" t="s">
        <v>451</v>
      </c>
      <c r="H741" s="49"/>
    </row>
    <row r="742" spans="1:11" s="62" customFormat="1" ht="12.75" customHeight="1">
      <c r="A742" s="45"/>
      <c r="B742" s="220"/>
      <c r="C742" s="168"/>
      <c r="D742" s="221"/>
      <c r="E742" s="173" t="s">
        <v>421</v>
      </c>
      <c r="F742" s="50">
        <f>F741+F740</f>
        <v>2.4504000000000001</v>
      </c>
      <c r="G742" s="222"/>
      <c r="H742" s="223"/>
    </row>
    <row r="743" spans="1:11" s="62" customFormat="1" ht="12.75" customHeight="1">
      <c r="A743" s="45"/>
      <c r="B743" s="220"/>
      <c r="C743" s="168"/>
      <c r="D743" s="221"/>
      <c r="E743" s="173" t="s">
        <v>411</v>
      </c>
      <c r="F743" s="50">
        <f>F738+F742</f>
        <v>322.21381650000006</v>
      </c>
      <c r="G743" s="222"/>
      <c r="H743" s="223"/>
    </row>
    <row r="744" spans="1:11" s="6" customFormat="1" ht="25.5">
      <c r="A744" s="152">
        <f>MAX(A$2:A743)+1</f>
        <v>76</v>
      </c>
      <c r="B744" s="255" t="s">
        <v>227</v>
      </c>
      <c r="C744" s="157" t="s">
        <v>244</v>
      </c>
      <c r="D744" s="240"/>
      <c r="E744" s="213" t="s">
        <v>245</v>
      </c>
      <c r="F744" s="106"/>
      <c r="G744" s="34" t="s">
        <v>51</v>
      </c>
      <c r="H744" s="77">
        <f>H745+H753</f>
        <v>4091.95</v>
      </c>
    </row>
    <row r="745" spans="1:11" s="6" customFormat="1" ht="25.5">
      <c r="A745" s="180"/>
      <c r="B745" s="186"/>
      <c r="C745" s="240"/>
      <c r="D745" s="79" t="s">
        <v>1203</v>
      </c>
      <c r="E745" s="81" t="s">
        <v>1204</v>
      </c>
      <c r="F745" s="179"/>
      <c r="G745" s="156" t="s">
        <v>51</v>
      </c>
      <c r="H745" s="49">
        <f>ROUND(F749,2)</f>
        <v>1384.3</v>
      </c>
    </row>
    <row r="746" spans="1:11" s="62" customFormat="1" ht="25.5">
      <c r="A746" s="152"/>
      <c r="B746" s="244"/>
      <c r="C746" s="250"/>
      <c r="D746" s="246"/>
      <c r="E746" s="235" t="s">
        <v>1205</v>
      </c>
      <c r="F746" s="50">
        <f xml:space="preserve">  640.94+635.82</f>
        <v>1276.7600000000002</v>
      </c>
      <c r="G746" s="83"/>
      <c r="H746" s="49"/>
    </row>
    <row r="747" spans="1:11" s="62" customFormat="1" ht="25.5">
      <c r="A747" s="152"/>
      <c r="B747" s="244"/>
      <c r="C747" s="250"/>
      <c r="D747" s="246"/>
      <c r="E747" s="235" t="s">
        <v>1206</v>
      </c>
      <c r="F747" s="50">
        <f xml:space="preserve"> 10.21+10.21+4*2</f>
        <v>28.42</v>
      </c>
      <c r="G747" s="83"/>
      <c r="H747" s="49"/>
    </row>
    <row r="748" spans="1:11" s="62" customFormat="1" ht="25.5">
      <c r="A748" s="152"/>
      <c r="B748" s="244"/>
      <c r="C748" s="250"/>
      <c r="D748" s="246"/>
      <c r="E748" s="235" t="s">
        <v>1207</v>
      </c>
      <c r="F748" s="55">
        <f>46*(2*0.53+2*0.33)</f>
        <v>79.12</v>
      </c>
      <c r="G748" s="83"/>
      <c r="H748" s="49"/>
    </row>
    <row r="749" spans="1:11" ht="12.75" customHeight="1">
      <c r="A749" s="45"/>
      <c r="B749" s="220"/>
      <c r="C749" s="168"/>
      <c r="D749" s="221"/>
      <c r="E749" s="173" t="s">
        <v>421</v>
      </c>
      <c r="F749" s="50">
        <f>F746+F748+F747</f>
        <v>1384.3000000000002</v>
      </c>
      <c r="G749" s="222"/>
      <c r="H749" s="223"/>
      <c r="K749" s="62"/>
    </row>
    <row r="750" spans="1:11" ht="25.5">
      <c r="A750" s="45"/>
      <c r="B750" s="220"/>
      <c r="C750" s="168"/>
      <c r="D750" s="221"/>
      <c r="E750" s="235" t="s">
        <v>1208</v>
      </c>
      <c r="F750" s="58"/>
      <c r="G750" s="222"/>
      <c r="H750" s="223"/>
      <c r="K750" s="62"/>
    </row>
    <row r="751" spans="1:11" ht="12.75" customHeight="1">
      <c r="A751" s="45"/>
      <c r="B751" s="220"/>
      <c r="C751" s="168"/>
      <c r="D751" s="221"/>
      <c r="E751" s="235" t="s">
        <v>1209</v>
      </c>
      <c r="F751" s="58"/>
      <c r="G751" s="222"/>
      <c r="H751" s="223"/>
      <c r="K751" s="62"/>
    </row>
    <row r="752" spans="1:11" ht="12.75" customHeight="1">
      <c r="A752" s="45"/>
      <c r="B752" s="220"/>
      <c r="C752" s="168"/>
      <c r="D752" s="221"/>
      <c r="E752" s="235" t="s">
        <v>1210</v>
      </c>
      <c r="F752" s="58"/>
      <c r="G752" s="222"/>
      <c r="H752" s="223"/>
    </row>
    <row r="753" spans="1:11" s="6" customFormat="1" ht="25.5">
      <c r="A753" s="180"/>
      <c r="B753" s="186"/>
      <c r="C753" s="52"/>
      <c r="D753" s="84" t="s">
        <v>1211</v>
      </c>
      <c r="E753" s="81" t="s">
        <v>1212</v>
      </c>
      <c r="F753" s="179"/>
      <c r="G753" s="83" t="s">
        <v>51</v>
      </c>
      <c r="H753" s="49">
        <f>ROUND(F761,2)</f>
        <v>2707.65</v>
      </c>
      <c r="I753" s="256"/>
      <c r="J753" s="257"/>
      <c r="K753" s="258"/>
    </row>
    <row r="754" spans="1:11" s="62" customFormat="1" ht="25.5">
      <c r="A754" s="152"/>
      <c r="B754" s="244"/>
      <c r="C754" s="250"/>
      <c r="D754" s="246"/>
      <c r="E754" s="235" t="s">
        <v>1213</v>
      </c>
      <c r="F754" s="50">
        <f>3*2*10.25</f>
        <v>61.5</v>
      </c>
      <c r="G754" s="83"/>
      <c r="H754" s="49"/>
    </row>
    <row r="755" spans="1:11" s="62" customFormat="1" ht="25.5">
      <c r="A755" s="152"/>
      <c r="B755" s="244"/>
      <c r="C755" s="250"/>
      <c r="D755" s="246"/>
      <c r="E755" s="235" t="s">
        <v>1214</v>
      </c>
      <c r="F755" s="50">
        <f>10.21+10.21+4*2</f>
        <v>28.42</v>
      </c>
      <c r="G755" s="83"/>
      <c r="H755" s="49"/>
    </row>
    <row r="756" spans="1:11" s="62" customFormat="1" ht="25.5">
      <c r="A756" s="152"/>
      <c r="B756" s="244"/>
      <c r="C756" s="250"/>
      <c r="D756" s="246"/>
      <c r="E756" s="235" t="s">
        <v>1215</v>
      </c>
      <c r="F756" s="50"/>
      <c r="G756" s="83"/>
      <c r="H756" s="49"/>
    </row>
    <row r="757" spans="1:11" s="62" customFormat="1">
      <c r="A757" s="152"/>
      <c r="B757" s="244"/>
      <c r="C757" s="250"/>
      <c r="D757" s="246"/>
      <c r="E757" s="235" t="s">
        <v>1216</v>
      </c>
      <c r="F757" s="50">
        <f>12*3.14*0.072</f>
        <v>2.7129599999999998</v>
      </c>
      <c r="G757" s="83"/>
      <c r="H757" s="49"/>
    </row>
    <row r="758" spans="1:11" s="62" customFormat="1" ht="25.5">
      <c r="A758" s="152"/>
      <c r="B758" s="244"/>
      <c r="C758" s="250"/>
      <c r="D758" s="246"/>
      <c r="E758" s="235" t="s">
        <v>1217</v>
      </c>
      <c r="F758" s="50">
        <f>640.94+635.82</f>
        <v>1276.7600000000002</v>
      </c>
      <c r="G758" s="83"/>
      <c r="H758" s="49"/>
    </row>
    <row r="759" spans="1:11" s="62" customFormat="1" ht="25.5">
      <c r="A759" s="152"/>
      <c r="B759" s="244"/>
      <c r="C759" s="250"/>
      <c r="D759" s="246"/>
      <c r="E759" s="235" t="s">
        <v>1218</v>
      </c>
      <c r="F759" s="50">
        <f>640.94+635.82</f>
        <v>1276.7600000000002</v>
      </c>
      <c r="G759" s="83"/>
      <c r="H759" s="49"/>
    </row>
    <row r="760" spans="1:11" s="62" customFormat="1" ht="25.5">
      <c r="A760" s="152"/>
      <c r="B760" s="244"/>
      <c r="C760" s="250"/>
      <c r="D760" s="246"/>
      <c r="E760" s="235" t="s">
        <v>1219</v>
      </c>
      <c r="F760" s="55">
        <f>2*3*10.25</f>
        <v>61.5</v>
      </c>
      <c r="G760" s="83"/>
      <c r="H760" s="49"/>
    </row>
    <row r="761" spans="1:11" ht="12.75" customHeight="1">
      <c r="A761" s="45"/>
      <c r="B761" s="220"/>
      <c r="C761" s="168"/>
      <c r="D761" s="221"/>
      <c r="E761" s="173" t="s">
        <v>421</v>
      </c>
      <c r="F761" s="50">
        <f>F754+F755+F757+F758+F759+F760</f>
        <v>2707.6529600000003</v>
      </c>
      <c r="G761" s="222"/>
      <c r="H761" s="223"/>
    </row>
    <row r="762" spans="1:11" s="62" customFormat="1" ht="25.5">
      <c r="A762" s="152"/>
      <c r="B762" s="244"/>
      <c r="C762" s="250"/>
      <c r="D762" s="246"/>
      <c r="E762" s="235" t="s">
        <v>1220</v>
      </c>
      <c r="F762" s="50"/>
      <c r="G762" s="83"/>
      <c r="H762" s="49"/>
    </row>
    <row r="763" spans="1:11" s="62" customFormat="1">
      <c r="A763" s="152"/>
      <c r="B763" s="244"/>
      <c r="C763" s="250"/>
      <c r="D763" s="246"/>
      <c r="E763" s="235" t="s">
        <v>1221</v>
      </c>
      <c r="F763" s="50"/>
      <c r="G763" s="83"/>
      <c r="H763" s="49"/>
    </row>
    <row r="764" spans="1:11" s="62" customFormat="1">
      <c r="A764" s="152"/>
      <c r="B764" s="244"/>
      <c r="C764" s="250"/>
      <c r="D764" s="246"/>
      <c r="E764" s="235" t="s">
        <v>1222</v>
      </c>
      <c r="F764" s="50"/>
      <c r="G764" s="83"/>
      <c r="H764" s="49"/>
    </row>
    <row r="765" spans="1:11" s="62" customFormat="1" ht="25.5">
      <c r="A765" s="152"/>
      <c r="B765" s="244"/>
      <c r="C765" s="250"/>
      <c r="D765" s="246"/>
      <c r="E765" s="235" t="s">
        <v>1223</v>
      </c>
      <c r="F765" s="50"/>
      <c r="G765" s="83"/>
      <c r="H765" s="49"/>
    </row>
    <row r="766" spans="1:11" s="62" customFormat="1">
      <c r="A766" s="152"/>
      <c r="B766" s="244"/>
      <c r="C766" s="250"/>
      <c r="D766" s="246"/>
      <c r="E766" s="235" t="s">
        <v>1224</v>
      </c>
      <c r="F766" s="50"/>
      <c r="G766" s="83"/>
      <c r="H766" s="49"/>
    </row>
    <row r="767" spans="1:11" s="62" customFormat="1" ht="25.5">
      <c r="A767" s="152"/>
      <c r="B767" s="244"/>
      <c r="C767" s="250"/>
      <c r="D767" s="246"/>
      <c r="E767" s="235" t="s">
        <v>1225</v>
      </c>
      <c r="F767" s="58"/>
      <c r="G767" s="83"/>
      <c r="H767" s="49"/>
    </row>
    <row r="768" spans="1:11" s="62" customFormat="1">
      <c r="A768" s="152"/>
      <c r="B768" s="244"/>
      <c r="C768" s="250"/>
      <c r="D768" s="246"/>
      <c r="E768" s="235" t="s">
        <v>1226</v>
      </c>
      <c r="F768" s="58"/>
      <c r="G768" s="83"/>
      <c r="H768" s="49"/>
    </row>
    <row r="769" spans="1:9" ht="25.5">
      <c r="A769" s="152">
        <f>MAX(A$2:A761)+1</f>
        <v>77</v>
      </c>
      <c r="B769" s="255" t="s">
        <v>227</v>
      </c>
      <c r="C769" s="51" t="s">
        <v>246</v>
      </c>
      <c r="D769" s="52"/>
      <c r="E769" s="53" t="s">
        <v>247</v>
      </c>
      <c r="F769" s="75"/>
      <c r="G769" s="76" t="s">
        <v>44</v>
      </c>
      <c r="H769" s="77">
        <f>H770</f>
        <v>494.11</v>
      </c>
      <c r="I769" s="6"/>
    </row>
    <row r="770" spans="1:9" s="6" customFormat="1" ht="25.5">
      <c r="A770" s="180"/>
      <c r="B770" s="186"/>
      <c r="C770" s="52"/>
      <c r="D770" s="84" t="s">
        <v>246</v>
      </c>
      <c r="E770" s="81" t="s">
        <v>247</v>
      </c>
      <c r="F770" s="179"/>
      <c r="G770" s="83" t="s">
        <v>44</v>
      </c>
      <c r="H770" s="49">
        <f>ROUND(F775,2)</f>
        <v>494.11</v>
      </c>
      <c r="I770" s="406"/>
    </row>
    <row r="771" spans="1:9" ht="25.5">
      <c r="A771" s="45"/>
      <c r="B771" s="220"/>
      <c r="C771" s="168"/>
      <c r="D771" s="221"/>
      <c r="E771" s="31" t="s">
        <v>1227</v>
      </c>
      <c r="F771" s="58"/>
      <c r="G771" s="222"/>
      <c r="H771" s="223"/>
    </row>
    <row r="772" spans="1:9" ht="12.75" customHeight="1">
      <c r="A772" s="45"/>
      <c r="B772" s="220"/>
      <c r="C772" s="168"/>
      <c r="D772" s="221"/>
      <c r="E772" s="235" t="s">
        <v>1228</v>
      </c>
      <c r="F772" s="58">
        <f>53.59*1.215+(223.63+70.61+24.58)*1.08</f>
        <v>409.43745000000001</v>
      </c>
      <c r="G772" s="222"/>
      <c r="H772" s="223"/>
    </row>
    <row r="773" spans="1:9" ht="12.75" customHeight="1">
      <c r="A773" s="45"/>
      <c r="B773" s="220"/>
      <c r="C773" s="168"/>
      <c r="D773" s="221"/>
      <c r="E773" s="31" t="s">
        <v>1229</v>
      </c>
      <c r="F773" s="58"/>
      <c r="G773" s="222"/>
      <c r="H773" s="223"/>
    </row>
    <row r="774" spans="1:9" ht="12.75" customHeight="1">
      <c r="A774" s="45"/>
      <c r="B774" s="220"/>
      <c r="C774" s="168"/>
      <c r="D774" s="221"/>
      <c r="E774" s="31" t="s">
        <v>1230</v>
      </c>
      <c r="F774" s="55">
        <f>78.4*1.08</f>
        <v>84.672000000000011</v>
      </c>
      <c r="G774" s="222"/>
      <c r="H774" s="223"/>
    </row>
    <row r="775" spans="1:9" ht="12.75" customHeight="1">
      <c r="A775" s="45"/>
      <c r="B775" s="220"/>
      <c r="C775" s="168"/>
      <c r="D775" s="221"/>
      <c r="E775" s="173" t="s">
        <v>411</v>
      </c>
      <c r="F775" s="58">
        <f>SUM(F772:F774)</f>
        <v>494.10945000000004</v>
      </c>
      <c r="G775" s="222"/>
      <c r="H775" s="223"/>
    </row>
    <row r="776" spans="1:9" s="6" customFormat="1" ht="15">
      <c r="A776" s="152">
        <f>MAX(A$2:A775)+1</f>
        <v>78</v>
      </c>
      <c r="B776" s="255" t="s">
        <v>227</v>
      </c>
      <c r="C776" s="51" t="s">
        <v>248</v>
      </c>
      <c r="D776" s="88"/>
      <c r="E776" s="105" t="s">
        <v>249</v>
      </c>
      <c r="F776" s="106"/>
      <c r="G776" s="76" t="s">
        <v>51</v>
      </c>
      <c r="H776" s="77">
        <f>H777</f>
        <v>640.94000000000005</v>
      </c>
    </row>
    <row r="777" spans="1:9" s="6" customFormat="1">
      <c r="A777" s="180"/>
      <c r="B777" s="186"/>
      <c r="C777" s="52"/>
      <c r="D777" s="79" t="s">
        <v>1231</v>
      </c>
      <c r="E777" s="91" t="s">
        <v>1232</v>
      </c>
      <c r="F777" s="179"/>
      <c r="G777" s="83" t="s">
        <v>51</v>
      </c>
      <c r="H777" s="49">
        <f>F778</f>
        <v>640.94000000000005</v>
      </c>
      <c r="I777" s="406"/>
    </row>
    <row r="778" spans="1:9" s="62" customFormat="1">
      <c r="A778" s="152"/>
      <c r="B778" s="244"/>
      <c r="C778" s="250" t="s">
        <v>451</v>
      </c>
      <c r="D778" s="246"/>
      <c r="E778" s="235" t="s">
        <v>1233</v>
      </c>
      <c r="F778" s="50">
        <v>640.94000000000005</v>
      </c>
      <c r="G778" s="83" t="s">
        <v>451</v>
      </c>
      <c r="H778" s="49"/>
    </row>
    <row r="779" spans="1:9" ht="12.75" customHeight="1">
      <c r="A779" s="45"/>
      <c r="B779" s="220"/>
      <c r="C779" s="168"/>
      <c r="D779" s="221"/>
      <c r="E779" s="235" t="s">
        <v>1234</v>
      </c>
      <c r="F779" s="58"/>
      <c r="G779" s="222"/>
      <c r="H779" s="223"/>
    </row>
    <row r="780" spans="1:9" ht="12.75" customHeight="1">
      <c r="A780" s="45"/>
      <c r="B780" s="220"/>
      <c r="C780" s="168"/>
      <c r="D780" s="221"/>
      <c r="E780" s="235" t="s">
        <v>1235</v>
      </c>
      <c r="F780" s="58"/>
      <c r="G780" s="222"/>
      <c r="H780" s="223"/>
    </row>
    <row r="781" spans="1:9" ht="12.75" customHeight="1">
      <c r="A781" s="45"/>
      <c r="B781" s="220"/>
      <c r="C781" s="168"/>
      <c r="D781" s="221"/>
      <c r="E781" s="235" t="s">
        <v>1236</v>
      </c>
      <c r="F781" s="58"/>
      <c r="G781" s="222"/>
      <c r="H781" s="223"/>
    </row>
    <row r="782" spans="1:9" ht="12.75" customHeight="1">
      <c r="A782" s="45"/>
      <c r="B782" s="220"/>
      <c r="C782" s="168"/>
      <c r="D782" s="221"/>
      <c r="E782" s="235" t="s">
        <v>1237</v>
      </c>
      <c r="F782" s="58"/>
      <c r="G782" s="222"/>
      <c r="H782" s="223"/>
    </row>
    <row r="783" spans="1:9" ht="12.75" customHeight="1">
      <c r="A783" s="45"/>
      <c r="B783" s="220"/>
      <c r="C783" s="168"/>
      <c r="D783" s="221"/>
      <c r="E783" s="235" t="s">
        <v>1238</v>
      </c>
      <c r="F783" s="58"/>
      <c r="G783" s="222"/>
      <c r="H783" s="223"/>
    </row>
    <row r="784" spans="1:9" ht="12.75" customHeight="1">
      <c r="A784" s="45"/>
      <c r="B784" s="220"/>
      <c r="C784" s="168"/>
      <c r="D784" s="221"/>
      <c r="E784" s="235" t="s">
        <v>1239</v>
      </c>
      <c r="F784" s="58"/>
      <c r="G784" s="222"/>
      <c r="H784" s="223"/>
    </row>
    <row r="785" spans="1:9" ht="12.75" customHeight="1">
      <c r="A785" s="45"/>
      <c r="B785" s="220"/>
      <c r="C785" s="168"/>
      <c r="D785" s="221"/>
      <c r="E785" s="235" t="s">
        <v>1240</v>
      </c>
      <c r="F785" s="58"/>
      <c r="G785" s="222"/>
      <c r="H785" s="223"/>
    </row>
    <row r="786" spans="1:9" ht="12.75" customHeight="1">
      <c r="A786" s="45"/>
      <c r="B786" s="220"/>
      <c r="C786" s="168"/>
      <c r="D786" s="221"/>
      <c r="E786" s="235" t="s">
        <v>1241</v>
      </c>
      <c r="F786" s="58"/>
      <c r="G786" s="222"/>
      <c r="H786" s="223"/>
    </row>
    <row r="787" spans="1:9" ht="12.75" customHeight="1">
      <c r="A787" s="45"/>
      <c r="B787" s="220"/>
      <c r="C787" s="168"/>
      <c r="D787" s="221"/>
      <c r="E787" s="235" t="s">
        <v>1242</v>
      </c>
      <c r="F787" s="58"/>
      <c r="G787" s="222"/>
      <c r="H787" s="223"/>
    </row>
    <row r="788" spans="1:9" ht="12.75" customHeight="1">
      <c r="A788" s="45"/>
      <c r="B788" s="220"/>
      <c r="C788" s="168"/>
      <c r="D788" s="221"/>
      <c r="E788" s="235" t="s">
        <v>1243</v>
      </c>
      <c r="F788" s="58"/>
      <c r="G788" s="222"/>
      <c r="H788" s="223"/>
    </row>
    <row r="789" spans="1:9" ht="12.75" customHeight="1">
      <c r="A789" s="45"/>
      <c r="B789" s="220"/>
      <c r="C789" s="168"/>
      <c r="D789" s="221"/>
      <c r="E789" s="235" t="s">
        <v>1244</v>
      </c>
      <c r="F789" s="58"/>
      <c r="G789" s="222"/>
      <c r="H789" s="223"/>
    </row>
    <row r="790" spans="1:9" s="6" customFormat="1" ht="25.5">
      <c r="A790" s="152">
        <f>MAX(A$2:A778)+1</f>
        <v>79</v>
      </c>
      <c r="B790" s="255" t="s">
        <v>227</v>
      </c>
      <c r="C790" s="255" t="s">
        <v>266</v>
      </c>
      <c r="D790" s="259"/>
      <c r="E790" s="183" t="s">
        <v>267</v>
      </c>
      <c r="F790" s="82"/>
      <c r="G790" s="34" t="s">
        <v>72</v>
      </c>
      <c r="H790" s="77">
        <f>H791</f>
        <v>206</v>
      </c>
    </row>
    <row r="791" spans="1:9" s="6" customFormat="1" ht="25.5">
      <c r="A791" s="180"/>
      <c r="B791" s="186"/>
      <c r="C791" s="260"/>
      <c r="D791" s="233" t="s">
        <v>1245</v>
      </c>
      <c r="E791" s="128" t="s">
        <v>1246</v>
      </c>
      <c r="F791" s="232"/>
      <c r="G791" s="156" t="s">
        <v>72</v>
      </c>
      <c r="H791" s="49">
        <f>F796</f>
        <v>206</v>
      </c>
      <c r="I791" s="406"/>
    </row>
    <row r="792" spans="1:9" s="62" customFormat="1" ht="12.75" customHeight="1">
      <c r="A792" s="152"/>
      <c r="B792" s="244"/>
      <c r="C792" s="250"/>
      <c r="D792" s="246"/>
      <c r="E792" s="235" t="s">
        <v>1247</v>
      </c>
      <c r="F792" s="50"/>
      <c r="G792" s="83"/>
      <c r="H792" s="49"/>
    </row>
    <row r="793" spans="1:9" s="62" customFormat="1" ht="12.75" customHeight="1">
      <c r="A793" s="152"/>
      <c r="B793" s="244"/>
      <c r="C793" s="250"/>
      <c r="D793" s="246"/>
      <c r="E793" s="235" t="s">
        <v>1248</v>
      </c>
      <c r="F793" s="50">
        <f>2*37</f>
        <v>74</v>
      </c>
      <c r="G793" s="83" t="s">
        <v>451</v>
      </c>
      <c r="H793" s="49"/>
    </row>
    <row r="794" spans="1:9" ht="12.75" customHeight="1">
      <c r="A794" s="45"/>
      <c r="B794" s="220"/>
      <c r="C794" s="168"/>
      <c r="D794" s="221"/>
      <c r="E794" s="235" t="s">
        <v>1249</v>
      </c>
      <c r="F794" s="58"/>
      <c r="G794" s="222"/>
      <c r="H794" s="223"/>
    </row>
    <row r="795" spans="1:9" ht="12.75" customHeight="1">
      <c r="A795" s="45"/>
      <c r="B795" s="220"/>
      <c r="C795" s="168"/>
      <c r="D795" s="221"/>
      <c r="E795" s="235" t="s">
        <v>1250</v>
      </c>
      <c r="F795" s="55">
        <f>2*37+2*(4+8+8+4+5)</f>
        <v>132</v>
      </c>
      <c r="G795" s="222"/>
      <c r="H795" s="223"/>
    </row>
    <row r="796" spans="1:9" ht="12.75" customHeight="1">
      <c r="A796" s="45"/>
      <c r="B796" s="220"/>
      <c r="C796" s="168"/>
      <c r="D796" s="221"/>
      <c r="E796" s="173" t="s">
        <v>411</v>
      </c>
      <c r="F796" s="58">
        <f>F793+F795</f>
        <v>206</v>
      </c>
      <c r="G796" s="222"/>
      <c r="H796" s="223"/>
    </row>
    <row r="797" spans="1:9" ht="12.75" customHeight="1">
      <c r="A797" s="45"/>
      <c r="B797" s="220"/>
      <c r="C797" s="168"/>
      <c r="D797" s="221"/>
      <c r="E797" s="235" t="s">
        <v>1251</v>
      </c>
      <c r="F797" s="58"/>
      <c r="G797" s="222"/>
      <c r="H797" s="223"/>
    </row>
    <row r="798" spans="1:9" ht="12.75" customHeight="1">
      <c r="A798" s="45"/>
      <c r="B798" s="220"/>
      <c r="C798" s="168"/>
      <c r="D798" s="221"/>
      <c r="E798" s="235" t="s">
        <v>1252</v>
      </c>
      <c r="F798" s="58"/>
      <c r="G798" s="222"/>
      <c r="H798" s="223"/>
    </row>
    <row r="799" spans="1:9" s="6" customFormat="1" ht="25.5">
      <c r="A799" s="152">
        <f>MAX(A$2:A793)+1</f>
        <v>80</v>
      </c>
      <c r="B799" s="255" t="s">
        <v>227</v>
      </c>
      <c r="C799" s="51" t="s">
        <v>268</v>
      </c>
      <c r="D799" s="52"/>
      <c r="E799" s="105" t="s">
        <v>373</v>
      </c>
      <c r="F799" s="106"/>
      <c r="G799" s="76" t="s">
        <v>72</v>
      </c>
      <c r="H799" s="77">
        <f>H800</f>
        <v>3</v>
      </c>
    </row>
    <row r="800" spans="1:9" s="6" customFormat="1" ht="25.5">
      <c r="A800" s="180"/>
      <c r="B800" s="186"/>
      <c r="C800" s="51"/>
      <c r="D800" s="79" t="s">
        <v>1253</v>
      </c>
      <c r="E800" s="91" t="s">
        <v>1254</v>
      </c>
      <c r="F800" s="179"/>
      <c r="G800" s="83" t="s">
        <v>72</v>
      </c>
      <c r="H800" s="49">
        <f>F803</f>
        <v>3</v>
      </c>
      <c r="I800" s="406"/>
    </row>
    <row r="801" spans="1:9" s="62" customFormat="1" ht="12.75" customHeight="1">
      <c r="A801" s="152"/>
      <c r="B801" s="244"/>
      <c r="C801" s="250"/>
      <c r="D801" s="246"/>
      <c r="E801" s="235" t="s">
        <v>1255</v>
      </c>
      <c r="F801" s="50">
        <v>1</v>
      </c>
      <c r="G801" s="83"/>
      <c r="H801" s="49"/>
    </row>
    <row r="802" spans="1:9" s="62" customFormat="1" ht="12.75" customHeight="1">
      <c r="A802" s="152"/>
      <c r="B802" s="244"/>
      <c r="C802" s="250"/>
      <c r="D802" s="246"/>
      <c r="E802" s="235" t="s">
        <v>1256</v>
      </c>
      <c r="F802" s="55">
        <v>2</v>
      </c>
      <c r="G802" s="83"/>
      <c r="H802" s="49"/>
    </row>
    <row r="803" spans="1:9" ht="12.75" customHeight="1">
      <c r="A803" s="45"/>
      <c r="B803" s="220"/>
      <c r="C803" s="168"/>
      <c r="D803" s="221"/>
      <c r="E803" s="173" t="s">
        <v>411</v>
      </c>
      <c r="F803" s="50">
        <f>F801+F802</f>
        <v>3</v>
      </c>
      <c r="G803" s="222"/>
      <c r="H803" s="223"/>
    </row>
    <row r="804" spans="1:9" ht="12.75" customHeight="1">
      <c r="A804" s="152">
        <f>MAX(A$2:A803)+1</f>
        <v>81</v>
      </c>
      <c r="B804" s="255" t="s">
        <v>227</v>
      </c>
      <c r="C804" s="26" t="s">
        <v>272</v>
      </c>
      <c r="D804" s="261"/>
      <c r="E804" s="262" t="s">
        <v>273</v>
      </c>
      <c r="F804" s="33"/>
      <c r="G804" s="76" t="s">
        <v>51</v>
      </c>
      <c r="H804" s="77">
        <f>H805</f>
        <v>37.799999999999997</v>
      </c>
      <c r="I804" s="6"/>
    </row>
    <row r="805" spans="1:9" ht="12.75" customHeight="1">
      <c r="A805" s="180"/>
      <c r="B805" s="186"/>
      <c r="C805" s="260"/>
      <c r="D805" s="233" t="s">
        <v>1257</v>
      </c>
      <c r="E805" s="128" t="s">
        <v>1258</v>
      </c>
      <c r="F805" s="232"/>
      <c r="G805" s="156" t="s">
        <v>51</v>
      </c>
      <c r="H805" s="49">
        <f>ROUND(F811,2)</f>
        <v>37.799999999999997</v>
      </c>
    </row>
    <row r="806" spans="1:9" ht="25.5">
      <c r="A806" s="152"/>
      <c r="B806" s="244"/>
      <c r="C806" s="250"/>
      <c r="D806" s="246"/>
      <c r="E806" s="235" t="s">
        <v>1259</v>
      </c>
      <c r="F806" s="50">
        <v>8.8000000000000007</v>
      </c>
      <c r="G806" s="83" t="s">
        <v>451</v>
      </c>
      <c r="H806" s="49"/>
    </row>
    <row r="807" spans="1:9" ht="25.5">
      <c r="A807" s="152"/>
      <c r="B807" s="244"/>
      <c r="C807" s="250"/>
      <c r="D807" s="246"/>
      <c r="E807" s="235" t="s">
        <v>1260</v>
      </c>
      <c r="F807" s="50">
        <f>8.8+2*2+5.4</f>
        <v>18.200000000000003</v>
      </c>
      <c r="G807" s="83" t="s">
        <v>451</v>
      </c>
      <c r="H807" s="49"/>
    </row>
    <row r="808" spans="1:9" ht="25.5">
      <c r="A808" s="152"/>
      <c r="B808" s="244"/>
      <c r="C808" s="250"/>
      <c r="D808" s="246"/>
      <c r="E808" s="235" t="s">
        <v>1261</v>
      </c>
      <c r="F808" s="50">
        <v>3.6</v>
      </c>
      <c r="G808" s="83" t="s">
        <v>451</v>
      </c>
      <c r="H808" s="49"/>
    </row>
    <row r="809" spans="1:9" ht="25.5">
      <c r="A809" s="152"/>
      <c r="B809" s="244"/>
      <c r="C809" s="250"/>
      <c r="D809" s="246"/>
      <c r="E809" s="235" t="s">
        <v>1262</v>
      </c>
      <c r="F809" s="50"/>
      <c r="G809" s="83"/>
      <c r="H809" s="49"/>
    </row>
    <row r="810" spans="1:9" ht="12.75" customHeight="1">
      <c r="A810" s="152"/>
      <c r="B810" s="244"/>
      <c r="C810" s="250"/>
      <c r="D810" s="246"/>
      <c r="E810" s="235" t="s">
        <v>1263</v>
      </c>
      <c r="F810" s="55">
        <f>2*1.8+3.6</f>
        <v>7.2</v>
      </c>
      <c r="G810" s="83" t="s">
        <v>451</v>
      </c>
      <c r="H810" s="49"/>
    </row>
    <row r="811" spans="1:9" ht="12.75" customHeight="1">
      <c r="A811" s="45"/>
      <c r="B811" s="220"/>
      <c r="C811" s="168"/>
      <c r="D811" s="221"/>
      <c r="E811" s="173" t="s">
        <v>411</v>
      </c>
      <c r="F811" s="50">
        <f>SUM(F806:F810)</f>
        <v>37.800000000000004</v>
      </c>
      <c r="G811" s="222"/>
      <c r="H811" s="223"/>
    </row>
    <row r="812" spans="1:9" ht="25.5">
      <c r="A812" s="152">
        <f>MAX(A$2:A811)+1</f>
        <v>82</v>
      </c>
      <c r="B812" s="255" t="s">
        <v>227</v>
      </c>
      <c r="C812" s="51" t="s">
        <v>274</v>
      </c>
      <c r="D812" s="240"/>
      <c r="E812" s="199" t="s">
        <v>275</v>
      </c>
      <c r="F812" s="75"/>
      <c r="G812" s="76" t="s">
        <v>44</v>
      </c>
      <c r="H812" s="77">
        <f>H813</f>
        <v>141.88</v>
      </c>
      <c r="I812" s="6"/>
    </row>
    <row r="813" spans="1:9" ht="25.5">
      <c r="A813" s="45"/>
      <c r="B813" s="220"/>
      <c r="C813" s="102"/>
      <c r="D813" s="241" t="s">
        <v>1264</v>
      </c>
      <c r="E813" s="263" t="s">
        <v>1265</v>
      </c>
      <c r="F813" s="92"/>
      <c r="G813" s="83" t="s">
        <v>44</v>
      </c>
      <c r="H813" s="49">
        <f>ROUND(F815,2)</f>
        <v>141.88</v>
      </c>
    </row>
    <row r="814" spans="1:9" ht="25.5">
      <c r="A814" s="152"/>
      <c r="B814" s="244"/>
      <c r="C814" s="250"/>
      <c r="D814" s="246"/>
      <c r="E814" s="235" t="s">
        <v>1266</v>
      </c>
      <c r="F814" s="50"/>
      <c r="G814" s="83"/>
      <c r="H814" s="49"/>
    </row>
    <row r="815" spans="1:9" ht="25.5">
      <c r="A815" s="152"/>
      <c r="B815" s="264"/>
      <c r="C815" s="245"/>
      <c r="D815" s="246"/>
      <c r="E815" s="235" t="s">
        <v>1267</v>
      </c>
      <c r="F815" s="265">
        <f>(2.2*4+2.3*4+5.21*1.16+5.31*1.16)*2+(5.6*0.95+5.5*0.95)*2*2+(4*0.9+4.1*0.9)*4+2*6*2*(0.44*0.8)*1.2</f>
        <v>141.88399999999999</v>
      </c>
      <c r="G815" s="83"/>
      <c r="H815" s="49"/>
    </row>
    <row r="816" spans="1:9" s="207" customFormat="1" ht="31.5">
      <c r="A816" s="180"/>
      <c r="B816" s="161" t="s">
        <v>289</v>
      </c>
      <c r="C816" s="171"/>
      <c r="D816" s="203"/>
      <c r="E816" s="186" t="s">
        <v>1268</v>
      </c>
      <c r="F816" s="204"/>
      <c r="G816" s="205"/>
      <c r="H816" s="206"/>
    </row>
    <row r="817" spans="1:9" s="62" customFormat="1" ht="25.5">
      <c r="A817" s="266">
        <f>MAX(A$2:A816)+1</f>
        <v>83</v>
      </c>
      <c r="B817" s="255" t="s">
        <v>289</v>
      </c>
      <c r="C817" s="51" t="s">
        <v>290</v>
      </c>
      <c r="D817" s="88"/>
      <c r="E817" s="53" t="s">
        <v>291</v>
      </c>
      <c r="F817" s="106"/>
      <c r="G817" s="76" t="s">
        <v>33</v>
      </c>
      <c r="H817" s="77">
        <f>H818+H824</f>
        <v>17.45</v>
      </c>
      <c r="I817" s="6"/>
    </row>
    <row r="818" spans="1:9" s="62" customFormat="1" ht="25.5">
      <c r="A818" s="267"/>
      <c r="B818" s="203"/>
      <c r="C818" s="51"/>
      <c r="D818" s="230" t="s">
        <v>1269</v>
      </c>
      <c r="E818" s="231" t="s">
        <v>1270</v>
      </c>
      <c r="F818" s="234"/>
      <c r="G818" s="212" t="s">
        <v>33</v>
      </c>
      <c r="H818" s="49">
        <f>ROUND(F823,2)</f>
        <v>12.51</v>
      </c>
      <c r="I818" s="6"/>
    </row>
    <row r="819" spans="1:9" s="62" customFormat="1" ht="12.75" customHeight="1">
      <c r="A819" s="152"/>
      <c r="B819" s="244"/>
      <c r="C819" s="250"/>
      <c r="D819" s="246"/>
      <c r="E819" s="235" t="s">
        <v>1271</v>
      </c>
      <c r="F819" s="50"/>
      <c r="G819" s="83"/>
      <c r="H819" s="49"/>
    </row>
    <row r="820" spans="1:9" s="62" customFormat="1">
      <c r="A820" s="152"/>
      <c r="B820" s="244"/>
      <c r="C820" s="250"/>
      <c r="D820" s="246"/>
      <c r="E820" s="235" t="s">
        <v>1272</v>
      </c>
      <c r="F820" s="50">
        <f>10.25*6.1*0.1</f>
        <v>6.2525000000000004</v>
      </c>
      <c r="G820" s="83"/>
      <c r="H820" s="49"/>
    </row>
    <row r="821" spans="1:9" s="62" customFormat="1">
      <c r="A821" s="152"/>
      <c r="B821" s="244"/>
      <c r="C821" s="250"/>
      <c r="D821" s="246"/>
      <c r="E821" s="235" t="s">
        <v>1273</v>
      </c>
      <c r="F821" s="50"/>
      <c r="G821" s="83"/>
      <c r="H821" s="49"/>
    </row>
    <row r="822" spans="1:9" s="62" customFormat="1" ht="12.75" customHeight="1">
      <c r="A822" s="152"/>
      <c r="B822" s="244"/>
      <c r="C822" s="250"/>
      <c r="D822" s="246"/>
      <c r="E822" s="235" t="s">
        <v>1272</v>
      </c>
      <c r="F822" s="55">
        <f>10.25*6.1*0.1</f>
        <v>6.2525000000000004</v>
      </c>
      <c r="G822" s="83"/>
      <c r="H822" s="49"/>
    </row>
    <row r="823" spans="1:9" ht="12.75" customHeight="1">
      <c r="A823" s="45"/>
      <c r="B823" s="220"/>
      <c r="C823" s="168"/>
      <c r="D823" s="221"/>
      <c r="E823" s="173" t="s">
        <v>411</v>
      </c>
      <c r="F823" s="50">
        <f>F820+F822</f>
        <v>12.505000000000001</v>
      </c>
      <c r="G823" s="222"/>
      <c r="H823" s="223"/>
    </row>
    <row r="824" spans="1:9" s="62" customFormat="1" ht="25.5">
      <c r="A824" s="267"/>
      <c r="B824" s="203"/>
      <c r="C824" s="51"/>
      <c r="D824" s="84" t="s">
        <v>1274</v>
      </c>
      <c r="E824" s="81" t="s">
        <v>1275</v>
      </c>
      <c r="F824" s="179"/>
      <c r="G824" s="212" t="s">
        <v>33</v>
      </c>
      <c r="H824" s="49">
        <f>ROUND(F829,2)</f>
        <v>4.9400000000000004</v>
      </c>
      <c r="I824" s="406"/>
    </row>
    <row r="825" spans="1:9" s="62" customFormat="1" ht="12.75" customHeight="1">
      <c r="A825" s="152"/>
      <c r="B825" s="244"/>
      <c r="C825" s="250"/>
      <c r="D825" s="246"/>
      <c r="E825" s="235" t="s">
        <v>1276</v>
      </c>
      <c r="F825" s="50"/>
      <c r="G825" s="83"/>
      <c r="H825" s="49"/>
    </row>
    <row r="826" spans="1:9" s="62" customFormat="1" ht="25.5">
      <c r="A826" s="152"/>
      <c r="B826" s="244"/>
      <c r="C826" s="250"/>
      <c r="D826" s="246"/>
      <c r="E826" s="235" t="s">
        <v>1277</v>
      </c>
      <c r="F826" s="50">
        <f>0.1*((223.63+70.61+24.58)*1.08+53.59*1.215)*0.1</f>
        <v>4.0943745000000007</v>
      </c>
      <c r="G826" s="83" t="s">
        <v>451</v>
      </c>
      <c r="H826" s="49"/>
    </row>
    <row r="827" spans="1:9" s="62" customFormat="1">
      <c r="A827" s="152"/>
      <c r="B827" s="244"/>
      <c r="C827" s="250"/>
      <c r="D827" s="246"/>
      <c r="E827" s="235" t="s">
        <v>1278</v>
      </c>
      <c r="F827" s="50"/>
      <c r="G827" s="83"/>
      <c r="H827" s="49"/>
    </row>
    <row r="828" spans="1:9" s="62" customFormat="1" ht="12.75" customHeight="1">
      <c r="A828" s="152"/>
      <c r="B828" s="244"/>
      <c r="C828" s="250"/>
      <c r="D828" s="246"/>
      <c r="E828" s="235" t="s">
        <v>1279</v>
      </c>
      <c r="F828" s="55">
        <f>0.1*78.4*1.08*0.1</f>
        <v>0.84672000000000025</v>
      </c>
      <c r="G828" s="83" t="s">
        <v>451</v>
      </c>
      <c r="H828" s="49"/>
    </row>
    <row r="829" spans="1:9" ht="12.75" customHeight="1">
      <c r="A829" s="45"/>
      <c r="B829" s="220"/>
      <c r="C829" s="168"/>
      <c r="D829" s="221"/>
      <c r="E829" s="173" t="s">
        <v>411</v>
      </c>
      <c r="F829" s="50">
        <f>F826+F828</f>
        <v>4.9410945000000011</v>
      </c>
      <c r="G829" s="222"/>
      <c r="H829" s="223"/>
    </row>
    <row r="830" spans="1:9">
      <c r="A830" s="180"/>
      <c r="B830" s="46" t="s">
        <v>293</v>
      </c>
      <c r="C830" s="202"/>
      <c r="D830" s="203"/>
      <c r="E830" s="186" t="s">
        <v>1280</v>
      </c>
      <c r="F830" s="204"/>
      <c r="G830" s="205"/>
      <c r="H830" s="206"/>
    </row>
    <row r="831" spans="1:9" ht="25.5">
      <c r="A831" s="152">
        <f>MAX(A$2:A830)+1</f>
        <v>84</v>
      </c>
      <c r="B831" s="253" t="s">
        <v>293</v>
      </c>
      <c r="C831" s="51" t="s">
        <v>294</v>
      </c>
      <c r="D831" s="52"/>
      <c r="E831" s="105" t="s">
        <v>295</v>
      </c>
      <c r="F831" s="268"/>
      <c r="G831" s="76" t="s">
        <v>44</v>
      </c>
      <c r="H831" s="77">
        <f>H832</f>
        <v>32.729999999999997</v>
      </c>
      <c r="I831" s="6"/>
    </row>
    <row r="832" spans="1:9" ht="25.5">
      <c r="A832" s="180"/>
      <c r="B832" s="269"/>
      <c r="C832" s="52"/>
      <c r="D832" s="79" t="s">
        <v>1281</v>
      </c>
      <c r="E832" s="81" t="s">
        <v>1282</v>
      </c>
      <c r="F832" s="270"/>
      <c r="G832" s="156" t="s">
        <v>44</v>
      </c>
      <c r="H832" s="49">
        <f>ROUND(F833,2)</f>
        <v>32.729999999999997</v>
      </c>
    </row>
    <row r="833" spans="1:9" s="62" customFormat="1" ht="25.5">
      <c r="A833" s="152"/>
      <c r="B833" s="244"/>
      <c r="C833" s="250"/>
      <c r="D833" s="246"/>
      <c r="E833" s="235" t="s">
        <v>1283</v>
      </c>
      <c r="F833" s="50">
        <f>1.3*(12.53+12.65)</f>
        <v>32.734000000000002</v>
      </c>
      <c r="G833" s="83"/>
      <c r="H833" s="49"/>
    </row>
    <row r="834" spans="1:9" ht="15">
      <c r="A834" s="152">
        <f>MAX(A$2:A833)+1</f>
        <v>85</v>
      </c>
      <c r="B834" s="203" t="s">
        <v>293</v>
      </c>
      <c r="C834" s="51" t="s">
        <v>298</v>
      </c>
      <c r="D834" s="271"/>
      <c r="E834" s="272" t="s">
        <v>299</v>
      </c>
      <c r="F834" s="155"/>
      <c r="G834" s="52" t="s">
        <v>44</v>
      </c>
      <c r="H834" s="77">
        <f>H835</f>
        <v>9908.48</v>
      </c>
      <c r="I834" s="6"/>
    </row>
    <row r="835" spans="1:9" ht="25.5">
      <c r="A835" s="273"/>
      <c r="B835" s="274"/>
      <c r="C835" s="52"/>
      <c r="D835" s="241" t="s">
        <v>1284</v>
      </c>
      <c r="E835" s="275" t="s">
        <v>1285</v>
      </c>
      <c r="F835" s="155"/>
      <c r="G835" s="156" t="s">
        <v>44</v>
      </c>
      <c r="H835" s="49">
        <f>ROUND(F846,2)</f>
        <v>9908.48</v>
      </c>
    </row>
    <row r="836" spans="1:9" s="62" customFormat="1" ht="12.75" customHeight="1">
      <c r="A836" s="152"/>
      <c r="B836" s="244"/>
      <c r="C836" s="250"/>
      <c r="D836" s="246"/>
      <c r="E836" s="235" t="s">
        <v>1286</v>
      </c>
      <c r="F836" s="50"/>
      <c r="G836" s="83"/>
      <c r="H836" s="49"/>
    </row>
    <row r="837" spans="1:9" s="62" customFormat="1" ht="12.75" customHeight="1">
      <c r="A837" s="152"/>
      <c r="B837" s="244"/>
      <c r="C837" s="250"/>
      <c r="D837" s="246"/>
      <c r="E837" s="235" t="s">
        <v>1287</v>
      </c>
      <c r="F837" s="50">
        <f xml:space="preserve"> 271.3*12.53</f>
        <v>3399.3890000000001</v>
      </c>
      <c r="G837" s="83" t="s">
        <v>451</v>
      </c>
      <c r="H837" s="49"/>
    </row>
    <row r="838" spans="1:9" s="62" customFormat="1" ht="12.75" customHeight="1">
      <c r="A838" s="152"/>
      <c r="B838" s="244"/>
      <c r="C838" s="250"/>
      <c r="D838" s="246"/>
      <c r="E838" s="235" t="s">
        <v>1288</v>
      </c>
      <c r="F838" s="55">
        <f xml:space="preserve"> 359.4*12.65</f>
        <v>4546.41</v>
      </c>
      <c r="G838" s="83" t="s">
        <v>451</v>
      </c>
      <c r="H838" s="49"/>
    </row>
    <row r="839" spans="1:9" ht="12.75" customHeight="1">
      <c r="A839" s="45"/>
      <c r="B839" s="220"/>
      <c r="C839" s="168"/>
      <c r="D839" s="221"/>
      <c r="E839" s="173" t="s">
        <v>421</v>
      </c>
      <c r="F839" s="50">
        <f>F837+F838</f>
        <v>7945.799</v>
      </c>
      <c r="G839" s="222" t="s">
        <v>451</v>
      </c>
      <c r="H839" s="223"/>
    </row>
    <row r="840" spans="1:9" s="62" customFormat="1" ht="12.75" customHeight="1">
      <c r="A840" s="152"/>
      <c r="B840" s="244"/>
      <c r="C840" s="250"/>
      <c r="D840" s="246"/>
      <c r="E840" s="235" t="s">
        <v>1289</v>
      </c>
      <c r="F840" s="50"/>
      <c r="G840" s="83"/>
      <c r="H840" s="49"/>
    </row>
    <row r="841" spans="1:9" s="62" customFormat="1" ht="12.75" customHeight="1">
      <c r="A841" s="152"/>
      <c r="B841" s="244"/>
      <c r="C841" s="250"/>
      <c r="D841" s="246"/>
      <c r="E841" s="235" t="s">
        <v>1290</v>
      </c>
      <c r="F841" s="50">
        <f>1.3*(12.53+12.65)</f>
        <v>32.734000000000002</v>
      </c>
      <c r="G841" s="83" t="s">
        <v>451</v>
      </c>
      <c r="H841" s="49"/>
    </row>
    <row r="842" spans="1:9" s="62" customFormat="1" ht="12.75" customHeight="1">
      <c r="A842" s="152"/>
      <c r="B842" s="244"/>
      <c r="C842" s="250"/>
      <c r="D842" s="246"/>
      <c r="E842" s="235" t="s">
        <v>1291</v>
      </c>
      <c r="F842" s="50"/>
      <c r="G842" s="83"/>
      <c r="H842" s="49"/>
    </row>
    <row r="843" spans="1:9" s="62" customFormat="1" ht="12.75" customHeight="1">
      <c r="A843" s="152"/>
      <c r="B843" s="244"/>
      <c r="C843" s="250"/>
      <c r="D843" s="246"/>
      <c r="E843" s="235" t="s">
        <v>1292</v>
      </c>
      <c r="F843" s="50">
        <f>271.3*(0.3+0.8-0.04-0.05)+271.3*(0.3+2-0.25)</f>
        <v>830.178</v>
      </c>
      <c r="G843" s="83" t="s">
        <v>451</v>
      </c>
      <c r="H843" s="49"/>
    </row>
    <row r="844" spans="1:9" s="62" customFormat="1" ht="12.75" customHeight="1">
      <c r="A844" s="152"/>
      <c r="B844" s="244"/>
      <c r="C844" s="250"/>
      <c r="D844" s="246"/>
      <c r="E844" s="235" t="s">
        <v>1293</v>
      </c>
      <c r="F844" s="55">
        <f>359.4*(0.3+0.8-0.04-0.05)+359.4*(0.3+2-0.25)</f>
        <v>1099.7639999999999</v>
      </c>
      <c r="G844" s="83" t="s">
        <v>451</v>
      </c>
      <c r="H844" s="49"/>
    </row>
    <row r="845" spans="1:9" ht="12.75" customHeight="1">
      <c r="A845" s="45"/>
      <c r="B845" s="220"/>
      <c r="C845" s="168"/>
      <c r="D845" s="221"/>
      <c r="E845" s="173" t="s">
        <v>421</v>
      </c>
      <c r="F845" s="50">
        <f>F843+F844</f>
        <v>1929.942</v>
      </c>
      <c r="G845" s="222" t="s">
        <v>451</v>
      </c>
      <c r="H845" s="223"/>
    </row>
    <row r="846" spans="1:9" ht="12.75" customHeight="1">
      <c r="A846" s="45"/>
      <c r="B846" s="220"/>
      <c r="C846" s="168"/>
      <c r="D846" s="221"/>
      <c r="E846" s="173" t="s">
        <v>411</v>
      </c>
      <c r="F846" s="50">
        <f>F839+F841+F845</f>
        <v>9908.4750000000004</v>
      </c>
      <c r="G846" s="222" t="s">
        <v>451</v>
      </c>
      <c r="H846" s="223"/>
    </row>
    <row r="847" spans="1:9" ht="25.5">
      <c r="A847" s="152">
        <f>MAX(A$2:A846)+1</f>
        <v>86</v>
      </c>
      <c r="B847" s="203" t="s">
        <v>293</v>
      </c>
      <c r="C847" s="52" t="s">
        <v>296</v>
      </c>
      <c r="D847" s="276"/>
      <c r="E847" s="183" t="s">
        <v>297</v>
      </c>
      <c r="F847" s="155"/>
      <c r="G847" s="34" t="s">
        <v>44</v>
      </c>
      <c r="H847" s="77">
        <f>H848</f>
        <v>111.83</v>
      </c>
      <c r="I847" s="6"/>
    </row>
    <row r="848" spans="1:9" ht="25.5">
      <c r="A848" s="180"/>
      <c r="B848" s="186"/>
      <c r="C848" s="277"/>
      <c r="D848" s="102" t="s">
        <v>1294</v>
      </c>
      <c r="E848" s="128" t="s">
        <v>1295</v>
      </c>
      <c r="F848" s="232"/>
      <c r="G848" s="156" t="s">
        <v>44</v>
      </c>
      <c r="H848" s="49">
        <f>ROUND(F852,2)</f>
        <v>111.83</v>
      </c>
    </row>
    <row r="849" spans="1:11" s="62" customFormat="1" ht="25.5">
      <c r="A849" s="152"/>
      <c r="B849" s="244"/>
      <c r="C849" s="250"/>
      <c r="D849" s="246"/>
      <c r="E849" s="235" t="s">
        <v>1296</v>
      </c>
      <c r="F849" s="50"/>
      <c r="G849" s="83"/>
      <c r="H849" s="49"/>
    </row>
    <row r="850" spans="1:11" s="62" customFormat="1" ht="12.75" customHeight="1">
      <c r="A850" s="152"/>
      <c r="B850" s="244"/>
      <c r="C850" s="250"/>
      <c r="D850" s="246"/>
      <c r="E850" s="235" t="s">
        <v>1297</v>
      </c>
      <c r="F850" s="50">
        <f>5*10.21+0.3*10.21+3*2*0.3</f>
        <v>55.913000000000004</v>
      </c>
      <c r="G850" s="83"/>
      <c r="H850" s="49"/>
    </row>
    <row r="851" spans="1:11" s="62" customFormat="1" ht="12.75" customHeight="1">
      <c r="A851" s="152"/>
      <c r="B851" s="244"/>
      <c r="C851" s="250"/>
      <c r="D851" s="246"/>
      <c r="E851" s="235" t="s">
        <v>1298</v>
      </c>
      <c r="F851" s="55">
        <f>5*10.21+0.3*10.21+3*2*0.3</f>
        <v>55.913000000000004</v>
      </c>
      <c r="G851" s="83"/>
      <c r="H851" s="49"/>
    </row>
    <row r="852" spans="1:11" ht="12.75" customHeight="1">
      <c r="A852" s="45"/>
      <c r="B852" s="220"/>
      <c r="C852" s="168"/>
      <c r="D852" s="221"/>
      <c r="E852" s="173" t="s">
        <v>421</v>
      </c>
      <c r="F852" s="50">
        <f>F850+F851</f>
        <v>111.82600000000001</v>
      </c>
      <c r="G852" s="222"/>
      <c r="H852" s="223"/>
    </row>
    <row r="853" spans="1:11" ht="12.75" customHeight="1">
      <c r="A853" s="152">
        <f>MAX(A$2:A852)+1</f>
        <v>87</v>
      </c>
      <c r="B853" s="203" t="s">
        <v>293</v>
      </c>
      <c r="C853" s="51" t="s">
        <v>300</v>
      </c>
      <c r="D853" s="271"/>
      <c r="E853" s="272" t="s">
        <v>301</v>
      </c>
      <c r="F853" s="155"/>
      <c r="G853" s="34" t="s">
        <v>44</v>
      </c>
      <c r="H853" s="77">
        <f>H854</f>
        <v>40.49</v>
      </c>
      <c r="I853" s="6"/>
    </row>
    <row r="854" spans="1:11" ht="25.5">
      <c r="A854" s="180"/>
      <c r="B854" s="186"/>
      <c r="C854" s="52"/>
      <c r="D854" s="241" t="s">
        <v>1299</v>
      </c>
      <c r="E854" s="275" t="s">
        <v>1300</v>
      </c>
      <c r="F854" s="155"/>
      <c r="G854" s="156" t="s">
        <v>44</v>
      </c>
      <c r="H854" s="49">
        <f>ROUND(F855,2)</f>
        <v>40.49</v>
      </c>
    </row>
    <row r="855" spans="1:11" s="62" customFormat="1" ht="25.5">
      <c r="A855" s="152"/>
      <c r="B855" s="264"/>
      <c r="C855" s="245"/>
      <c r="D855" s="246"/>
      <c r="E855" s="235" t="s">
        <v>1301</v>
      </c>
      <c r="F855" s="50">
        <f>2*(0.12+0.05)*(1.15+0.288*2)*69</f>
        <v>40.491959999999992</v>
      </c>
      <c r="G855" s="83"/>
      <c r="H855" s="49"/>
    </row>
    <row r="856" spans="1:11" s="62" customFormat="1" ht="25.5">
      <c r="A856" s="152">
        <f>MAX(A$2:A854)+1</f>
        <v>88</v>
      </c>
      <c r="B856" s="203" t="s">
        <v>293</v>
      </c>
      <c r="C856" s="51" t="s">
        <v>302</v>
      </c>
      <c r="D856" s="240"/>
      <c r="E856" s="199" t="s">
        <v>303</v>
      </c>
      <c r="F856" s="75"/>
      <c r="G856" s="34" t="s">
        <v>44</v>
      </c>
      <c r="H856" s="77">
        <f>H857</f>
        <v>5.0868000000000002</v>
      </c>
      <c r="I856" s="6"/>
    </row>
    <row r="857" spans="1:11" s="62" customFormat="1" ht="25.5">
      <c r="A857" s="152"/>
      <c r="B857" s="264"/>
      <c r="C857" s="245"/>
      <c r="D857" s="79" t="s">
        <v>1302</v>
      </c>
      <c r="E857" s="91" t="s">
        <v>1303</v>
      </c>
      <c r="F857" s="92"/>
      <c r="G857" s="83" t="s">
        <v>44</v>
      </c>
      <c r="H857" s="49">
        <f>F859</f>
        <v>5.0868000000000002</v>
      </c>
      <c r="I857" s="406"/>
    </row>
    <row r="858" spans="1:11" s="62" customFormat="1" ht="12.75" customHeight="1">
      <c r="A858" s="152"/>
      <c r="B858" s="244"/>
      <c r="C858" s="250"/>
      <c r="D858" s="246"/>
      <c r="E858" s="235" t="s">
        <v>1304</v>
      </c>
      <c r="F858" s="50"/>
      <c r="G858" s="83"/>
      <c r="H858" s="49"/>
    </row>
    <row r="859" spans="1:11" s="62" customFormat="1">
      <c r="A859" s="152"/>
      <c r="B859" s="244"/>
      <c r="C859" s="250"/>
      <c r="D859" s="246"/>
      <c r="E859" s="235" t="s">
        <v>1305</v>
      </c>
      <c r="F859" s="50">
        <f>3.14*0.135*2*0.3*(2*2+4*4)</f>
        <v>5.0868000000000002</v>
      </c>
      <c r="G859" s="83"/>
      <c r="H859" s="49"/>
    </row>
    <row r="860" spans="1:11">
      <c r="A860" s="180"/>
      <c r="B860" s="46" t="s">
        <v>305</v>
      </c>
      <c r="C860" s="202"/>
      <c r="D860" s="203"/>
      <c r="E860" s="186" t="s">
        <v>646</v>
      </c>
      <c r="F860" s="204"/>
      <c r="G860" s="205"/>
      <c r="H860" s="206"/>
    </row>
    <row r="861" spans="1:11" ht="25.5">
      <c r="A861" s="152">
        <f>MAX(A$2:A860)+1</f>
        <v>89</v>
      </c>
      <c r="B861" s="253" t="s">
        <v>305</v>
      </c>
      <c r="C861" s="52" t="s">
        <v>308</v>
      </c>
      <c r="D861" s="259"/>
      <c r="E861" s="183" t="s">
        <v>309</v>
      </c>
      <c r="F861" s="278"/>
      <c r="G861" s="34" t="s">
        <v>44</v>
      </c>
      <c r="H861" s="77">
        <f>H862</f>
        <v>600.97</v>
      </c>
      <c r="I861" s="6"/>
      <c r="K861" s="62"/>
    </row>
    <row r="862" spans="1:11" ht="25.5">
      <c r="A862" s="180"/>
      <c r="B862" s="201"/>
      <c r="C862" s="205"/>
      <c r="D862" s="233" t="s">
        <v>308</v>
      </c>
      <c r="E862" s="128" t="s">
        <v>309</v>
      </c>
      <c r="F862" s="232"/>
      <c r="G862" s="156" t="s">
        <v>44</v>
      </c>
      <c r="H862" s="49">
        <f>ROUND(F871,2)</f>
        <v>600.97</v>
      </c>
    </row>
    <row r="863" spans="1:11" ht="25.5">
      <c r="A863" s="279"/>
      <c r="B863" s="280"/>
      <c r="C863" s="281"/>
      <c r="D863" s="282"/>
      <c r="E863" s="111" t="s">
        <v>1306</v>
      </c>
      <c r="F863" s="50"/>
      <c r="G863" s="283"/>
      <c r="H863" s="284"/>
    </row>
    <row r="864" spans="1:11" ht="12.75" customHeight="1">
      <c r="A864" s="279"/>
      <c r="B864" s="280"/>
      <c r="C864" s="281"/>
      <c r="D864" s="282"/>
      <c r="E864" s="111" t="s">
        <v>1307</v>
      </c>
      <c r="F864" s="50">
        <f>53.59*1.215</f>
        <v>65.111850000000004</v>
      </c>
      <c r="G864" s="283"/>
      <c r="H864" s="284"/>
    </row>
    <row r="865" spans="1:9" ht="12.75" customHeight="1">
      <c r="A865" s="279"/>
      <c r="B865" s="285"/>
      <c r="C865" s="286"/>
      <c r="D865" s="282"/>
      <c r="E865" s="111" t="s">
        <v>1308</v>
      </c>
      <c r="F865" s="50"/>
      <c r="G865" s="283"/>
      <c r="H865" s="284"/>
    </row>
    <row r="866" spans="1:9" ht="12.75" customHeight="1">
      <c r="A866" s="279"/>
      <c r="B866" s="285"/>
      <c r="C866" s="286"/>
      <c r="D866" s="282"/>
      <c r="E866" s="111" t="s">
        <v>1309</v>
      </c>
      <c r="F866" s="50">
        <f>(38.63+63.14)*1.05</f>
        <v>106.85850000000002</v>
      </c>
      <c r="G866" s="283"/>
      <c r="H866" s="284"/>
    </row>
    <row r="867" spans="1:9" ht="12.75" customHeight="1">
      <c r="A867" s="279"/>
      <c r="B867" s="285"/>
      <c r="C867" s="286"/>
      <c r="D867" s="282"/>
      <c r="E867" s="111" t="s">
        <v>1310</v>
      </c>
      <c r="F867" s="50"/>
      <c r="G867" s="283"/>
      <c r="H867" s="284"/>
    </row>
    <row r="868" spans="1:9" ht="12.75" customHeight="1">
      <c r="A868" s="279"/>
      <c r="B868" s="285"/>
      <c r="C868" s="286"/>
      <c r="D868" s="282"/>
      <c r="E868" s="111" t="s">
        <v>1311</v>
      </c>
      <c r="F868" s="50">
        <f>(223.63+70.61+24.58)*1.08</f>
        <v>344.32560000000001</v>
      </c>
      <c r="G868" s="283"/>
      <c r="H868" s="284"/>
    </row>
    <row r="869" spans="1:9" ht="25.5">
      <c r="A869" s="279"/>
      <c r="B869" s="285"/>
      <c r="C869" s="286"/>
      <c r="D869" s="282"/>
      <c r="E869" s="111" t="s">
        <v>1312</v>
      </c>
      <c r="F869" s="50"/>
      <c r="G869" s="283"/>
      <c r="H869" s="284"/>
    </row>
    <row r="870" spans="1:9" ht="12.75" customHeight="1">
      <c r="A870" s="279"/>
      <c r="B870" s="285"/>
      <c r="C870" s="286"/>
      <c r="D870" s="282"/>
      <c r="E870" s="111" t="s">
        <v>1230</v>
      </c>
      <c r="F870" s="55">
        <f>78.4*1.08</f>
        <v>84.672000000000011</v>
      </c>
      <c r="G870" s="283"/>
      <c r="H870" s="284"/>
    </row>
    <row r="871" spans="1:9" ht="12.75" customHeight="1">
      <c r="A871" s="45"/>
      <c r="B871" s="215"/>
      <c r="C871" s="286"/>
      <c r="D871" s="282"/>
      <c r="E871" s="287"/>
      <c r="F871" s="50">
        <f>SUM(F864:F870)</f>
        <v>600.96795000000009</v>
      </c>
      <c r="G871" s="168"/>
      <c r="H871" s="146"/>
    </row>
    <row r="872" spans="1:9" ht="25.5">
      <c r="A872" s="152">
        <f>MAX(A$2:A871)+1</f>
        <v>90</v>
      </c>
      <c r="B872" s="253" t="s">
        <v>305</v>
      </c>
      <c r="C872" s="51" t="s">
        <v>310</v>
      </c>
      <c r="D872" s="102"/>
      <c r="E872" s="53" t="s">
        <v>311</v>
      </c>
      <c r="F872" s="75"/>
      <c r="G872" s="76" t="s">
        <v>51</v>
      </c>
      <c r="H872" s="146">
        <f>H873</f>
        <v>66</v>
      </c>
      <c r="I872" s="6"/>
    </row>
    <row r="873" spans="1:9" ht="38.25">
      <c r="A873" s="45"/>
      <c r="B873" s="215"/>
      <c r="C873" s="102"/>
      <c r="D873" s="79" t="s">
        <v>1313</v>
      </c>
      <c r="E873" s="288" t="s">
        <v>1314</v>
      </c>
      <c r="F873" s="288"/>
      <c r="G873" s="83" t="s">
        <v>51</v>
      </c>
      <c r="H873" s="49">
        <f>ROUND(F874,2)</f>
        <v>66</v>
      </c>
    </row>
    <row r="874" spans="1:9" ht="25.5">
      <c r="A874" s="45"/>
      <c r="B874" s="215"/>
      <c r="C874" s="102"/>
      <c r="D874" s="79"/>
      <c r="E874" s="195" t="s">
        <v>1315</v>
      </c>
      <c r="F874" s="58">
        <f>6*5.5*2</f>
        <v>66</v>
      </c>
      <c r="G874" s="83"/>
      <c r="H874" s="146"/>
    </row>
    <row r="875" spans="1:9" ht="25.5">
      <c r="A875" s="152">
        <f>MAX(A$2:A874)+1</f>
        <v>91</v>
      </c>
      <c r="B875" s="289" t="s">
        <v>305</v>
      </c>
      <c r="C875" s="52" t="s">
        <v>312</v>
      </c>
      <c r="D875" s="79"/>
      <c r="E875" s="53" t="s">
        <v>313</v>
      </c>
      <c r="F875" s="288"/>
      <c r="G875" s="76" t="s">
        <v>33</v>
      </c>
      <c r="H875" s="146">
        <f>H876</f>
        <v>0.35</v>
      </c>
      <c r="I875" s="6"/>
    </row>
    <row r="876" spans="1:9" s="14" customFormat="1" ht="25.5">
      <c r="A876" s="152"/>
      <c r="B876" s="290"/>
      <c r="C876" s="205"/>
      <c r="D876" s="233" t="s">
        <v>312</v>
      </c>
      <c r="E876" s="154" t="s">
        <v>313</v>
      </c>
      <c r="F876" s="291"/>
      <c r="G876" s="156" t="s">
        <v>33</v>
      </c>
      <c r="H876" s="49">
        <f>ROUND(F880,2)</f>
        <v>0.35</v>
      </c>
      <c r="I876" s="406"/>
    </row>
    <row r="877" spans="1:9" ht="25.5">
      <c r="A877" s="279"/>
      <c r="B877" s="285"/>
      <c r="C877" s="286"/>
      <c r="D877" s="282"/>
      <c r="E877" s="111" t="s">
        <v>1316</v>
      </c>
      <c r="F877" s="50"/>
      <c r="G877" s="83"/>
      <c r="H877" s="284"/>
    </row>
    <row r="878" spans="1:9" ht="12.75" customHeight="1">
      <c r="A878" s="279"/>
      <c r="B878" s="285"/>
      <c r="C878" s="286"/>
      <c r="D878" s="282"/>
      <c r="E878" s="195" t="s">
        <v>1317</v>
      </c>
      <c r="F878" s="58">
        <f>(0.78*4*2+2.25*1.16*2)*0.01*2</f>
        <v>0.22920000000000001</v>
      </c>
      <c r="G878" s="83"/>
      <c r="H878" s="284"/>
    </row>
    <row r="879" spans="1:9" ht="12.75" customHeight="1">
      <c r="A879" s="279"/>
      <c r="B879" s="285"/>
      <c r="C879" s="286"/>
      <c r="D879" s="282"/>
      <c r="E879" s="195" t="s">
        <v>1318</v>
      </c>
      <c r="F879" s="292">
        <f>1.65*0.9*0.01*2*4</f>
        <v>0.11879999999999999</v>
      </c>
      <c r="G879" s="83"/>
      <c r="H879" s="284"/>
    </row>
    <row r="880" spans="1:9" ht="12.75" customHeight="1">
      <c r="A880" s="279"/>
      <c r="B880" s="285"/>
      <c r="C880" s="286"/>
      <c r="D880" s="282"/>
      <c r="E880" s="173" t="s">
        <v>411</v>
      </c>
      <c r="F880" s="58">
        <f>SUM(F878:F879)</f>
        <v>0.34799999999999998</v>
      </c>
      <c r="G880" s="83"/>
      <c r="H880" s="284"/>
    </row>
    <row r="881" spans="1:9">
      <c r="A881" s="180"/>
      <c r="B881" s="161" t="s">
        <v>315</v>
      </c>
      <c r="C881" s="171"/>
      <c r="D881" s="203"/>
      <c r="E881" s="186" t="s">
        <v>1319</v>
      </c>
      <c r="F881" s="204"/>
      <c r="G881" s="83"/>
      <c r="H881" s="206"/>
    </row>
    <row r="882" spans="1:9" s="6" customFormat="1" ht="15">
      <c r="A882" s="152">
        <f>MAX(A$2:A881)+1</f>
        <v>92</v>
      </c>
      <c r="B882" s="289" t="s">
        <v>315</v>
      </c>
      <c r="C882" s="293" t="s">
        <v>316</v>
      </c>
      <c r="D882" s="294"/>
      <c r="E882" s="213" t="s">
        <v>317</v>
      </c>
      <c r="F882" s="106"/>
      <c r="G882" s="76" t="s">
        <v>33</v>
      </c>
      <c r="H882" s="77">
        <f>H883+H890</f>
        <v>11.213999999999999</v>
      </c>
    </row>
    <row r="883" spans="1:9" s="6" customFormat="1" ht="15">
      <c r="A883" s="152"/>
      <c r="B883" s="289"/>
      <c r="C883" s="293"/>
      <c r="D883" s="295" t="s">
        <v>1320</v>
      </c>
      <c r="E883" s="263" t="s">
        <v>1321</v>
      </c>
      <c r="F883" s="179"/>
      <c r="G883" s="156" t="s">
        <v>33</v>
      </c>
      <c r="H883" s="49">
        <f>ROUND(F889,2)</f>
        <v>7.41</v>
      </c>
      <c r="I883" s="406"/>
    </row>
    <row r="884" spans="1:9" s="6" customFormat="1" ht="15">
      <c r="A884" s="152"/>
      <c r="B884" s="289"/>
      <c r="C884" s="293"/>
      <c r="D884" s="296"/>
      <c r="E884" s="297" t="s">
        <v>1322</v>
      </c>
      <c r="F884" s="298"/>
      <c r="G884" s="299"/>
      <c r="H884" s="300"/>
    </row>
    <row r="885" spans="1:9" s="6" customFormat="1" ht="15">
      <c r="A885" s="152"/>
      <c r="B885" s="289"/>
      <c r="C885" s="293"/>
      <c r="D885" s="294"/>
      <c r="E885" s="297" t="s">
        <v>1323</v>
      </c>
      <c r="F885" s="50"/>
      <c r="G885" s="76"/>
      <c r="H885" s="77"/>
    </row>
    <row r="886" spans="1:9" s="6" customFormat="1" ht="25.5">
      <c r="A886" s="152"/>
      <c r="B886" s="289"/>
      <c r="C886" s="293"/>
      <c r="D886" s="294"/>
      <c r="E886" s="297" t="s">
        <v>1324</v>
      </c>
      <c r="F886" s="50">
        <f xml:space="preserve"> 0.1*((223.63+70.61+24.58)*1.08+53.59*1.215)*0.15</f>
        <v>6.141561750000001</v>
      </c>
      <c r="G886" s="76"/>
      <c r="H886" s="77"/>
    </row>
    <row r="887" spans="1:9" s="6" customFormat="1" ht="15">
      <c r="A887" s="152"/>
      <c r="B887" s="289"/>
      <c r="C887" s="293"/>
      <c r="D887" s="294"/>
      <c r="E887" s="297" t="s">
        <v>1325</v>
      </c>
      <c r="F887" s="50"/>
      <c r="G887" s="76"/>
      <c r="H887" s="77"/>
    </row>
    <row r="888" spans="1:9" s="6" customFormat="1" ht="15">
      <c r="A888" s="152"/>
      <c r="B888" s="289"/>
      <c r="C888" s="293"/>
      <c r="D888" s="294"/>
      <c r="E888" s="297" t="s">
        <v>1326</v>
      </c>
      <c r="F888" s="55">
        <f xml:space="preserve"> 0.1*78.4*1.08*0.15</f>
        <v>1.2700800000000003</v>
      </c>
      <c r="G888" s="76"/>
      <c r="H888" s="77"/>
    </row>
    <row r="889" spans="1:9" s="6" customFormat="1" ht="15">
      <c r="A889" s="152"/>
      <c r="B889" s="289"/>
      <c r="C889" s="293"/>
      <c r="D889" s="294"/>
      <c r="E889" s="173" t="s">
        <v>411</v>
      </c>
      <c r="F889" s="50">
        <f>F886+F888</f>
        <v>7.4116417500000011</v>
      </c>
      <c r="G889" s="76"/>
      <c r="H889" s="77"/>
    </row>
    <row r="890" spans="1:9" s="6" customFormat="1">
      <c r="A890" s="301"/>
      <c r="B890" s="186"/>
      <c r="C890" s="102"/>
      <c r="D890" s="295" t="s">
        <v>1327</v>
      </c>
      <c r="E890" s="263" t="s">
        <v>1328</v>
      </c>
      <c r="F890" s="179"/>
      <c r="G890" s="156" t="s">
        <v>33</v>
      </c>
      <c r="H890" s="49">
        <f>F894</f>
        <v>3.8039999999999994</v>
      </c>
    </row>
    <row r="891" spans="1:9" ht="12.75" customHeight="1">
      <c r="A891" s="279"/>
      <c r="B891" s="280"/>
      <c r="C891" s="281"/>
      <c r="D891" s="296"/>
      <c r="E891" s="302" t="s">
        <v>1329</v>
      </c>
      <c r="F891" s="298"/>
      <c r="G891" s="299"/>
      <c r="H891" s="300"/>
    </row>
    <row r="892" spans="1:9" ht="12.75" customHeight="1">
      <c r="A892" s="279"/>
      <c r="B892" s="280"/>
      <c r="C892" s="281"/>
      <c r="D892" s="282"/>
      <c r="E892" s="111" t="s">
        <v>1330</v>
      </c>
      <c r="F892" s="50">
        <f>(17.24+1.88)*0.15</f>
        <v>2.8679999999999994</v>
      </c>
      <c r="G892" s="283" t="s">
        <v>451</v>
      </c>
      <c r="H892" s="284"/>
    </row>
    <row r="893" spans="1:9" ht="12.75" customHeight="1">
      <c r="A893" s="279"/>
      <c r="B893" s="280"/>
      <c r="C893" s="281"/>
      <c r="D893" s="282"/>
      <c r="E893" s="195" t="s">
        <v>1331</v>
      </c>
      <c r="F893" s="55">
        <f xml:space="preserve"> 6.24*0.15</f>
        <v>0.93599999999999994</v>
      </c>
      <c r="G893" s="283"/>
      <c r="H893" s="284"/>
    </row>
    <row r="894" spans="1:9" s="4" customFormat="1" ht="12.75" customHeight="1">
      <c r="A894" s="45"/>
      <c r="B894" s="220"/>
      <c r="C894" s="303"/>
      <c r="D894" s="304"/>
      <c r="E894" s="173" t="s">
        <v>411</v>
      </c>
      <c r="F894" s="50">
        <f>F892+F893</f>
        <v>3.8039999999999994</v>
      </c>
      <c r="G894" s="305"/>
      <c r="H894" s="306"/>
    </row>
    <row r="895" spans="1:9" s="6" customFormat="1" ht="15">
      <c r="A895" s="152">
        <f>MAX(A$2:A894)+1</f>
        <v>93</v>
      </c>
      <c r="B895" s="253" t="s">
        <v>315</v>
      </c>
      <c r="C895" s="293" t="s">
        <v>318</v>
      </c>
      <c r="D895" s="34"/>
      <c r="E895" s="105" t="s">
        <v>319</v>
      </c>
      <c r="F895" s="106"/>
      <c r="G895" s="76" t="s">
        <v>30</v>
      </c>
      <c r="H895" s="77">
        <f>H896+H907</f>
        <v>1.1299999999999999</v>
      </c>
    </row>
    <row r="896" spans="1:9" s="62" customFormat="1">
      <c r="A896" s="267"/>
      <c r="B896" s="153"/>
      <c r="C896" s="102"/>
      <c r="D896" s="307" t="s">
        <v>1332</v>
      </c>
      <c r="E896" s="91" t="s">
        <v>1333</v>
      </c>
      <c r="F896" s="308"/>
      <c r="G896" s="83" t="s">
        <v>30</v>
      </c>
      <c r="H896" s="49">
        <f>ROUND(F906,2)</f>
        <v>0.62</v>
      </c>
      <c r="I896" s="406"/>
    </row>
    <row r="897" spans="1:9" ht="12.75" customHeight="1">
      <c r="A897" s="279"/>
      <c r="B897" s="280"/>
      <c r="C897" s="281"/>
      <c r="D897" s="282"/>
      <c r="E897" s="195" t="s">
        <v>1334</v>
      </c>
      <c r="F897" s="50"/>
      <c r="G897" s="283"/>
      <c r="H897" s="284"/>
    </row>
    <row r="898" spans="1:9" ht="12.75" customHeight="1">
      <c r="A898" s="279"/>
      <c r="B898" s="280"/>
      <c r="C898" s="281"/>
      <c r="D898" s="282"/>
      <c r="E898" s="195" t="s">
        <v>1335</v>
      </c>
      <c r="F898" s="50">
        <f>(17.24+1.88)*12.34*0.001</f>
        <v>0.23594079999999998</v>
      </c>
      <c r="G898" s="283"/>
      <c r="H898" s="284"/>
    </row>
    <row r="899" spans="1:9" ht="12.75" customHeight="1">
      <c r="A899" s="279"/>
      <c r="B899" s="280"/>
      <c r="C899" s="281"/>
      <c r="D899" s="282"/>
      <c r="E899" s="195" t="s">
        <v>1336</v>
      </c>
      <c r="F899" s="55">
        <f>6.24*12.34*0.001</f>
        <v>7.7001600000000003E-2</v>
      </c>
      <c r="G899" s="283"/>
      <c r="H899" s="284"/>
    </row>
    <row r="900" spans="1:9" s="4" customFormat="1" ht="12.75" customHeight="1">
      <c r="A900" s="45"/>
      <c r="B900" s="220"/>
      <c r="C900" s="303"/>
      <c r="D900" s="304"/>
      <c r="E900" s="173" t="s">
        <v>421</v>
      </c>
      <c r="F900" s="50">
        <f>F898+F899</f>
        <v>0.31294239999999995</v>
      </c>
      <c r="G900" s="305" t="s">
        <v>451</v>
      </c>
      <c r="H900" s="306"/>
    </row>
    <row r="901" spans="1:9" ht="12.75" customHeight="1">
      <c r="A901" s="279"/>
      <c r="B901" s="285"/>
      <c r="C901" s="286"/>
      <c r="D901" s="282"/>
      <c r="E901" s="195" t="s">
        <v>1337</v>
      </c>
      <c r="F901" s="50"/>
      <c r="G901" s="283"/>
      <c r="H901" s="284"/>
    </row>
    <row r="902" spans="1:9" ht="12.75" customHeight="1">
      <c r="A902" s="279"/>
      <c r="B902" s="285"/>
      <c r="C902" s="286"/>
      <c r="D902" s="282"/>
      <c r="E902" s="195" t="s">
        <v>1338</v>
      </c>
      <c r="F902" s="50">
        <f xml:space="preserve"> 0.1*78.4*1.08*12.34*0.001</f>
        <v>0.10448524800000003</v>
      </c>
      <c r="G902" s="283" t="s">
        <v>451</v>
      </c>
      <c r="H902" s="284"/>
    </row>
    <row r="903" spans="1:9" ht="12.75" customHeight="1">
      <c r="A903" s="279"/>
      <c r="B903" s="285"/>
      <c r="C903" s="286"/>
      <c r="D903" s="283"/>
      <c r="E903" s="195" t="s">
        <v>1339</v>
      </c>
      <c r="F903" s="50">
        <v>0.15</v>
      </c>
      <c r="G903" s="283"/>
      <c r="H903" s="284"/>
    </row>
    <row r="904" spans="1:9" ht="12.75" customHeight="1">
      <c r="A904" s="279"/>
      <c r="B904" s="285"/>
      <c r="C904" s="286"/>
      <c r="D904" s="283"/>
      <c r="E904" s="195" t="s">
        <v>1340</v>
      </c>
      <c r="F904" s="55">
        <v>0.05</v>
      </c>
      <c r="G904" s="283"/>
      <c r="H904" s="284"/>
    </row>
    <row r="905" spans="1:9" s="4" customFormat="1" ht="12.75" customHeight="1">
      <c r="A905" s="45"/>
      <c r="B905" s="220"/>
      <c r="C905" s="303"/>
      <c r="D905" s="304"/>
      <c r="E905" s="173" t="s">
        <v>421</v>
      </c>
      <c r="F905" s="50">
        <f>SUM(F901:F904)</f>
        <v>0.30448524800000004</v>
      </c>
      <c r="G905" s="305"/>
      <c r="H905" s="306"/>
    </row>
    <row r="906" spans="1:9" s="4" customFormat="1" ht="12.75" customHeight="1">
      <c r="A906" s="45"/>
      <c r="B906" s="220"/>
      <c r="C906" s="303"/>
      <c r="D906" s="304"/>
      <c r="E906" s="173" t="s">
        <v>411</v>
      </c>
      <c r="F906" s="58">
        <f>F900+F905</f>
        <v>0.61742764800000005</v>
      </c>
      <c r="G906" s="305"/>
      <c r="H906" s="306"/>
    </row>
    <row r="907" spans="1:9" s="4" customFormat="1" ht="12.75" customHeight="1">
      <c r="A907" s="45"/>
      <c r="B907" s="220"/>
      <c r="C907" s="303"/>
      <c r="D907" s="79" t="s">
        <v>1341</v>
      </c>
      <c r="E907" s="91" t="s">
        <v>1342</v>
      </c>
      <c r="F907" s="92"/>
      <c r="G907" s="83" t="s">
        <v>30</v>
      </c>
      <c r="H907" s="49">
        <f>ROUND(F909,2)</f>
        <v>0.51</v>
      </c>
    </row>
    <row r="908" spans="1:9" s="4" customFormat="1" ht="12.75" customHeight="1">
      <c r="A908" s="45"/>
      <c r="B908" s="220"/>
      <c r="C908" s="303"/>
      <c r="D908" s="305"/>
      <c r="E908" s="195" t="s">
        <v>1343</v>
      </c>
      <c r="F908" s="50"/>
      <c r="G908" s="305"/>
      <c r="H908" s="306"/>
    </row>
    <row r="909" spans="1:9" s="4" customFormat="1" ht="38.25">
      <c r="A909" s="45"/>
      <c r="B909" s="220"/>
      <c r="C909" s="303"/>
      <c r="D909" s="305"/>
      <c r="E909" s="195" t="s">
        <v>1344</v>
      </c>
      <c r="F909" s="50">
        <f>(0.1*(223.63+70.61+24.58)*1.08+0.1*53.59*1.215)*12.34*0.001</f>
        <v>0.50524581330000007</v>
      </c>
      <c r="G909" s="305"/>
      <c r="H909" s="306"/>
    </row>
    <row r="910" spans="1:9">
      <c r="A910" s="180"/>
      <c r="B910" s="46" t="s">
        <v>321</v>
      </c>
      <c r="C910" s="303"/>
      <c r="D910" s="203"/>
      <c r="E910" s="186" t="s">
        <v>1345</v>
      </c>
      <c r="F910" s="204"/>
      <c r="G910" s="205"/>
      <c r="H910" s="206"/>
    </row>
    <row r="911" spans="1:9" s="6" customFormat="1" ht="25.5">
      <c r="A911" s="152">
        <f>MAX(A$2:A910)+1</f>
        <v>94</v>
      </c>
      <c r="B911" s="255" t="s">
        <v>321</v>
      </c>
      <c r="C911" s="157" t="s">
        <v>322</v>
      </c>
      <c r="D911" s="52"/>
      <c r="E911" s="105" t="s">
        <v>323</v>
      </c>
      <c r="F911" s="309"/>
      <c r="G911" s="76" t="s">
        <v>44</v>
      </c>
      <c r="H911" s="77">
        <f>H912</f>
        <v>4.9400000000000004</v>
      </c>
    </row>
    <row r="912" spans="1:9" s="6" customFormat="1" ht="25.5">
      <c r="A912" s="301"/>
      <c r="B912" s="186"/>
      <c r="C912" s="310"/>
      <c r="D912" s="241" t="s">
        <v>322</v>
      </c>
      <c r="E912" s="242" t="s">
        <v>323</v>
      </c>
      <c r="F912" s="179"/>
      <c r="G912" s="83" t="s">
        <v>44</v>
      </c>
      <c r="H912" s="49">
        <f>ROUND(F917,2)</f>
        <v>4.9400000000000004</v>
      </c>
      <c r="I912" s="406"/>
    </row>
    <row r="913" spans="1:9" ht="25.5">
      <c r="A913" s="279"/>
      <c r="B913" s="280"/>
      <c r="C913" s="281"/>
      <c r="D913" s="311"/>
      <c r="E913" s="297" t="s">
        <v>1346</v>
      </c>
      <c r="F913" s="50"/>
      <c r="G913" s="283"/>
      <c r="H913" s="284"/>
    </row>
    <row r="914" spans="1:9" ht="12.75">
      <c r="A914" s="279"/>
      <c r="B914" s="280"/>
      <c r="C914" s="281"/>
      <c r="D914" s="311"/>
      <c r="E914" s="297" t="s">
        <v>1347</v>
      </c>
      <c r="F914" s="50">
        <f xml:space="preserve"> 0.01*((223.63+70.61+24.58)*1.08+53.59*1.215)</f>
        <v>4.0943744999999998</v>
      </c>
      <c r="G914" s="283"/>
      <c r="H914" s="284"/>
    </row>
    <row r="915" spans="1:9" ht="25.5">
      <c r="A915" s="279"/>
      <c r="B915" s="280"/>
      <c r="C915" s="281"/>
      <c r="D915" s="311"/>
      <c r="E915" s="297" t="s">
        <v>1348</v>
      </c>
      <c r="F915" s="50"/>
      <c r="G915" s="283"/>
      <c r="H915" s="284"/>
    </row>
    <row r="916" spans="1:9" ht="12.75" customHeight="1">
      <c r="A916" s="279"/>
      <c r="B916" s="280"/>
      <c r="C916" s="281"/>
      <c r="D916" s="311"/>
      <c r="E916" s="297" t="s">
        <v>1349</v>
      </c>
      <c r="F916" s="55">
        <f xml:space="preserve"> 0.01*78.4*1.08</f>
        <v>0.84672000000000014</v>
      </c>
      <c r="G916" s="283"/>
      <c r="H916" s="284"/>
    </row>
    <row r="917" spans="1:9" ht="12.75">
      <c r="A917" s="279"/>
      <c r="B917" s="280"/>
      <c r="C917" s="281"/>
      <c r="D917" s="311"/>
      <c r="E917" s="312" t="s">
        <v>411</v>
      </c>
      <c r="F917" s="50">
        <f>SUM(F914:F916)</f>
        <v>4.9410945000000002</v>
      </c>
      <c r="G917" s="283"/>
      <c r="H917" s="284"/>
    </row>
    <row r="918" spans="1:9" ht="25.5">
      <c r="A918" s="152">
        <f>MAX(A$2:A917)+1</f>
        <v>95</v>
      </c>
      <c r="B918" s="255" t="s">
        <v>321</v>
      </c>
      <c r="C918" s="51" t="s">
        <v>324</v>
      </c>
      <c r="D918" s="52"/>
      <c r="E918" s="53" t="s">
        <v>325</v>
      </c>
      <c r="F918" s="75"/>
      <c r="G918" s="76" t="s">
        <v>44</v>
      </c>
      <c r="H918" s="77">
        <f>H919</f>
        <v>2721.35</v>
      </c>
    </row>
    <row r="919" spans="1:9" s="6" customFormat="1" ht="25.5">
      <c r="A919" s="301"/>
      <c r="B919" s="186"/>
      <c r="C919" s="310"/>
      <c r="D919" s="241" t="s">
        <v>324</v>
      </c>
      <c r="E919" s="242" t="s">
        <v>325</v>
      </c>
      <c r="F919" s="179"/>
      <c r="G919" s="83" t="s">
        <v>44</v>
      </c>
      <c r="H919" s="49">
        <f>ROUND(F922,2)</f>
        <v>2721.35</v>
      </c>
      <c r="I919" s="406"/>
    </row>
    <row r="920" spans="1:9" ht="25.5">
      <c r="A920" s="279"/>
      <c r="B920" s="280"/>
      <c r="C920" s="281"/>
      <c r="D920" s="311"/>
      <c r="E920" s="297" t="s">
        <v>1350</v>
      </c>
      <c r="F920" s="50"/>
      <c r="G920" s="283"/>
      <c r="H920" s="284"/>
    </row>
    <row r="921" spans="1:9" ht="12.75">
      <c r="A921" s="279"/>
      <c r="B921" s="280"/>
      <c r="C921" s="281"/>
      <c r="D921" s="311"/>
      <c r="E921" s="297" t="s">
        <v>1351</v>
      </c>
      <c r="F921" s="50"/>
      <c r="G921" s="283"/>
      <c r="H921" s="284"/>
    </row>
    <row r="922" spans="1:9" ht="38.25">
      <c r="A922" s="279"/>
      <c r="B922" s="280"/>
      <c r="C922" s="281"/>
      <c r="D922" s="311"/>
      <c r="E922" s="297" t="s">
        <v>1352</v>
      </c>
      <c r="F922" s="50">
        <f>2*((43.786+87.578+87.775+43.858)*(5.35+4.95)*0.5+3*0.8*2.6)</f>
        <v>2721.3491000000004</v>
      </c>
      <c r="G922" s="283"/>
      <c r="H922" s="284"/>
    </row>
    <row r="923" spans="1:9" ht="25.5">
      <c r="A923" s="279"/>
      <c r="B923" s="280"/>
      <c r="C923" s="281"/>
      <c r="D923" s="311"/>
      <c r="E923" s="235" t="s">
        <v>1353</v>
      </c>
      <c r="F923" s="313"/>
      <c r="G923" s="283"/>
      <c r="H923" s="284"/>
    </row>
    <row r="924" spans="1:9" ht="38.25">
      <c r="A924" s="279"/>
      <c r="B924" s="280"/>
      <c r="C924" s="281"/>
      <c r="D924" s="311"/>
      <c r="E924" s="235" t="s">
        <v>1354</v>
      </c>
      <c r="F924" s="50"/>
      <c r="G924" s="283"/>
      <c r="H924" s="284"/>
    </row>
    <row r="925" spans="1:9" ht="38.25">
      <c r="A925" s="279"/>
      <c r="B925" s="280"/>
      <c r="C925" s="281"/>
      <c r="D925" s="311"/>
      <c r="E925" s="235" t="s">
        <v>1355</v>
      </c>
      <c r="F925" s="50"/>
      <c r="G925" s="283"/>
      <c r="H925" s="284"/>
    </row>
    <row r="926" spans="1:9" ht="38.25">
      <c r="A926" s="279"/>
      <c r="B926" s="280"/>
      <c r="C926" s="281"/>
      <c r="D926" s="311"/>
      <c r="E926" s="235" t="s">
        <v>1356</v>
      </c>
      <c r="F926" s="50"/>
      <c r="G926" s="283"/>
      <c r="H926" s="284"/>
    </row>
    <row r="927" spans="1:9" s="6" customFormat="1" ht="15">
      <c r="A927" s="152">
        <f>MAX(A$2:A920)+1</f>
        <v>96</v>
      </c>
      <c r="B927" s="255" t="s">
        <v>321</v>
      </c>
      <c r="C927" s="157" t="s">
        <v>326</v>
      </c>
      <c r="D927" s="52"/>
      <c r="E927" s="105" t="s">
        <v>327</v>
      </c>
      <c r="F927" s="309"/>
      <c r="G927" s="76" t="s">
        <v>72</v>
      </c>
      <c r="H927" s="77">
        <f>H928</f>
        <v>33</v>
      </c>
      <c r="I927" s="406"/>
    </row>
    <row r="928" spans="1:9" s="6" customFormat="1">
      <c r="A928" s="301"/>
      <c r="B928" s="186"/>
      <c r="C928" s="310"/>
      <c r="D928" s="241" t="s">
        <v>326</v>
      </c>
      <c r="E928" s="242" t="s">
        <v>327</v>
      </c>
      <c r="F928" s="179"/>
      <c r="G928" s="83" t="s">
        <v>72</v>
      </c>
      <c r="H928" s="49">
        <f>ROUND(F929,2)</f>
        <v>33</v>
      </c>
      <c r="I928" s="406"/>
    </row>
    <row r="929" spans="1:9" ht="12.75">
      <c r="A929" s="279"/>
      <c r="B929" s="280"/>
      <c r="C929" s="281"/>
      <c r="D929" s="311"/>
      <c r="E929" s="297" t="s">
        <v>1357</v>
      </c>
      <c r="F929" s="50">
        <v>33</v>
      </c>
      <c r="G929" s="283"/>
      <c r="H929" s="284"/>
    </row>
    <row r="930" spans="1:9" ht="12.75" customHeight="1">
      <c r="A930" s="279"/>
      <c r="B930" s="314" t="s">
        <v>329</v>
      </c>
      <c r="C930" s="23"/>
      <c r="D930" s="315"/>
      <c r="E930" s="314" t="s">
        <v>1358</v>
      </c>
      <c r="F930" s="54"/>
      <c r="G930" s="23"/>
      <c r="H930" s="21"/>
    </row>
    <row r="931" spans="1:9" ht="12.75" customHeight="1">
      <c r="A931" s="152">
        <f>MAX(A$2:A930)+1</f>
        <v>97</v>
      </c>
      <c r="B931" s="255" t="s">
        <v>329</v>
      </c>
      <c r="C931" s="51">
        <v>91220301</v>
      </c>
      <c r="D931" s="158"/>
      <c r="E931" s="199" t="s">
        <v>331</v>
      </c>
      <c r="F931" s="53"/>
      <c r="G931" s="76" t="s">
        <v>51</v>
      </c>
      <c r="H931" s="21">
        <f>H932</f>
        <v>132</v>
      </c>
      <c r="I931" s="6"/>
    </row>
    <row r="932" spans="1:9" ht="24.75" customHeight="1">
      <c r="A932" s="279"/>
      <c r="B932" s="22"/>
      <c r="C932" s="23"/>
      <c r="D932" s="243">
        <v>9122030101</v>
      </c>
      <c r="E932" s="263" t="s">
        <v>1359</v>
      </c>
      <c r="F932" s="91"/>
      <c r="G932" s="83" t="s">
        <v>51</v>
      </c>
      <c r="H932" s="49">
        <f>ROUND(F934,2)</f>
        <v>132</v>
      </c>
    </row>
    <row r="933" spans="1:9" ht="25.5">
      <c r="A933" s="279"/>
      <c r="B933" s="280"/>
      <c r="C933" s="281"/>
      <c r="D933" s="311"/>
      <c r="E933" s="297" t="s">
        <v>1360</v>
      </c>
      <c r="F933" s="50"/>
      <c r="G933" s="283"/>
      <c r="H933" s="284"/>
    </row>
    <row r="934" spans="1:9" ht="12.75">
      <c r="A934" s="279"/>
      <c r="B934" s="280"/>
      <c r="C934" s="281"/>
      <c r="D934" s="311"/>
      <c r="E934" s="297" t="s">
        <v>1361</v>
      </c>
      <c r="F934" s="50">
        <f>0.4*330</f>
        <v>132</v>
      </c>
      <c r="G934" s="283"/>
      <c r="H934" s="284"/>
    </row>
    <row r="935" spans="1:9" ht="12.75" customHeight="1">
      <c r="A935" s="279"/>
      <c r="B935" s="314" t="s">
        <v>332</v>
      </c>
      <c r="C935" s="23"/>
      <c r="D935" s="315"/>
      <c r="E935" s="314" t="s">
        <v>1362</v>
      </c>
      <c r="F935" s="54"/>
      <c r="G935" s="23"/>
      <c r="H935" s="21"/>
    </row>
    <row r="936" spans="1:9" ht="25.5">
      <c r="A936" s="152">
        <f>MAX(A$2:A935)+1</f>
        <v>98</v>
      </c>
      <c r="B936" s="255" t="s">
        <v>332</v>
      </c>
      <c r="C936" s="51" t="s">
        <v>333</v>
      </c>
      <c r="D936" s="158"/>
      <c r="E936" s="199" t="s">
        <v>334</v>
      </c>
      <c r="F936" s="53"/>
      <c r="G936" s="76" t="s">
        <v>44</v>
      </c>
      <c r="H936" s="21">
        <f>H937</f>
        <v>20.09</v>
      </c>
      <c r="I936" s="6"/>
    </row>
    <row r="937" spans="1:9" ht="25.5">
      <c r="A937" s="279"/>
      <c r="B937" s="22"/>
      <c r="C937" s="23"/>
      <c r="D937" s="243" t="s">
        <v>333</v>
      </c>
      <c r="E937" s="263" t="s">
        <v>334</v>
      </c>
      <c r="F937" s="91"/>
      <c r="G937" s="83" t="s">
        <v>44</v>
      </c>
      <c r="H937" s="49">
        <f>ROUND(F939,2)</f>
        <v>20.09</v>
      </c>
    </row>
    <row r="938" spans="1:9" ht="25.5">
      <c r="A938" s="279"/>
      <c r="B938" s="280"/>
      <c r="C938" s="316"/>
      <c r="D938" s="311"/>
      <c r="E938" s="235" t="s">
        <v>1363</v>
      </c>
      <c r="F938" s="50"/>
      <c r="G938" s="283"/>
      <c r="H938" s="284"/>
    </row>
    <row r="939" spans="1:9" ht="12.75" customHeight="1">
      <c r="A939" s="279"/>
      <c r="B939" s="280"/>
      <c r="C939" s="316"/>
      <c r="D939" s="311"/>
      <c r="E939" s="297" t="s">
        <v>1364</v>
      </c>
      <c r="F939" s="50">
        <f>(0.06*2+0.01*2)*1.04*2*69</f>
        <v>20.092799999999997</v>
      </c>
      <c r="G939" s="283"/>
      <c r="H939" s="284"/>
    </row>
    <row r="940" spans="1:9">
      <c r="A940" s="180"/>
      <c r="B940" s="46" t="s">
        <v>336</v>
      </c>
      <c r="C940" s="202"/>
      <c r="D940" s="203"/>
      <c r="E940" s="186" t="s">
        <v>1365</v>
      </c>
      <c r="F940" s="204"/>
      <c r="G940" s="205"/>
      <c r="H940" s="206"/>
    </row>
    <row r="941" spans="1:9" s="6" customFormat="1" ht="12.75" customHeight="1">
      <c r="A941" s="152">
        <f>MAX(A$2:A940)+1</f>
        <v>99</v>
      </c>
      <c r="B941" s="317" t="s">
        <v>336</v>
      </c>
      <c r="C941" s="318" t="s">
        <v>337</v>
      </c>
      <c r="D941" s="294"/>
      <c r="E941" s="213" t="s">
        <v>338</v>
      </c>
      <c r="F941" s="106"/>
      <c r="G941" s="76" t="s">
        <v>44</v>
      </c>
      <c r="H941" s="77">
        <f>H942</f>
        <v>84.6</v>
      </c>
    </row>
    <row r="942" spans="1:9" s="5" customFormat="1" ht="12.75" customHeight="1">
      <c r="A942" s="301"/>
      <c r="B942" s="186"/>
      <c r="C942" s="319"/>
      <c r="D942" s="320" t="s">
        <v>1366</v>
      </c>
      <c r="E942" s="242" t="s">
        <v>1367</v>
      </c>
      <c r="F942" s="179"/>
      <c r="G942" s="321" t="s">
        <v>44</v>
      </c>
      <c r="H942" s="322">
        <f>ROUND(F947,2)</f>
        <v>84.6</v>
      </c>
      <c r="I942" s="406"/>
    </row>
    <row r="943" spans="1:9" ht="12.75">
      <c r="A943" s="279"/>
      <c r="B943" s="280"/>
      <c r="C943" s="281"/>
      <c r="D943" s="311"/>
      <c r="E943" s="297" t="s">
        <v>1368</v>
      </c>
      <c r="F943" s="50">
        <v>3.6</v>
      </c>
      <c r="G943" s="283"/>
      <c r="H943" s="284"/>
    </row>
    <row r="944" spans="1:9" ht="12.75">
      <c r="A944" s="279"/>
      <c r="B944" s="280"/>
      <c r="C944" s="281"/>
      <c r="D944" s="311"/>
      <c r="E944" s="297" t="s">
        <v>1369</v>
      </c>
      <c r="F944" s="50"/>
      <c r="G944" s="283"/>
      <c r="H944" s="284"/>
    </row>
    <row r="945" spans="1:9" ht="12.75">
      <c r="A945" s="279"/>
      <c r="B945" s="280"/>
      <c r="C945" s="281"/>
      <c r="D945" s="311"/>
      <c r="E945" s="297" t="s">
        <v>1370</v>
      </c>
      <c r="F945" s="50">
        <f xml:space="preserve"> 1.8*20</f>
        <v>36</v>
      </c>
      <c r="G945" s="283"/>
      <c r="H945" s="284"/>
    </row>
    <row r="946" spans="1:9" ht="12.75">
      <c r="A946" s="279"/>
      <c r="B946" s="280"/>
      <c r="C946" s="281"/>
      <c r="D946" s="282"/>
      <c r="E946" s="195" t="s">
        <v>1371</v>
      </c>
      <c r="F946" s="55">
        <f>1.8*25</f>
        <v>45</v>
      </c>
      <c r="G946" s="283"/>
      <c r="H946" s="284"/>
    </row>
    <row r="947" spans="1:9" s="4" customFormat="1" ht="12.75" customHeight="1">
      <c r="A947" s="45"/>
      <c r="B947" s="220"/>
      <c r="C947" s="303"/>
      <c r="D947" s="304"/>
      <c r="E947" s="173" t="s">
        <v>411</v>
      </c>
      <c r="F947" s="50">
        <f>F945+F946+F943</f>
        <v>84.6</v>
      </c>
      <c r="G947" s="305" t="s">
        <v>451</v>
      </c>
      <c r="H947" s="306"/>
    </row>
    <row r="948" spans="1:9">
      <c r="A948" s="180"/>
      <c r="B948" s="46" t="s">
        <v>339</v>
      </c>
      <c r="C948" s="202"/>
      <c r="D948" s="203"/>
      <c r="E948" s="186" t="s">
        <v>1372</v>
      </c>
      <c r="F948" s="204"/>
      <c r="G948" s="205"/>
      <c r="H948" s="206"/>
    </row>
    <row r="949" spans="1:9" s="6" customFormat="1" ht="25.5">
      <c r="A949" s="152">
        <f>MAX(A$2:A948)+1</f>
        <v>100</v>
      </c>
      <c r="B949" s="317" t="s">
        <v>339</v>
      </c>
      <c r="C949" s="318" t="s">
        <v>340</v>
      </c>
      <c r="D949" s="294"/>
      <c r="E949" s="213" t="s">
        <v>341</v>
      </c>
      <c r="F949" s="106"/>
      <c r="G949" s="76" t="s">
        <v>33</v>
      </c>
      <c r="H949" s="77">
        <f>H950</f>
        <v>155.4</v>
      </c>
      <c r="I949" s="6" t="s">
        <v>451</v>
      </c>
    </row>
    <row r="950" spans="1:9" s="5" customFormat="1" ht="25.5">
      <c r="A950" s="301"/>
      <c r="B950" s="186"/>
      <c r="C950" s="319"/>
      <c r="D950" s="320" t="s">
        <v>340</v>
      </c>
      <c r="E950" s="242" t="s">
        <v>341</v>
      </c>
      <c r="F950" s="179"/>
      <c r="G950" s="321" t="s">
        <v>33</v>
      </c>
      <c r="H950" s="322">
        <f>ROUND(F961,2)</f>
        <v>155.4</v>
      </c>
      <c r="I950" s="406"/>
    </row>
    <row r="951" spans="1:9" ht="12.75">
      <c r="A951" s="279"/>
      <c r="B951" s="280"/>
      <c r="C951" s="281"/>
      <c r="D951" s="311"/>
      <c r="E951" s="297" t="s">
        <v>1373</v>
      </c>
      <c r="F951" s="323"/>
      <c r="G951" s="283"/>
      <c r="H951" s="284"/>
    </row>
    <row r="952" spans="1:9" ht="12.75">
      <c r="A952" s="279"/>
      <c r="B952" s="280"/>
      <c r="C952" s="281"/>
      <c r="D952" s="311"/>
      <c r="E952" s="297" t="s">
        <v>1374</v>
      </c>
      <c r="F952" s="323" t="s">
        <v>451</v>
      </c>
      <c r="G952" s="283"/>
      <c r="H952" s="284"/>
    </row>
    <row r="953" spans="1:9" ht="12.75">
      <c r="A953" s="279"/>
      <c r="B953" s="280"/>
      <c r="C953" s="281"/>
      <c r="D953" s="311"/>
      <c r="E953" s="297" t="s">
        <v>1375</v>
      </c>
      <c r="F953" s="323"/>
      <c r="G953" s="283"/>
      <c r="H953" s="284"/>
    </row>
    <row r="954" spans="1:9" ht="12.75">
      <c r="A954" s="279"/>
      <c r="B954" s="280"/>
      <c r="C954" s="281"/>
      <c r="D954" s="311"/>
      <c r="E954" s="297" t="s">
        <v>1376</v>
      </c>
      <c r="F954" s="323" t="s">
        <v>451</v>
      </c>
      <c r="G954" s="283"/>
      <c r="H954" s="284"/>
    </row>
    <row r="955" spans="1:9" ht="12.75">
      <c r="A955" s="279"/>
      <c r="B955" s="280"/>
      <c r="C955" s="281"/>
      <c r="D955" s="311"/>
      <c r="E955" s="297" t="s">
        <v>1377</v>
      </c>
      <c r="F955" s="323"/>
      <c r="G955" s="283"/>
      <c r="H955" s="284"/>
    </row>
    <row r="956" spans="1:9" ht="12.75">
      <c r="A956" s="279"/>
      <c r="B956" s="280"/>
      <c r="C956" s="281"/>
      <c r="D956" s="311"/>
      <c r="E956" s="297" t="s">
        <v>1378</v>
      </c>
      <c r="F956" s="323" t="s">
        <v>451</v>
      </c>
      <c r="G956" s="283"/>
      <c r="H956" s="284"/>
    </row>
    <row r="957" spans="1:9" ht="12.75">
      <c r="A957" s="279"/>
      <c r="B957" s="280"/>
      <c r="C957" s="281"/>
      <c r="D957" s="311"/>
      <c r="E957" s="297" t="s">
        <v>1379</v>
      </c>
      <c r="F957" s="323"/>
      <c r="G957" s="283"/>
      <c r="H957" s="284"/>
    </row>
    <row r="958" spans="1:9" ht="25.5">
      <c r="A958" s="279"/>
      <c r="B958" s="280"/>
      <c r="C958" s="281"/>
      <c r="D958" s="311"/>
      <c r="E958" s="297" t="s">
        <v>1380</v>
      </c>
      <c r="F958" s="50">
        <f>4570.58*0.02*0.6</f>
        <v>54.846960000000003</v>
      </c>
      <c r="G958" s="283"/>
      <c r="H958" s="284"/>
    </row>
    <row r="959" spans="1:9" ht="25.5">
      <c r="A959" s="279"/>
      <c r="B959" s="280"/>
      <c r="C959" s="281"/>
      <c r="D959" s="311"/>
      <c r="E959" s="297" t="s">
        <v>1381</v>
      </c>
      <c r="F959" s="50">
        <f>4570.58*0.05*0.3</f>
        <v>68.558700000000002</v>
      </c>
      <c r="G959" s="283"/>
      <c r="H959" s="284"/>
    </row>
    <row r="960" spans="1:9" ht="25.5">
      <c r="A960" s="279"/>
      <c r="B960" s="280"/>
      <c r="C960" s="281"/>
      <c r="D960" s="311"/>
      <c r="E960" s="297" t="s">
        <v>1382</v>
      </c>
      <c r="F960" s="55">
        <f>4570.58*0.07*0.1</f>
        <v>31.994060000000005</v>
      </c>
      <c r="G960" s="283"/>
      <c r="H960" s="284"/>
    </row>
    <row r="961" spans="1:8" ht="14.25" customHeight="1">
      <c r="A961" s="279"/>
      <c r="B961" s="280"/>
      <c r="C961" s="281"/>
      <c r="D961" s="282"/>
      <c r="E961" s="173" t="s">
        <v>411</v>
      </c>
      <c r="F961" s="50">
        <f>SUM(F958:F960)</f>
        <v>155.39972</v>
      </c>
      <c r="G961" s="283"/>
      <c r="H961" s="284"/>
    </row>
    <row r="962" spans="1:8" s="6" customFormat="1" ht="25.5">
      <c r="A962" s="152">
        <f>MAX(A$2:A961)+1</f>
        <v>101</v>
      </c>
      <c r="B962" s="253" t="s">
        <v>339</v>
      </c>
      <c r="C962" s="51" t="s">
        <v>342</v>
      </c>
      <c r="D962" s="88"/>
      <c r="E962" s="213" t="s">
        <v>343</v>
      </c>
      <c r="F962" s="106"/>
      <c r="G962" s="76" t="s">
        <v>33</v>
      </c>
      <c r="H962" s="77">
        <f>H963</f>
        <v>102.73</v>
      </c>
    </row>
    <row r="963" spans="1:8" s="6" customFormat="1" ht="25.5">
      <c r="A963" s="301"/>
      <c r="B963" s="186"/>
      <c r="C963" s="52"/>
      <c r="D963" s="84" t="s">
        <v>342</v>
      </c>
      <c r="E963" s="242" t="s">
        <v>343</v>
      </c>
      <c r="F963" s="179"/>
      <c r="G963" s="83" t="s">
        <v>33</v>
      </c>
      <c r="H963" s="49">
        <f>ROUND(F976,2)</f>
        <v>102.73</v>
      </c>
    </row>
    <row r="964" spans="1:8" ht="12.75">
      <c r="A964" s="279"/>
      <c r="B964" s="280"/>
      <c r="C964" s="281"/>
      <c r="D964" s="311"/>
      <c r="E964" s="297" t="s">
        <v>1383</v>
      </c>
      <c r="F964" s="323"/>
      <c r="G964" s="283"/>
      <c r="H964" s="284"/>
    </row>
    <row r="965" spans="1:8" ht="12.75">
      <c r="A965" s="279"/>
      <c r="B965" s="280"/>
      <c r="C965" s="281"/>
      <c r="D965" s="311"/>
      <c r="E965" s="297" t="s">
        <v>1384</v>
      </c>
      <c r="F965" s="323"/>
      <c r="G965" s="283"/>
      <c r="H965" s="284"/>
    </row>
    <row r="966" spans="1:8" ht="12.75">
      <c r="A966" s="279"/>
      <c r="B966" s="280"/>
      <c r="C966" s="281"/>
      <c r="D966" s="311"/>
      <c r="E966" s="297" t="s">
        <v>1385</v>
      </c>
      <c r="F966" s="323"/>
      <c r="G966" s="283"/>
      <c r="H966" s="284"/>
    </row>
    <row r="967" spans="1:8" ht="12.75">
      <c r="A967" s="279"/>
      <c r="B967" s="280"/>
      <c r="C967" s="281"/>
      <c r="D967" s="311"/>
      <c r="E967" s="297" t="s">
        <v>1386</v>
      </c>
      <c r="F967" s="323"/>
      <c r="G967" s="283"/>
      <c r="H967" s="284"/>
    </row>
    <row r="968" spans="1:8" ht="12.75">
      <c r="A968" s="279"/>
      <c r="B968" s="280"/>
      <c r="C968" s="281"/>
      <c r="D968" s="311"/>
      <c r="E968" s="297" t="s">
        <v>1387</v>
      </c>
      <c r="F968" s="323"/>
      <c r="G968" s="283"/>
      <c r="H968" s="284"/>
    </row>
    <row r="969" spans="1:8" ht="12.75">
      <c r="A969" s="279"/>
      <c r="B969" s="280"/>
      <c r="C969" s="281"/>
      <c r="D969" s="311"/>
      <c r="E969" s="297" t="s">
        <v>1388</v>
      </c>
      <c r="F969" s="323"/>
      <c r="G969" s="283"/>
      <c r="H969" s="284"/>
    </row>
    <row r="970" spans="1:8" ht="12.75">
      <c r="A970" s="279"/>
      <c r="B970" s="280"/>
      <c r="C970" s="281"/>
      <c r="D970" s="311"/>
      <c r="E970" s="297" t="s">
        <v>1389</v>
      </c>
      <c r="F970" s="323"/>
      <c r="G970" s="283"/>
      <c r="H970" s="284"/>
    </row>
    <row r="971" spans="1:8" ht="12.75">
      <c r="A971" s="279"/>
      <c r="B971" s="280"/>
      <c r="C971" s="281"/>
      <c r="D971" s="311"/>
      <c r="E971" s="297" t="s">
        <v>1390</v>
      </c>
      <c r="F971" s="323"/>
      <c r="G971" s="283"/>
      <c r="H971" s="284"/>
    </row>
    <row r="972" spans="1:8" ht="12.75">
      <c r="A972" s="279"/>
      <c r="B972" s="280"/>
      <c r="C972" s="281"/>
      <c r="D972" s="311"/>
      <c r="E972" s="297" t="s">
        <v>1391</v>
      </c>
      <c r="F972" s="323"/>
      <c r="G972" s="283"/>
      <c r="H972" s="284"/>
    </row>
    <row r="973" spans="1:8" s="4" customFormat="1" ht="25.5">
      <c r="A973" s="45"/>
      <c r="B973" s="220"/>
      <c r="C973" s="303"/>
      <c r="D973" s="304"/>
      <c r="E973" s="297" t="s">
        <v>1392</v>
      </c>
      <c r="F973" s="50">
        <f>3021.56*0.02*0.6</f>
        <v>36.258719999999997</v>
      </c>
      <c r="G973" s="305"/>
      <c r="H973" s="306"/>
    </row>
    <row r="974" spans="1:8" s="4" customFormat="1" ht="25.5">
      <c r="A974" s="45"/>
      <c r="B974" s="220"/>
      <c r="C974" s="303"/>
      <c r="D974" s="304"/>
      <c r="E974" s="297" t="s">
        <v>1393</v>
      </c>
      <c r="F974" s="50">
        <f>3021.56*0.05*0.3</f>
        <v>45.323399999999999</v>
      </c>
      <c r="G974" s="305"/>
      <c r="H974" s="306"/>
    </row>
    <row r="975" spans="1:8" s="4" customFormat="1" ht="25.5">
      <c r="A975" s="45"/>
      <c r="B975" s="220"/>
      <c r="C975" s="303"/>
      <c r="D975" s="304"/>
      <c r="E975" s="297" t="s">
        <v>1394</v>
      </c>
      <c r="F975" s="55">
        <f>3021.56*0.07*0.1</f>
        <v>21.150920000000003</v>
      </c>
      <c r="G975" s="305"/>
      <c r="H975" s="306"/>
    </row>
    <row r="976" spans="1:8" s="4" customFormat="1" ht="12.75" customHeight="1">
      <c r="A976" s="45"/>
      <c r="B976" s="220"/>
      <c r="C976" s="303"/>
      <c r="D976" s="304"/>
      <c r="E976" s="173" t="s">
        <v>411</v>
      </c>
      <c r="F976" s="50">
        <f>SUM(F973:F975)</f>
        <v>102.73304</v>
      </c>
      <c r="G976" s="305"/>
      <c r="H976" s="306"/>
    </row>
    <row r="977" spans="1:9" s="6" customFormat="1" ht="25.5">
      <c r="A977" s="152">
        <f>MAX(A$2:A976)+1</f>
        <v>102</v>
      </c>
      <c r="B977" s="253" t="s">
        <v>339</v>
      </c>
      <c r="C977" s="51" t="s">
        <v>344</v>
      </c>
      <c r="D977" s="88"/>
      <c r="E977" s="105" t="s">
        <v>345</v>
      </c>
      <c r="F977" s="106"/>
      <c r="G977" s="76" t="s">
        <v>44</v>
      </c>
      <c r="H977" s="77">
        <f>H978</f>
        <v>70</v>
      </c>
    </row>
    <row r="978" spans="1:9" s="6" customFormat="1">
      <c r="A978" s="301"/>
      <c r="B978" s="186"/>
      <c r="C978" s="52"/>
      <c r="D978" s="84" t="s">
        <v>344</v>
      </c>
      <c r="E978" s="81" t="s">
        <v>345</v>
      </c>
      <c r="F978" s="179"/>
      <c r="G978" s="83" t="s">
        <v>44</v>
      </c>
      <c r="H978" s="49">
        <f>ROUND(F980,2)</f>
        <v>70</v>
      </c>
    </row>
    <row r="979" spans="1:9" ht="15">
      <c r="A979" s="279"/>
      <c r="B979" s="280"/>
      <c r="C979" s="281"/>
      <c r="D979" s="282"/>
      <c r="E979" s="195" t="s">
        <v>1395</v>
      </c>
      <c r="F979" s="50"/>
      <c r="G979" s="283"/>
      <c r="H979" s="284"/>
      <c r="I979" s="6"/>
    </row>
    <row r="980" spans="1:9" ht="15">
      <c r="A980" s="279"/>
      <c r="B980" s="253"/>
      <c r="C980" s="51"/>
      <c r="D980" s="88"/>
      <c r="E980" s="195" t="s">
        <v>1396</v>
      </c>
      <c r="F980" s="50">
        <f>700*0.1</f>
        <v>70</v>
      </c>
      <c r="G980" s="76"/>
      <c r="H980" s="77"/>
      <c r="I980" s="6"/>
    </row>
    <row r="981" spans="1:9" s="6" customFormat="1" ht="25.5">
      <c r="A981" s="152">
        <f>MAX(A$2:A980)+1</f>
        <v>103</v>
      </c>
      <c r="B981" s="253" t="s">
        <v>339</v>
      </c>
      <c r="C981" s="51" t="s">
        <v>346</v>
      </c>
      <c r="D981" s="88"/>
      <c r="E981" s="213" t="s">
        <v>347</v>
      </c>
      <c r="F981" s="106"/>
      <c r="G981" s="76" t="s">
        <v>33</v>
      </c>
      <c r="H981" s="77">
        <f>H982</f>
        <v>32.590000000000003</v>
      </c>
    </row>
    <row r="982" spans="1:9" s="6" customFormat="1" ht="25.5">
      <c r="A982" s="301"/>
      <c r="B982" s="186"/>
      <c r="C982" s="52"/>
      <c r="D982" s="84" t="s">
        <v>346</v>
      </c>
      <c r="E982" s="242" t="s">
        <v>347</v>
      </c>
      <c r="F982" s="179"/>
      <c r="G982" s="83" t="s">
        <v>33</v>
      </c>
      <c r="H982" s="49">
        <f>ROUND(F993,2)</f>
        <v>32.590000000000003</v>
      </c>
    </row>
    <row r="983" spans="1:9" s="6" customFormat="1">
      <c r="A983" s="301"/>
      <c r="B983" s="186"/>
      <c r="C983" s="52"/>
      <c r="D983" s="84"/>
      <c r="E983" s="195" t="s">
        <v>1397</v>
      </c>
      <c r="F983" s="50"/>
      <c r="G983" s="283"/>
      <c r="H983" s="49"/>
    </row>
    <row r="984" spans="1:9" s="6" customFormat="1">
      <c r="A984" s="301"/>
      <c r="B984" s="186"/>
      <c r="C984" s="52"/>
      <c r="D984" s="84"/>
      <c r="E984" s="195" t="s">
        <v>1398</v>
      </c>
      <c r="F984" s="50"/>
      <c r="G984" s="283"/>
      <c r="H984" s="49"/>
    </row>
    <row r="985" spans="1:9" s="6" customFormat="1">
      <c r="A985" s="301"/>
      <c r="B985" s="186"/>
      <c r="C985" s="52"/>
      <c r="D985" s="84"/>
      <c r="E985" s="195" t="s">
        <v>1399</v>
      </c>
      <c r="F985" s="50"/>
      <c r="G985" s="283"/>
      <c r="H985" s="49"/>
    </row>
    <row r="986" spans="1:9" s="6" customFormat="1">
      <c r="A986" s="301"/>
      <c r="B986" s="186"/>
      <c r="C986" s="52"/>
      <c r="D986" s="84"/>
      <c r="E986" s="195" t="s">
        <v>1400</v>
      </c>
      <c r="F986" s="50"/>
      <c r="G986" s="283"/>
      <c r="H986" s="49"/>
    </row>
    <row r="987" spans="1:9" s="6" customFormat="1">
      <c r="A987" s="301"/>
      <c r="B987" s="186"/>
      <c r="C987" s="52"/>
      <c r="D987" s="84"/>
      <c r="E987" s="195" t="s">
        <v>1401</v>
      </c>
      <c r="F987" s="50"/>
      <c r="G987" s="283"/>
      <c r="H987" s="49"/>
    </row>
    <row r="988" spans="1:9" s="6" customFormat="1">
      <c r="A988" s="301"/>
      <c r="B988" s="186"/>
      <c r="C988" s="52"/>
      <c r="D988" s="84"/>
      <c r="E988" s="195" t="s">
        <v>1402</v>
      </c>
      <c r="F988" s="50"/>
      <c r="G988" s="283"/>
      <c r="H988" s="49"/>
    </row>
    <row r="989" spans="1:9">
      <c r="A989" s="279"/>
      <c r="B989" s="186"/>
      <c r="C989" s="52"/>
      <c r="D989" s="282"/>
      <c r="E989" s="195" t="s">
        <v>1403</v>
      </c>
      <c r="F989" s="50"/>
      <c r="G989" s="283"/>
      <c r="H989" s="284"/>
    </row>
    <row r="990" spans="1:9" ht="25.5">
      <c r="A990" s="279"/>
      <c r="B990" s="186"/>
      <c r="C990" s="52"/>
      <c r="D990" s="282"/>
      <c r="E990" s="297" t="s">
        <v>1404</v>
      </c>
      <c r="F990" s="50">
        <f>958.67*0.02*0.6</f>
        <v>11.50404</v>
      </c>
      <c r="G990" s="283"/>
      <c r="H990" s="284"/>
    </row>
    <row r="991" spans="1:9" ht="25.5">
      <c r="A991" s="279"/>
      <c r="B991" s="186"/>
      <c r="C991" s="52"/>
      <c r="D991" s="282"/>
      <c r="E991" s="297" t="s">
        <v>1405</v>
      </c>
      <c r="F991" s="50">
        <f>958.67*0.05*0.3</f>
        <v>14.380050000000001</v>
      </c>
      <c r="G991" s="283"/>
      <c r="H991" s="284"/>
    </row>
    <row r="992" spans="1:9" ht="25.5">
      <c r="A992" s="279"/>
      <c r="B992" s="186"/>
      <c r="C992" s="52"/>
      <c r="D992" s="282"/>
      <c r="E992" s="297" t="s">
        <v>1406</v>
      </c>
      <c r="F992" s="55">
        <f>958.67*0.07*0.1</f>
        <v>6.7106900000000014</v>
      </c>
      <c r="G992" s="283"/>
      <c r="H992" s="284"/>
    </row>
    <row r="993" spans="1:8" ht="12.75">
      <c r="A993" s="279"/>
      <c r="B993" s="280"/>
      <c r="C993" s="52"/>
      <c r="D993" s="282"/>
      <c r="E993" s="173" t="s">
        <v>411</v>
      </c>
      <c r="F993" s="50">
        <f>SUM(F990:F992)</f>
        <v>32.59478</v>
      </c>
      <c r="G993" s="283"/>
      <c r="H993" s="284"/>
    </row>
    <row r="994" spans="1:8" ht="31.5">
      <c r="A994" s="180"/>
      <c r="B994" s="46" t="s">
        <v>349</v>
      </c>
      <c r="C994" s="202"/>
      <c r="D994" s="203"/>
      <c r="E994" s="186" t="s">
        <v>1407</v>
      </c>
      <c r="F994" s="204"/>
      <c r="G994" s="205"/>
      <c r="H994" s="206"/>
    </row>
    <row r="995" spans="1:8" s="6" customFormat="1" ht="15">
      <c r="A995" s="152">
        <f>MAX(A$2:A994)+1</f>
        <v>104</v>
      </c>
      <c r="B995" s="255" t="s">
        <v>349</v>
      </c>
      <c r="C995" s="51" t="s">
        <v>350</v>
      </c>
      <c r="D995" s="88"/>
      <c r="E995" s="105" t="s">
        <v>351</v>
      </c>
      <c r="F995" s="106"/>
      <c r="G995" s="76" t="s">
        <v>44</v>
      </c>
      <c r="H995" s="77">
        <f>H996+H1002+H1019</f>
        <v>803.7299999999999</v>
      </c>
    </row>
    <row r="996" spans="1:8" s="6" customFormat="1" ht="12.75" customHeight="1">
      <c r="A996" s="152"/>
      <c r="B996" s="203"/>
      <c r="C996" s="51"/>
      <c r="D996" s="79" t="s">
        <v>1408</v>
      </c>
      <c r="E996" s="91" t="s">
        <v>1409</v>
      </c>
      <c r="F996" s="92"/>
      <c r="G996" s="83" t="s">
        <v>44</v>
      </c>
      <c r="H996" s="49">
        <f>ROUND(F1001,2)</f>
        <v>322.05</v>
      </c>
    </row>
    <row r="997" spans="1:8" s="195" customFormat="1" ht="12.75" customHeight="1">
      <c r="A997" s="324"/>
      <c r="B997" s="280"/>
      <c r="C997" s="281"/>
      <c r="D997" s="282"/>
      <c r="E997" s="195" t="s">
        <v>1410</v>
      </c>
      <c r="F997" s="50">
        <f>0.045*616+0.03*216</f>
        <v>34.199999999999996</v>
      </c>
      <c r="G997" s="305"/>
      <c r="H997" s="306"/>
    </row>
    <row r="998" spans="1:8" s="195" customFormat="1" ht="63.75">
      <c r="A998" s="324"/>
      <c r="B998" s="280"/>
      <c r="C998" s="281"/>
      <c r="D998" s="282"/>
      <c r="E998" s="195" t="s">
        <v>1411</v>
      </c>
      <c r="F998" s="50">
        <f>(0.106+0.42*0.35-0.22*0.15)*592+0.106*1.25*32+(0.42*0.35-0.22*0.15)*24+(0.067+0.34*0.365-0.14*0.165)*216+0.067*1.25*216+(0.34*0.365-0.14*0.165)*216</f>
        <v>213.41000000000003</v>
      </c>
      <c r="G998" s="305"/>
      <c r="H998" s="306"/>
    </row>
    <row r="999" spans="1:8" s="195" customFormat="1" ht="12.75" customHeight="1">
      <c r="A999" s="324"/>
      <c r="B999" s="280"/>
      <c r="C999" s="281"/>
      <c r="D999" s="282"/>
      <c r="E999" s="195" t="s">
        <v>1412</v>
      </c>
      <c r="F999" s="50">
        <f>2*6*(1.7-0.71*0.38)*1.1*2</f>
        <v>37.757280000000002</v>
      </c>
      <c r="G999" s="305"/>
      <c r="H999" s="306"/>
    </row>
    <row r="1000" spans="1:8" s="195" customFormat="1" ht="38.25">
      <c r="A1000" s="324"/>
      <c r="B1000" s="280"/>
      <c r="C1000" s="281"/>
      <c r="D1000" s="282"/>
      <c r="E1000" s="31" t="s">
        <v>1413</v>
      </c>
      <c r="F1000" s="55">
        <f>(4.9*2*4+0.65*6*2+0.9*6*2+0.8*4*4+0.9*4*2)*1.05*(3.14*0.143)</f>
        <v>36.680443799999999</v>
      </c>
      <c r="G1000" s="305"/>
      <c r="H1000" s="306"/>
    </row>
    <row r="1001" spans="1:8" s="4" customFormat="1" ht="12.75" customHeight="1">
      <c r="A1001" s="45"/>
      <c r="B1001" s="220"/>
      <c r="C1001" s="303"/>
      <c r="D1001" s="304"/>
      <c r="E1001" s="173" t="s">
        <v>411</v>
      </c>
      <c r="F1001" s="50">
        <f>SUM(F997:F1000)</f>
        <v>322.04772379999997</v>
      </c>
      <c r="G1001" s="305"/>
      <c r="H1001" s="306"/>
    </row>
    <row r="1002" spans="1:8" s="6" customFormat="1" ht="25.5">
      <c r="A1002" s="301"/>
      <c r="B1002" s="186"/>
      <c r="C1002" s="52"/>
      <c r="D1002" s="84" t="s">
        <v>1414</v>
      </c>
      <c r="E1002" s="81" t="s">
        <v>1415</v>
      </c>
      <c r="F1002" s="179"/>
      <c r="G1002" s="83" t="s">
        <v>44</v>
      </c>
      <c r="H1002" s="49">
        <f>ROUND(F1018,2)</f>
        <v>402.03</v>
      </c>
    </row>
    <row r="1003" spans="1:8" ht="25.5">
      <c r="A1003" s="279"/>
      <c r="B1003" s="280"/>
      <c r="C1003" s="281"/>
      <c r="D1003" s="282"/>
      <c r="E1003" s="195" t="s">
        <v>1416</v>
      </c>
      <c r="F1003" s="50"/>
      <c r="G1003" s="283"/>
      <c r="H1003" s="284"/>
    </row>
    <row r="1004" spans="1:8" s="14" customFormat="1" ht="12.75" customHeight="1">
      <c r="A1004" s="69"/>
      <c r="B1004" s="87"/>
      <c r="C1004" s="176"/>
      <c r="D1004" s="24"/>
      <c r="E1004" s="31" t="s">
        <v>1417</v>
      </c>
      <c r="F1004" s="265">
        <f>(9+86)*(49*3.14*0.012*0.1+4*3.14*0.016*0.1)</f>
        <v>19.449160000000003</v>
      </c>
      <c r="G1004" s="30"/>
      <c r="H1004" s="172"/>
    </row>
    <row r="1005" spans="1:8" ht="25.5">
      <c r="A1005" s="279"/>
      <c r="B1005" s="280"/>
      <c r="C1005" s="281"/>
      <c r="D1005" s="282"/>
      <c r="E1005" s="195" t="s">
        <v>1418</v>
      </c>
      <c r="F1005" s="55">
        <f>(9+80)*(18*3.14*0.012*0.1+2*3.14*0.016*0.1)</f>
        <v>6.9306080000000012</v>
      </c>
      <c r="G1005" s="283"/>
      <c r="H1005" s="284"/>
    </row>
    <row r="1006" spans="1:8" s="4" customFormat="1" ht="12.75" customHeight="1">
      <c r="A1006" s="45"/>
      <c r="B1006" s="220"/>
      <c r="C1006" s="303"/>
      <c r="D1006" s="304"/>
      <c r="E1006" s="173" t="s">
        <v>421</v>
      </c>
      <c r="F1006" s="50">
        <f>SUM(F1004:F1005)</f>
        <v>26.379768000000006</v>
      </c>
      <c r="G1006" s="305"/>
      <c r="H1006" s="306"/>
    </row>
    <row r="1007" spans="1:8" ht="12.75" customHeight="1">
      <c r="A1007" s="279"/>
      <c r="B1007" s="280"/>
      <c r="C1007" s="281"/>
      <c r="D1007" s="282"/>
      <c r="E1007" s="195" t="s">
        <v>1419</v>
      </c>
      <c r="F1007" s="50"/>
      <c r="G1007" s="283"/>
      <c r="H1007" s="284"/>
    </row>
    <row r="1008" spans="1:8" ht="12.75" customHeight="1">
      <c r="A1008" s="279"/>
      <c r="B1008" s="280"/>
      <c r="C1008" s="281"/>
      <c r="D1008" s="282"/>
      <c r="E1008" s="195" t="s">
        <v>1420</v>
      </c>
      <c r="F1008" s="50">
        <f>(0.06*2+0.01*2)*1.17*2*69</f>
        <v>22.604399999999995</v>
      </c>
      <c r="G1008" s="283"/>
      <c r="H1008" s="284"/>
    </row>
    <row r="1009" spans="1:8" s="4" customFormat="1" ht="38.25">
      <c r="A1009" s="45"/>
      <c r="B1009" s="220"/>
      <c r="C1009" s="303"/>
      <c r="D1009" s="304"/>
      <c r="E1009" s="31" t="s">
        <v>1421</v>
      </c>
      <c r="F1009" s="50">
        <f>(0.05*4*0.86*4+(2*0.05+2*0.005)*0.92*3+(2*0.02+2*0.005)*0.92+0.829*0.829*2+(2*0.07+2*0.005)*0.1*2)*12</f>
        <v>29.304983999999997</v>
      </c>
      <c r="G1009" s="304"/>
      <c r="H1009" s="306"/>
    </row>
    <row r="1010" spans="1:8" ht="12.75">
      <c r="A1010" s="279"/>
      <c r="B1010" s="280"/>
      <c r="C1010" s="281"/>
      <c r="D1010" s="282"/>
      <c r="E1010" s="195" t="s">
        <v>1422</v>
      </c>
      <c r="F1010" s="50"/>
      <c r="G1010" s="283"/>
      <c r="H1010" s="284"/>
    </row>
    <row r="1011" spans="1:8" ht="12.75">
      <c r="A1011" s="279"/>
      <c r="B1011" s="280"/>
      <c r="C1011" s="281"/>
      <c r="D1011" s="282"/>
      <c r="E1011" s="195" t="s">
        <v>1423</v>
      </c>
      <c r="F1011" s="55">
        <f>(3.14*0.025*0.5+0.000491*2)*(21+21)</f>
        <v>1.6897440000000001</v>
      </c>
      <c r="G1011" s="283"/>
      <c r="H1011" s="284"/>
    </row>
    <row r="1012" spans="1:8" s="4" customFormat="1" ht="12.75" customHeight="1">
      <c r="A1012" s="45"/>
      <c r="B1012" s="220"/>
      <c r="C1012" s="303"/>
      <c r="D1012" s="304"/>
      <c r="E1012" s="173" t="s">
        <v>421</v>
      </c>
      <c r="F1012" s="50">
        <f>SUM(F1008:F1011)</f>
        <v>53.599127999999986</v>
      </c>
      <c r="G1012" s="305"/>
      <c r="H1012" s="306"/>
    </row>
    <row r="1013" spans="1:8" s="4" customFormat="1" ht="12.75" customHeight="1">
      <c r="A1013" s="45"/>
      <c r="B1013" s="220"/>
      <c r="C1013" s="303"/>
      <c r="D1013" s="304"/>
      <c r="E1013" s="111" t="s">
        <v>1410</v>
      </c>
      <c r="F1013" s="109">
        <f>0.045*616+0.03*216</f>
        <v>34.199999999999996</v>
      </c>
      <c r="G1013" s="305"/>
      <c r="H1013" s="306"/>
    </row>
    <row r="1014" spans="1:8" s="4" customFormat="1" ht="63.75">
      <c r="A1014" s="45"/>
      <c r="B1014" s="220"/>
      <c r="C1014" s="303"/>
      <c r="D1014" s="304"/>
      <c r="E1014" s="111" t="s">
        <v>1411</v>
      </c>
      <c r="F1014" s="109">
        <f>(0.106+0.42*0.35-0.22*0.15)*592+0.106*1.25*32+(0.42*0.35-0.22*0.15)*24+(0.067+0.34*0.365-0.14*0.165)*216+0.067*1.25*216+(0.34*0.365-0.14*0.165)*216</f>
        <v>213.41000000000003</v>
      </c>
      <c r="G1014" s="305"/>
      <c r="H1014" s="306"/>
    </row>
    <row r="1015" spans="1:8" s="4" customFormat="1" ht="12.75" customHeight="1">
      <c r="A1015" s="45"/>
      <c r="B1015" s="220"/>
      <c r="C1015" s="303"/>
      <c r="D1015" s="304"/>
      <c r="E1015" s="111" t="s">
        <v>1424</v>
      </c>
      <c r="F1015" s="109">
        <f xml:space="preserve"> 2*6*(1.7-0.71*0.38)*1.1*2</f>
        <v>37.757280000000002</v>
      </c>
      <c r="G1015" s="305"/>
      <c r="H1015" s="306"/>
    </row>
    <row r="1016" spans="1:8" s="4" customFormat="1" ht="38.25">
      <c r="A1016" s="45"/>
      <c r="B1016" s="220"/>
      <c r="C1016" s="303"/>
      <c r="D1016" s="304"/>
      <c r="E1016" s="111" t="s">
        <v>1425</v>
      </c>
      <c r="F1016" s="112">
        <f>(4.9*2*4+0.65*6*2+0.9*6*2+0.8*4*4+0.9*4*2)*1.05*(3.14*0.143)</f>
        <v>36.680443799999999</v>
      </c>
      <c r="G1016" s="305"/>
      <c r="H1016" s="306"/>
    </row>
    <row r="1017" spans="1:8" s="4" customFormat="1" ht="12.75" customHeight="1">
      <c r="A1017" s="45"/>
      <c r="B1017" s="220"/>
      <c r="C1017" s="303"/>
      <c r="D1017" s="304"/>
      <c r="E1017" s="173" t="s">
        <v>421</v>
      </c>
      <c r="F1017" s="109">
        <f>SUM(F1013:F1016)</f>
        <v>322.04772379999997</v>
      </c>
      <c r="G1017" s="305"/>
      <c r="H1017" s="306"/>
    </row>
    <row r="1018" spans="1:8" s="4" customFormat="1" ht="12.75" customHeight="1">
      <c r="A1018" s="45"/>
      <c r="B1018" s="220"/>
      <c r="C1018" s="303"/>
      <c r="D1018" s="304"/>
      <c r="E1018" s="173" t="s">
        <v>411</v>
      </c>
      <c r="F1018" s="58">
        <f>F1006+F1012+F1017</f>
        <v>402.02661979999993</v>
      </c>
      <c r="G1018" s="305"/>
      <c r="H1018" s="306"/>
    </row>
    <row r="1019" spans="1:8" s="4" customFormat="1" ht="12.75" customHeight="1">
      <c r="A1019" s="45"/>
      <c r="B1019" s="220"/>
      <c r="C1019" s="303"/>
      <c r="D1019" s="79" t="s">
        <v>1426</v>
      </c>
      <c r="E1019" s="91" t="s">
        <v>1427</v>
      </c>
      <c r="F1019" s="92"/>
      <c r="G1019" s="83" t="s">
        <v>44</v>
      </c>
      <c r="H1019" s="49">
        <f>ROUND(F1024,2)</f>
        <v>79.650000000000006</v>
      </c>
    </row>
    <row r="1020" spans="1:8" ht="12.75" customHeight="1">
      <c r="A1020" s="279"/>
      <c r="B1020" s="280"/>
      <c r="C1020" s="281"/>
      <c r="D1020" s="282"/>
      <c r="E1020" s="195" t="s">
        <v>1428</v>
      </c>
      <c r="F1020" s="50"/>
      <c r="G1020" s="283"/>
      <c r="H1020" s="284"/>
    </row>
    <row r="1021" spans="1:8" ht="25.5">
      <c r="A1021" s="279"/>
      <c r="B1021" s="280"/>
      <c r="C1021" s="281"/>
      <c r="D1021" s="282"/>
      <c r="E1021" s="111" t="s">
        <v>1429</v>
      </c>
      <c r="F1021" s="109">
        <f>(0.22*0.15*616+0.14*0.165*216)*2</f>
        <v>50.635199999999998</v>
      </c>
      <c r="G1021" s="283"/>
      <c r="H1021" s="284"/>
    </row>
    <row r="1022" spans="1:8" s="14" customFormat="1" ht="38.25">
      <c r="A1022" s="69"/>
      <c r="B1022" s="87"/>
      <c r="C1022" s="176"/>
      <c r="D1022" s="24"/>
      <c r="E1022" s="31" t="s">
        <v>1430</v>
      </c>
      <c r="F1022" s="265">
        <f>((0.14*0.165)+2*(0.14+0.165)*0.035)*1.2*(8*2*2+6*6*2*2+4*2*2+3*2*4)*2</f>
        <v>23.042880000000004</v>
      </c>
      <c r="G1022" s="30"/>
      <c r="H1022" s="172"/>
    </row>
    <row r="1023" spans="1:8" s="14" customFormat="1" ht="25.5">
      <c r="A1023" s="69"/>
      <c r="B1023" s="87"/>
      <c r="C1023" s="176"/>
      <c r="D1023" s="24"/>
      <c r="E1023" s="31" t="s">
        <v>1431</v>
      </c>
      <c r="F1023" s="103">
        <f>(0.3*0.3+0.283)*16</f>
        <v>5.968</v>
      </c>
      <c r="G1023" s="30"/>
      <c r="H1023" s="172"/>
    </row>
    <row r="1024" spans="1:8" s="4" customFormat="1" ht="12.75" customHeight="1">
      <c r="A1024" s="45"/>
      <c r="B1024" s="220"/>
      <c r="C1024" s="303"/>
      <c r="D1024" s="304"/>
      <c r="E1024" s="173" t="s">
        <v>411</v>
      </c>
      <c r="F1024" s="58">
        <f>SUM(F1021:F1023)</f>
        <v>79.646079999999998</v>
      </c>
      <c r="G1024" s="325"/>
      <c r="H1024" s="326"/>
    </row>
    <row r="1025" spans="1:8" s="62" customFormat="1" ht="25.5">
      <c r="A1025" s="152">
        <f>MAX(A$2:A1012)+1</f>
        <v>105</v>
      </c>
      <c r="B1025" s="203" t="s">
        <v>349</v>
      </c>
      <c r="C1025" s="51" t="s">
        <v>352</v>
      </c>
      <c r="D1025" s="88"/>
      <c r="E1025" s="53" t="s">
        <v>353</v>
      </c>
      <c r="F1025" s="106"/>
      <c r="G1025" s="327" t="s">
        <v>44</v>
      </c>
      <c r="H1025" s="328">
        <f>H1026</f>
        <v>29.3</v>
      </c>
    </row>
    <row r="1026" spans="1:8" s="6" customFormat="1" ht="25.5">
      <c r="A1026" s="301"/>
      <c r="B1026" s="186"/>
      <c r="C1026" s="52"/>
      <c r="D1026" s="84" t="s">
        <v>1432</v>
      </c>
      <c r="E1026" s="81" t="s">
        <v>1433</v>
      </c>
      <c r="F1026" s="179"/>
      <c r="G1026" s="329" t="s">
        <v>44</v>
      </c>
      <c r="H1026" s="330">
        <f>ROUND(F1027,2)</f>
        <v>29.3</v>
      </c>
    </row>
    <row r="1027" spans="1:8" s="4" customFormat="1" ht="38.25">
      <c r="A1027" s="45"/>
      <c r="B1027" s="220"/>
      <c r="C1027" s="220"/>
      <c r="D1027" s="305"/>
      <c r="E1027" s="31" t="s">
        <v>1434</v>
      </c>
      <c r="F1027" s="265">
        <f>(0.05*4*0.86*4+(2*0.05+2*0.005)*0.92*3+(2*0.02+2*0.005)*0.92+0.829*0.829*2+(2*0.07+2*0.005)*0.1*2)*12</f>
        <v>29.304983999999997</v>
      </c>
      <c r="G1027" s="325"/>
      <c r="H1027" s="326"/>
    </row>
    <row r="1028" spans="1:8" s="4" customFormat="1" ht="12.75" customHeight="1">
      <c r="A1028" s="152">
        <f>MAX(A$2:A1026)+1</f>
        <v>106</v>
      </c>
      <c r="B1028" s="203" t="s">
        <v>349</v>
      </c>
      <c r="C1028" s="157" t="s">
        <v>354</v>
      </c>
      <c r="D1028" s="52"/>
      <c r="E1028" s="53" t="s">
        <v>355</v>
      </c>
      <c r="F1028" s="106"/>
      <c r="G1028" s="327" t="s">
        <v>44</v>
      </c>
      <c r="H1028" s="328">
        <f>H1029</f>
        <v>22.6</v>
      </c>
    </row>
    <row r="1029" spans="1:8" s="4" customFormat="1" ht="12.75" customHeight="1">
      <c r="A1029" s="45"/>
      <c r="B1029" s="220"/>
      <c r="C1029" s="220"/>
      <c r="D1029" s="79" t="s">
        <v>1435</v>
      </c>
      <c r="E1029" s="91" t="s">
        <v>1436</v>
      </c>
      <c r="F1029" s="179"/>
      <c r="G1029" s="329" t="s">
        <v>44</v>
      </c>
      <c r="H1029" s="330">
        <f>ROUND(F1031,2)</f>
        <v>22.6</v>
      </c>
    </row>
    <row r="1030" spans="1:8" s="31" customFormat="1" ht="12.75" customHeight="1">
      <c r="A1030" s="45"/>
      <c r="B1030" s="220"/>
      <c r="C1030" s="235"/>
      <c r="D1030" s="305"/>
      <c r="E1030" s="31" t="s">
        <v>1437</v>
      </c>
      <c r="F1030" s="251"/>
      <c r="G1030" s="325"/>
      <c r="H1030" s="326"/>
    </row>
    <row r="1031" spans="1:8" s="4" customFormat="1" ht="12.75" customHeight="1">
      <c r="A1031" s="45"/>
      <c r="B1031" s="220"/>
      <c r="C1031" s="220"/>
      <c r="D1031" s="305"/>
      <c r="E1031" s="31" t="s">
        <v>1438</v>
      </c>
      <c r="F1031" s="58">
        <f xml:space="preserve"> (0.06*2+0.01*2)*1.17*2*69</f>
        <v>22.604399999999995</v>
      </c>
      <c r="G1031" s="325"/>
      <c r="H1031" s="326"/>
    </row>
    <row r="1032" spans="1:8" s="62" customFormat="1" ht="12.75" customHeight="1">
      <c r="A1032" s="152">
        <f>MAX(A$2:A1031)+1</f>
        <v>107</v>
      </c>
      <c r="B1032" s="203" t="s">
        <v>349</v>
      </c>
      <c r="C1032" s="157" t="s">
        <v>356</v>
      </c>
      <c r="D1032" s="52"/>
      <c r="E1032" s="53" t="s">
        <v>357</v>
      </c>
      <c r="F1032" s="106"/>
      <c r="G1032" s="76" t="s">
        <v>44</v>
      </c>
      <c r="H1032" s="77">
        <f>H1033</f>
        <v>7945.8</v>
      </c>
    </row>
    <row r="1033" spans="1:8" s="6" customFormat="1" ht="25.5">
      <c r="A1033" s="301"/>
      <c r="B1033" s="186"/>
      <c r="C1033" s="240"/>
      <c r="D1033" s="79" t="s">
        <v>1439</v>
      </c>
      <c r="E1033" s="81" t="s">
        <v>1440</v>
      </c>
      <c r="F1033" s="179"/>
      <c r="G1033" s="83" t="s">
        <v>44</v>
      </c>
      <c r="H1033" s="330">
        <f>ROUND(F1037,2)</f>
        <v>7945.8</v>
      </c>
    </row>
    <row r="1034" spans="1:8" ht="12.75" customHeight="1">
      <c r="A1034" s="279"/>
      <c r="B1034" s="280"/>
      <c r="C1034" s="281"/>
      <c r="D1034" s="282"/>
      <c r="E1034" s="195" t="s">
        <v>1441</v>
      </c>
      <c r="F1034" s="50"/>
      <c r="G1034" s="283"/>
      <c r="H1034" s="284"/>
    </row>
    <row r="1035" spans="1:8" ht="12.75" customHeight="1">
      <c r="A1035" s="279"/>
      <c r="B1035" s="280"/>
      <c r="C1035" s="281"/>
      <c r="D1035" s="282"/>
      <c r="E1035" s="195" t="s">
        <v>1442</v>
      </c>
      <c r="F1035" s="50">
        <f>12.53*271.3</f>
        <v>3399.3890000000001</v>
      </c>
      <c r="G1035" s="283"/>
      <c r="H1035" s="284"/>
    </row>
    <row r="1036" spans="1:8" ht="12.75" customHeight="1">
      <c r="A1036" s="279"/>
      <c r="B1036" s="280"/>
      <c r="C1036" s="281"/>
      <c r="D1036" s="282"/>
      <c r="E1036" s="195" t="s">
        <v>1443</v>
      </c>
      <c r="F1036" s="55">
        <f>12.65*359.4</f>
        <v>4546.41</v>
      </c>
      <c r="G1036" s="283"/>
      <c r="H1036" s="284"/>
    </row>
    <row r="1037" spans="1:8" s="4" customFormat="1" ht="12.75" customHeight="1">
      <c r="A1037" s="45"/>
      <c r="B1037" s="220"/>
      <c r="C1037" s="303"/>
      <c r="D1037" s="304"/>
      <c r="E1037" s="173" t="s">
        <v>411</v>
      </c>
      <c r="F1037" s="50">
        <f>F1035+F1036</f>
        <v>7945.799</v>
      </c>
      <c r="G1037" s="305"/>
      <c r="H1037" s="306"/>
    </row>
    <row r="1038" spans="1:8" s="62" customFormat="1" ht="12.75" customHeight="1">
      <c r="A1038" s="152">
        <f>MAX(A$2:A1037)+1</f>
        <v>108</v>
      </c>
      <c r="B1038" s="255" t="s">
        <v>349</v>
      </c>
      <c r="C1038" s="51" t="s">
        <v>358</v>
      </c>
      <c r="D1038" s="88"/>
      <c r="E1038" s="53" t="s">
        <v>359</v>
      </c>
      <c r="F1038" s="106"/>
      <c r="G1038" s="76" t="s">
        <v>44</v>
      </c>
      <c r="H1038" s="77">
        <f>H1039</f>
        <v>5.46</v>
      </c>
    </row>
    <row r="1039" spans="1:8" s="6" customFormat="1" ht="25.5">
      <c r="A1039" s="301"/>
      <c r="B1039" s="186"/>
      <c r="C1039" s="52"/>
      <c r="D1039" s="84" t="s">
        <v>1444</v>
      </c>
      <c r="E1039" s="81" t="s">
        <v>1445</v>
      </c>
      <c r="F1039" s="179"/>
      <c r="G1039" s="83" t="s">
        <v>44</v>
      </c>
      <c r="H1039" s="49">
        <f>ROUND(F1041,2)</f>
        <v>5.46</v>
      </c>
    </row>
    <row r="1040" spans="1:8" ht="25.5">
      <c r="A1040" s="279"/>
      <c r="B1040" s="280"/>
      <c r="C1040" s="281"/>
      <c r="D1040" s="282"/>
      <c r="E1040" s="195" t="s">
        <v>1446</v>
      </c>
      <c r="F1040" s="58"/>
      <c r="G1040" s="282"/>
      <c r="H1040" s="284"/>
    </row>
    <row r="1041" spans="1:8" ht="12.75" customHeight="1">
      <c r="A1041" s="279"/>
      <c r="B1041" s="280"/>
      <c r="C1041" s="281"/>
      <c r="D1041" s="282"/>
      <c r="E1041" s="195" t="s">
        <v>1447</v>
      </c>
      <c r="F1041" s="58">
        <f>0.04*2*2*3*10.25+0.045*2*2*3</f>
        <v>5.46</v>
      </c>
      <c r="G1041" s="282"/>
      <c r="H1041" s="284"/>
    </row>
    <row r="1042" spans="1:8" s="62" customFormat="1" ht="15">
      <c r="A1042" s="152">
        <f>MAX(A$2:A1041)+1</f>
        <v>109</v>
      </c>
      <c r="B1042" s="255" t="s">
        <v>349</v>
      </c>
      <c r="C1042" s="51" t="s">
        <v>360</v>
      </c>
      <c r="D1042" s="52"/>
      <c r="E1042" s="53" t="s">
        <v>361</v>
      </c>
      <c r="F1042" s="106"/>
      <c r="G1042" s="76" t="s">
        <v>44</v>
      </c>
      <c r="H1042" s="77">
        <f>H1043+H1051</f>
        <v>13450.220000000001</v>
      </c>
    </row>
    <row r="1043" spans="1:8" s="6" customFormat="1">
      <c r="A1043" s="301"/>
      <c r="B1043" s="181"/>
      <c r="C1043" s="36"/>
      <c r="D1043" s="37" t="s">
        <v>1448</v>
      </c>
      <c r="E1043" s="38" t="s">
        <v>1449</v>
      </c>
      <c r="F1043" s="313"/>
      <c r="G1043" s="331" t="s">
        <v>44</v>
      </c>
      <c r="H1043" s="49">
        <f>ROUND(F1050,2)</f>
        <v>9906.1200000000008</v>
      </c>
    </row>
    <row r="1044" spans="1:8" s="6" customFormat="1">
      <c r="A1044" s="301"/>
      <c r="B1044" s="181"/>
      <c r="C1044" s="36"/>
      <c r="D1044" s="37"/>
      <c r="E1044" s="31" t="s">
        <v>1450</v>
      </c>
      <c r="F1044" s="313"/>
      <c r="G1044" s="331"/>
      <c r="H1044" s="49"/>
    </row>
    <row r="1045" spans="1:8" s="6" customFormat="1">
      <c r="A1045" s="301"/>
      <c r="B1045" s="181"/>
      <c r="C1045" s="36"/>
      <c r="D1045" s="37"/>
      <c r="E1045" s="31" t="s">
        <v>1451</v>
      </c>
      <c r="F1045" s="313"/>
      <c r="G1045" s="331"/>
      <c r="H1045" s="49"/>
    </row>
    <row r="1046" spans="1:8" s="6" customFormat="1" ht="12.75" customHeight="1">
      <c r="A1046" s="301"/>
      <c r="B1046" s="181"/>
      <c r="C1046" s="36"/>
      <c r="D1046" s="37"/>
      <c r="E1046" s="31" t="s">
        <v>1452</v>
      </c>
      <c r="F1046" s="313"/>
      <c r="G1046" s="331"/>
      <c r="H1046" s="49"/>
    </row>
    <row r="1047" spans="1:8" ht="12.75" customHeight="1">
      <c r="A1047" s="279"/>
      <c r="B1047" s="280"/>
      <c r="C1047" s="281"/>
      <c r="D1047" s="282"/>
      <c r="E1047" s="195" t="s">
        <v>1453</v>
      </c>
      <c r="F1047" s="50">
        <f>8596.3-1438.3-3569.4</f>
        <v>3588.599999999999</v>
      </c>
      <c r="G1047" s="283"/>
      <c r="H1047" s="284"/>
    </row>
    <row r="1048" spans="1:8" ht="12.75" customHeight="1">
      <c r="A1048" s="279"/>
      <c r="B1048" s="280"/>
      <c r="C1048" s="281"/>
      <c r="D1048" s="282"/>
      <c r="E1048" s="195" t="s">
        <v>1454</v>
      </c>
      <c r="F1048" s="50">
        <f xml:space="preserve"> 493.9+5290</f>
        <v>5783.9</v>
      </c>
      <c r="G1048" s="283"/>
      <c r="H1048" s="284"/>
    </row>
    <row r="1049" spans="1:8" ht="12.75" customHeight="1">
      <c r="A1049" s="279"/>
      <c r="B1049" s="280"/>
      <c r="C1049" s="281"/>
      <c r="D1049" s="282"/>
      <c r="E1049" s="195" t="s">
        <v>1455</v>
      </c>
      <c r="F1049" s="55">
        <f>70.302+289.17+44.415+129.73</f>
        <v>533.61700000000008</v>
      </c>
      <c r="G1049" s="283"/>
      <c r="H1049" s="284"/>
    </row>
    <row r="1050" spans="1:8" s="4" customFormat="1" ht="12.75" customHeight="1">
      <c r="A1050" s="45"/>
      <c r="B1050" s="220"/>
      <c r="C1050" s="303"/>
      <c r="D1050" s="304"/>
      <c r="E1050" s="173" t="s">
        <v>411</v>
      </c>
      <c r="F1050" s="50">
        <f>SUM(F1047:F1049)</f>
        <v>9906.1169999999984</v>
      </c>
      <c r="G1050" s="305"/>
      <c r="H1050" s="306"/>
    </row>
    <row r="1051" spans="1:8" s="6" customFormat="1">
      <c r="A1051" s="301"/>
      <c r="B1051" s="186"/>
      <c r="C1051" s="52"/>
      <c r="D1051" s="37" t="s">
        <v>1456</v>
      </c>
      <c r="E1051" s="38" t="s">
        <v>1457</v>
      </c>
      <c r="F1051" s="313"/>
      <c r="G1051" s="331" t="s">
        <v>44</v>
      </c>
      <c r="H1051" s="49">
        <f>ROUND(F1059,2)</f>
        <v>3544.1</v>
      </c>
    </row>
    <row r="1052" spans="1:8" s="6" customFormat="1" ht="25.5">
      <c r="A1052" s="301"/>
      <c r="B1052" s="181"/>
      <c r="C1052" s="36"/>
      <c r="D1052" s="37"/>
      <c r="E1052" s="31" t="s">
        <v>1458</v>
      </c>
      <c r="F1052" s="313"/>
      <c r="G1052" s="331"/>
      <c r="H1052" s="49"/>
    </row>
    <row r="1053" spans="1:8" ht="12.75" customHeight="1">
      <c r="A1053" s="279"/>
      <c r="B1053" s="280"/>
      <c r="C1053" s="281"/>
      <c r="D1053" s="282"/>
      <c r="E1053" s="31" t="s">
        <v>1459</v>
      </c>
      <c r="F1053" s="50">
        <f>1438.7</f>
        <v>1438.7</v>
      </c>
      <c r="G1053" s="283"/>
      <c r="H1053" s="284"/>
    </row>
    <row r="1054" spans="1:8" ht="12.75" customHeight="1">
      <c r="A1054" s="279"/>
      <c r="B1054" s="280"/>
      <c r="C1054" s="281"/>
      <c r="D1054" s="282"/>
      <c r="E1054" s="31" t="s">
        <v>1460</v>
      </c>
      <c r="F1054" s="55">
        <f>544.6</f>
        <v>544.6</v>
      </c>
      <c r="G1054" s="283"/>
      <c r="H1054" s="284"/>
    </row>
    <row r="1055" spans="1:8" s="4" customFormat="1" ht="12.75" customHeight="1">
      <c r="A1055" s="45"/>
      <c r="B1055" s="220"/>
      <c r="C1055" s="303"/>
      <c r="D1055" s="304"/>
      <c r="E1055" s="173" t="s">
        <v>421</v>
      </c>
      <c r="F1055" s="50">
        <f>F1053+F1054</f>
        <v>1983.3000000000002</v>
      </c>
      <c r="G1055" s="305"/>
      <c r="H1055" s="306"/>
    </row>
    <row r="1056" spans="1:8" s="4" customFormat="1" ht="12.75" customHeight="1">
      <c r="A1056" s="45"/>
      <c r="B1056" s="220"/>
      <c r="C1056" s="303"/>
      <c r="D1056" s="304"/>
      <c r="E1056" s="31" t="s">
        <v>1461</v>
      </c>
      <c r="F1056" s="50">
        <f>528.041+1529.722-70.302-289.17-44.415-129.73</f>
        <v>1524.146</v>
      </c>
      <c r="G1056" s="304"/>
      <c r="H1056" s="306"/>
    </row>
    <row r="1057" spans="1:8" s="4" customFormat="1" ht="12.75" customHeight="1">
      <c r="A1057" s="45"/>
      <c r="B1057" s="220"/>
      <c r="C1057" s="303"/>
      <c r="D1057" s="304"/>
      <c r="E1057" s="31" t="s">
        <v>1462</v>
      </c>
      <c r="F1057" s="55">
        <f>19.342+17.308</f>
        <v>36.65</v>
      </c>
      <c r="G1057" s="304"/>
      <c r="H1057" s="306"/>
    </row>
    <row r="1058" spans="1:8" s="4" customFormat="1" ht="12.75" customHeight="1">
      <c r="A1058" s="45"/>
      <c r="B1058" s="220"/>
      <c r="C1058" s="303"/>
      <c r="D1058" s="304"/>
      <c r="E1058" s="173" t="s">
        <v>421</v>
      </c>
      <c r="F1058" s="50">
        <f>F1056+F1057</f>
        <v>1560.796</v>
      </c>
      <c r="G1058" s="304"/>
      <c r="H1058" s="306"/>
    </row>
    <row r="1059" spans="1:8" s="4" customFormat="1" ht="12.75" customHeight="1">
      <c r="A1059" s="45"/>
      <c r="B1059" s="220"/>
      <c r="C1059" s="303"/>
      <c r="D1059" s="304"/>
      <c r="E1059" s="173" t="s">
        <v>411</v>
      </c>
      <c r="F1059" s="50">
        <f>F1055+F1058</f>
        <v>3544.0960000000005</v>
      </c>
      <c r="G1059" s="305"/>
      <c r="H1059" s="306"/>
    </row>
    <row r="1060" spans="1:8" ht="12.75">
      <c r="A1060" s="152">
        <f>MAX(A$2:A1059)+1</f>
        <v>110</v>
      </c>
      <c r="B1060" s="253" t="s">
        <v>349</v>
      </c>
      <c r="C1060" s="51" t="s">
        <v>362</v>
      </c>
      <c r="D1060" s="88"/>
      <c r="E1060" s="105" t="s">
        <v>363</v>
      </c>
      <c r="F1060" s="106"/>
      <c r="G1060" s="76" t="s">
        <v>44</v>
      </c>
      <c r="H1060" s="146">
        <f>H1061</f>
        <v>361.5</v>
      </c>
    </row>
    <row r="1061" spans="1:8" ht="25.5">
      <c r="A1061" s="45"/>
      <c r="B1061" s="161"/>
      <c r="C1061" s="168"/>
      <c r="D1061" s="84" t="s">
        <v>1463</v>
      </c>
      <c r="E1061" s="81" t="s">
        <v>1464</v>
      </c>
      <c r="F1061" s="179"/>
      <c r="G1061" s="83" t="s">
        <v>44</v>
      </c>
      <c r="H1061" s="49">
        <f>ROUND(F1071,2)</f>
        <v>361.5</v>
      </c>
    </row>
    <row r="1062" spans="1:8" ht="12.75">
      <c r="A1062" s="279"/>
      <c r="B1062" s="280"/>
      <c r="C1062" s="281"/>
      <c r="D1062" s="282"/>
      <c r="E1062" s="195" t="s">
        <v>1465</v>
      </c>
      <c r="F1062" s="58" t="s">
        <v>451</v>
      </c>
      <c r="G1062" s="282"/>
      <c r="H1062" s="284"/>
    </row>
    <row r="1063" spans="1:8" ht="12.75">
      <c r="A1063" s="279"/>
      <c r="B1063" s="280"/>
      <c r="C1063" s="281"/>
      <c r="D1063" s="282"/>
      <c r="E1063" s="195" t="s">
        <v>1466</v>
      </c>
      <c r="F1063" s="58">
        <f>(9+11*2*9+9+5*2)*0.2</f>
        <v>45.2</v>
      </c>
      <c r="G1063" s="282"/>
      <c r="H1063" s="284"/>
    </row>
    <row r="1064" spans="1:8" ht="12.75">
      <c r="A1064" s="279"/>
      <c r="B1064" s="280"/>
      <c r="C1064" s="281"/>
      <c r="D1064" s="283"/>
      <c r="E1064" s="195" t="s">
        <v>1467</v>
      </c>
      <c r="F1064" s="58"/>
      <c r="G1064" s="282"/>
      <c r="H1064" s="284"/>
    </row>
    <row r="1065" spans="1:8" ht="38.25">
      <c r="A1065" s="279"/>
      <c r="B1065" s="280"/>
      <c r="C1065" s="281"/>
      <c r="D1065" s="283"/>
      <c r="E1065" s="31" t="s">
        <v>1468</v>
      </c>
      <c r="F1065" s="58">
        <f>(4.9*2*4+0.65*6*2+0.9*6*2+0.8*4*4+0.9*4*2)*1.05*(3.14*0.143+3.14*0.152)</f>
        <v>75.669446999999991</v>
      </c>
      <c r="G1065" s="282"/>
      <c r="H1065" s="284"/>
    </row>
    <row r="1066" spans="1:8" ht="12.75">
      <c r="A1066" s="279"/>
      <c r="B1066" s="280"/>
      <c r="C1066" s="281"/>
      <c r="D1066" s="283"/>
      <c r="E1066" s="31" t="s">
        <v>1469</v>
      </c>
      <c r="F1066" s="58">
        <f>2*6*1.7*1.2*2</f>
        <v>48.959999999999994</v>
      </c>
      <c r="G1066" s="282"/>
      <c r="H1066" s="284"/>
    </row>
    <row r="1067" spans="1:8" ht="25.5">
      <c r="A1067" s="279"/>
      <c r="B1067" s="280"/>
      <c r="C1067" s="281"/>
      <c r="D1067" s="283"/>
      <c r="E1067" s="31" t="s">
        <v>1470</v>
      </c>
      <c r="F1067" s="58">
        <f>0.106*592+0.106*1.25*24+0.067*216+0.067*1.25*216</f>
        <v>98.494</v>
      </c>
      <c r="G1067" s="282"/>
      <c r="H1067" s="284"/>
    </row>
    <row r="1068" spans="1:8" ht="38.25">
      <c r="A1068" s="279"/>
      <c r="B1068" s="280"/>
      <c r="C1068" s="281"/>
      <c r="D1068" s="283"/>
      <c r="E1068" s="31" t="s">
        <v>1471</v>
      </c>
      <c r="F1068" s="58">
        <f>0.056*3.14*(0.051+0.046)*(16*3*2*2+4*3*2*2+18*3*2*2+18*2*2+16*3*2*2*2+15*4*2*2+4*3*2*4+3*3*2*4+12*4)</f>
        <v>23.333264640000003</v>
      </c>
      <c r="G1068" s="282"/>
      <c r="H1068" s="284"/>
    </row>
    <row r="1069" spans="1:8" ht="12.75">
      <c r="A1069" s="279"/>
      <c r="B1069" s="280"/>
      <c r="C1069" s="281"/>
      <c r="D1069" s="283"/>
      <c r="E1069" s="31" t="s">
        <v>1472</v>
      </c>
      <c r="F1069" s="58">
        <f>0.085*616+0.06*216</f>
        <v>65.320000000000007</v>
      </c>
      <c r="G1069" s="282"/>
      <c r="H1069" s="284"/>
    </row>
    <row r="1070" spans="1:8" ht="12.75">
      <c r="A1070" s="279"/>
      <c r="B1070" s="280"/>
      <c r="C1070" s="281"/>
      <c r="D1070" s="283"/>
      <c r="E1070" s="31" t="s">
        <v>1473</v>
      </c>
      <c r="F1070" s="292">
        <f>0.283*16</f>
        <v>4.5279999999999996</v>
      </c>
      <c r="G1070" s="282"/>
      <c r="H1070" s="284"/>
    </row>
    <row r="1071" spans="1:8" ht="12.75">
      <c r="A1071" s="279"/>
      <c r="B1071" s="280"/>
      <c r="C1071" s="281"/>
      <c r="D1071" s="283"/>
      <c r="E1071" s="173" t="s">
        <v>411</v>
      </c>
      <c r="F1071" s="58">
        <f>SUM(F1062:F1070)</f>
        <v>361.50471163999998</v>
      </c>
      <c r="G1071" s="282"/>
      <c r="H1071" s="284"/>
    </row>
    <row r="1072" spans="1:8" ht="12.75">
      <c r="A1072" s="152">
        <f>MAX(A$2:A1063)+1</f>
        <v>111</v>
      </c>
      <c r="B1072" s="253" t="s">
        <v>349</v>
      </c>
      <c r="C1072" s="51" t="s">
        <v>364</v>
      </c>
      <c r="D1072" s="88"/>
      <c r="E1072" s="105" t="s">
        <v>365</v>
      </c>
      <c r="F1072" s="106"/>
      <c r="G1072" s="76" t="s">
        <v>44</v>
      </c>
      <c r="H1072" s="146">
        <f>H1073</f>
        <v>317.99</v>
      </c>
    </row>
    <row r="1073" spans="1:8">
      <c r="A1073" s="45"/>
      <c r="B1073" s="161"/>
      <c r="C1073" s="168"/>
      <c r="D1073" s="84" t="s">
        <v>1474</v>
      </c>
      <c r="E1073" s="81" t="s">
        <v>1475</v>
      </c>
      <c r="F1073" s="179"/>
      <c r="G1073" s="83" t="s">
        <v>44</v>
      </c>
      <c r="H1073" s="49">
        <f>ROUND(F1082,2)</f>
        <v>317.99</v>
      </c>
    </row>
    <row r="1074" spans="1:8" s="14" customFormat="1" ht="12.75" customHeight="1">
      <c r="A1074" s="35"/>
      <c r="B1074" s="332"/>
      <c r="C1074" s="168"/>
      <c r="D1074" s="37"/>
      <c r="E1074" s="31" t="s">
        <v>1476</v>
      </c>
      <c r="F1074" s="333"/>
      <c r="G1074" s="168"/>
      <c r="H1074" s="146"/>
    </row>
    <row r="1075" spans="1:8" s="14" customFormat="1" ht="12.75" customHeight="1">
      <c r="A1075" s="69"/>
      <c r="B1075" s="87"/>
      <c r="C1075" s="176"/>
      <c r="D1075" s="24"/>
      <c r="E1075" s="31" t="s">
        <v>1423</v>
      </c>
      <c r="F1075" s="265">
        <f>(3.14*0.025*0.5+0.000491*2)*(21+21)</f>
        <v>1.6897440000000001</v>
      </c>
      <c r="G1075" s="30"/>
      <c r="H1075" s="172"/>
    </row>
    <row r="1076" spans="1:8" s="14" customFormat="1" ht="38.25">
      <c r="A1076" s="35"/>
      <c r="B1076" s="332"/>
      <c r="C1076" s="168"/>
      <c r="D1076" s="37"/>
      <c r="E1076" s="31" t="s">
        <v>1468</v>
      </c>
      <c r="F1076" s="58">
        <f>(4.9*2*4+0.65*6*2+0.9*6*2+0.8*4*4+0.9*4*2)*1.05*(3.14*0.143+3.14*0.152)</f>
        <v>75.669446999999991</v>
      </c>
      <c r="G1076" s="168"/>
      <c r="H1076" s="146"/>
    </row>
    <row r="1077" spans="1:8" s="14" customFormat="1" ht="12.75" customHeight="1">
      <c r="A1077" s="35"/>
      <c r="B1077" s="332"/>
      <c r="C1077" s="168"/>
      <c r="D1077" s="37"/>
      <c r="E1077" s="31" t="s">
        <v>1469</v>
      </c>
      <c r="F1077" s="58">
        <f>2*6*1.7*1.2*2</f>
        <v>48.959999999999994</v>
      </c>
      <c r="G1077" s="168"/>
      <c r="H1077" s="146"/>
    </row>
    <row r="1078" spans="1:8" s="14" customFormat="1" ht="25.5">
      <c r="A1078" s="35"/>
      <c r="B1078" s="332"/>
      <c r="C1078" s="168"/>
      <c r="D1078" s="37"/>
      <c r="E1078" s="31" t="s">
        <v>1470</v>
      </c>
      <c r="F1078" s="58">
        <f>0.106*592+0.106*1.25*24+0.067*216+0.067*1.25*216</f>
        <v>98.494</v>
      </c>
      <c r="G1078" s="168"/>
      <c r="H1078" s="146"/>
    </row>
    <row r="1079" spans="1:8" s="14" customFormat="1" ht="38.25">
      <c r="A1079" s="35"/>
      <c r="B1079" s="332"/>
      <c r="C1079" s="168"/>
      <c r="D1079" s="37"/>
      <c r="E1079" s="31" t="s">
        <v>1471</v>
      </c>
      <c r="F1079" s="58">
        <f>0.056*3.14*(0.051+0.046)*(16*3*2*2+4*3*2*2+18*3*2*2+18*2*2+16*3*2*2*2+15*4*2*2+4*3*2*4+3*3*2*4+12*4)</f>
        <v>23.333264640000003</v>
      </c>
      <c r="G1079" s="168"/>
      <c r="H1079" s="146"/>
    </row>
    <row r="1080" spans="1:8" s="14" customFormat="1" ht="12.75" customHeight="1">
      <c r="A1080" s="35"/>
      <c r="B1080" s="332"/>
      <c r="C1080" s="168"/>
      <c r="D1080" s="37"/>
      <c r="E1080" s="31" t="s">
        <v>1472</v>
      </c>
      <c r="F1080" s="58">
        <f>0.085*616+0.06*216</f>
        <v>65.320000000000007</v>
      </c>
      <c r="G1080" s="168"/>
      <c r="H1080" s="146"/>
    </row>
    <row r="1081" spans="1:8" s="14" customFormat="1" ht="12.75" customHeight="1">
      <c r="A1081" s="35"/>
      <c r="B1081" s="332"/>
      <c r="C1081" s="168"/>
      <c r="D1081" s="37"/>
      <c r="E1081" s="31" t="s">
        <v>1473</v>
      </c>
      <c r="F1081" s="292">
        <f>0.283*16</f>
        <v>4.5279999999999996</v>
      </c>
      <c r="G1081" s="168"/>
      <c r="H1081" s="146"/>
    </row>
    <row r="1082" spans="1:8" s="14" customFormat="1" ht="12.75" customHeight="1">
      <c r="A1082" s="35"/>
      <c r="B1082" s="332"/>
      <c r="C1082" s="168"/>
      <c r="D1082" s="37"/>
      <c r="E1082" s="173" t="s">
        <v>411</v>
      </c>
      <c r="F1082" s="58">
        <f>SUM(F1074:F1081)</f>
        <v>317.99445564000001</v>
      </c>
      <c r="G1082" s="168"/>
      <c r="H1082" s="146"/>
    </row>
    <row r="1083" spans="1:8">
      <c r="A1083" s="45"/>
      <c r="B1083" s="161"/>
      <c r="C1083" s="168"/>
      <c r="D1083" s="37"/>
      <c r="E1083" s="173"/>
      <c r="F1083" s="265"/>
      <c r="G1083" s="168"/>
      <c r="H1083" s="146"/>
    </row>
    <row r="1084" spans="1:8" ht="16.5" thickBot="1">
      <c r="A1084" s="334"/>
      <c r="B1084" s="335"/>
      <c r="C1084" s="336"/>
      <c r="D1084" s="336"/>
      <c r="E1084" s="337"/>
      <c r="F1084" s="338"/>
      <c r="G1084" s="339"/>
      <c r="H1084" s="340"/>
    </row>
    <row r="1085" spans="1:8">
      <c r="B1085" s="342"/>
      <c r="C1085" s="139"/>
      <c r="D1085" s="140"/>
      <c r="E1085" s="47"/>
      <c r="F1085" s="134"/>
      <c r="G1085" s="131"/>
    </row>
    <row r="1086" spans="1:8">
      <c r="C1086" s="343"/>
      <c r="D1086" s="344"/>
      <c r="E1086" s="345" t="s">
        <v>451</v>
      </c>
      <c r="F1086" s="346"/>
      <c r="G1086" s="347"/>
    </row>
    <row r="1087" spans="1:8">
      <c r="C1087" s="343"/>
      <c r="D1087" s="344"/>
      <c r="E1087" s="345"/>
      <c r="F1087" s="346"/>
      <c r="G1087" s="347"/>
    </row>
    <row r="1088" spans="1:8">
      <c r="C1088" s="343"/>
      <c r="D1088" s="344"/>
    </row>
    <row r="1089" spans="1:7">
      <c r="C1089" s="343"/>
      <c r="D1089" s="344"/>
    </row>
    <row r="1090" spans="1:7" ht="15">
      <c r="A1090" s="406"/>
      <c r="B1090" s="406"/>
      <c r="C1090" s="343"/>
      <c r="D1090" s="344"/>
      <c r="E1090" s="345"/>
      <c r="F1090" s="346"/>
      <c r="G1090" s="350"/>
    </row>
    <row r="1091" spans="1:7" ht="14.25">
      <c r="A1091" s="406"/>
      <c r="B1091" s="406"/>
      <c r="C1091" s="343"/>
      <c r="D1091" s="344"/>
    </row>
    <row r="1092" spans="1:7" ht="14.25">
      <c r="A1092" s="406"/>
      <c r="B1092" s="406"/>
      <c r="C1092" s="343"/>
      <c r="D1092" s="344"/>
    </row>
    <row r="1093" spans="1:7" ht="15">
      <c r="A1093" s="406"/>
      <c r="B1093" s="406"/>
      <c r="C1093" s="343"/>
      <c r="D1093" s="344"/>
      <c r="E1093" s="345"/>
      <c r="F1093" s="346"/>
      <c r="G1093" s="350"/>
    </row>
    <row r="1094" spans="1:7" ht="15">
      <c r="A1094" s="406"/>
      <c r="B1094" s="406"/>
      <c r="C1094" s="343"/>
      <c r="D1094" s="344"/>
      <c r="E1094" s="345"/>
      <c r="F1094" s="346"/>
      <c r="G1094" s="350"/>
    </row>
    <row r="1095" spans="1:7" ht="14.25">
      <c r="A1095" s="406"/>
      <c r="B1095" s="406"/>
      <c r="C1095" s="343"/>
      <c r="D1095" s="344"/>
    </row>
    <row r="1096" spans="1:7" ht="15">
      <c r="A1096" s="406"/>
      <c r="B1096" s="406"/>
      <c r="C1096" s="343"/>
      <c r="D1096" s="344"/>
      <c r="E1096" s="345"/>
      <c r="F1096" s="346"/>
      <c r="G1096" s="350"/>
    </row>
    <row r="1097" spans="1:7" ht="15">
      <c r="A1097" s="406"/>
      <c r="B1097" s="406"/>
      <c r="C1097" s="343"/>
      <c r="D1097" s="344"/>
      <c r="E1097" s="345" t="s">
        <v>451</v>
      </c>
      <c r="F1097" s="346"/>
      <c r="G1097" s="350" t="s">
        <v>451</v>
      </c>
    </row>
    <row r="1098" spans="1:7" ht="15">
      <c r="A1098" s="406"/>
      <c r="B1098" s="406"/>
      <c r="C1098" s="343"/>
      <c r="D1098" s="344"/>
      <c r="E1098" s="345"/>
      <c r="F1098" s="346"/>
      <c r="G1098" s="350"/>
    </row>
    <row r="1099" spans="1:7" ht="14.25">
      <c r="A1099" s="406"/>
      <c r="B1099" s="406"/>
      <c r="C1099" s="343"/>
      <c r="D1099" s="344"/>
      <c r="E1099" s="345" t="s">
        <v>451</v>
      </c>
      <c r="G1099" s="349" t="s">
        <v>451</v>
      </c>
    </row>
    <row r="1100" spans="1:7" ht="14.25">
      <c r="A1100" s="406"/>
      <c r="B1100" s="406"/>
      <c r="C1100" s="343"/>
      <c r="D1100" s="344"/>
    </row>
    <row r="1101" spans="1:7" ht="15">
      <c r="A1101" s="406"/>
      <c r="B1101" s="406"/>
      <c r="C1101" s="343"/>
      <c r="D1101" s="344"/>
      <c r="E1101" s="351"/>
      <c r="F1101" s="352"/>
      <c r="G1101" s="353"/>
    </row>
    <row r="1102" spans="1:7" ht="15">
      <c r="A1102" s="406"/>
      <c r="B1102" s="406"/>
      <c r="E1102" s="354"/>
      <c r="F1102" s="355"/>
      <c r="G1102" s="356"/>
    </row>
    <row r="1103" spans="1:7" ht="15">
      <c r="A1103" s="406"/>
      <c r="B1103" s="406"/>
      <c r="E1103" s="354"/>
      <c r="F1103" s="355"/>
      <c r="G1103" s="356"/>
    </row>
    <row r="1104" spans="1:7" ht="15">
      <c r="A1104" s="406"/>
      <c r="B1104" s="406"/>
      <c r="E1104" s="354"/>
      <c r="F1104" s="355"/>
      <c r="G1104" s="356"/>
    </row>
    <row r="1105" spans="1:8" ht="15">
      <c r="A1105" s="406"/>
      <c r="B1105" s="406"/>
      <c r="E1105" s="354"/>
      <c r="F1105" s="355"/>
      <c r="G1105" s="356"/>
    </row>
    <row r="1106" spans="1:8" ht="15">
      <c r="A1106" s="406"/>
      <c r="B1106" s="406"/>
      <c r="C1106" s="406"/>
      <c r="D1106" s="406"/>
      <c r="E1106" s="354"/>
      <c r="F1106" s="355"/>
      <c r="G1106" s="356"/>
      <c r="H1106" s="406"/>
    </row>
    <row r="1107" spans="1:8" ht="15">
      <c r="A1107" s="406"/>
      <c r="B1107" s="406"/>
      <c r="C1107" s="406"/>
      <c r="D1107" s="406"/>
      <c r="E1107" s="354"/>
      <c r="F1107" s="355"/>
      <c r="G1107" s="356"/>
      <c r="H1107" s="406"/>
    </row>
    <row r="1108" spans="1:8" ht="15">
      <c r="A1108" s="406"/>
      <c r="B1108" s="406"/>
      <c r="C1108" s="406"/>
      <c r="D1108" s="406"/>
      <c r="E1108" s="354"/>
      <c r="F1108" s="355"/>
      <c r="G1108" s="356"/>
      <c r="H1108" s="406"/>
    </row>
    <row r="1109" spans="1:8" ht="15">
      <c r="A1109" s="406"/>
      <c r="B1109" s="406"/>
      <c r="C1109" s="406"/>
      <c r="D1109" s="406"/>
      <c r="E1109" s="354"/>
      <c r="F1109" s="355"/>
      <c r="G1109" s="356"/>
      <c r="H1109" s="406"/>
    </row>
    <row r="1110" spans="1:8" ht="15">
      <c r="A1110" s="406"/>
      <c r="B1110" s="406"/>
      <c r="C1110" s="406"/>
      <c r="D1110" s="406"/>
      <c r="E1110" s="354"/>
      <c r="F1110" s="355"/>
      <c r="G1110" s="356"/>
      <c r="H1110" s="406"/>
    </row>
    <row r="1111" spans="1:8" ht="15">
      <c r="A1111" s="406"/>
      <c r="B1111" s="406"/>
      <c r="C1111" s="406"/>
      <c r="D1111" s="406"/>
      <c r="E1111" s="354"/>
      <c r="F1111" s="355"/>
      <c r="G1111" s="356"/>
      <c r="H1111" s="406"/>
    </row>
    <row r="1112" spans="1:8" ht="15">
      <c r="A1112" s="406"/>
      <c r="B1112" s="406"/>
      <c r="C1112" s="406"/>
      <c r="D1112" s="406"/>
      <c r="E1112" s="354"/>
      <c r="F1112" s="355"/>
      <c r="G1112" s="356"/>
      <c r="H1112" s="406"/>
    </row>
    <row r="1113" spans="1:8" ht="15">
      <c r="A1113" s="406"/>
      <c r="B1113" s="406"/>
      <c r="C1113" s="406"/>
      <c r="D1113" s="406"/>
      <c r="E1113" s="354"/>
      <c r="F1113" s="355"/>
      <c r="G1113" s="356"/>
      <c r="H1113" s="406"/>
    </row>
    <row r="1114" spans="1:8" ht="15">
      <c r="A1114" s="406"/>
      <c r="B1114" s="406"/>
      <c r="C1114" s="406"/>
      <c r="D1114" s="406"/>
      <c r="E1114" s="354"/>
      <c r="F1114" s="355"/>
      <c r="G1114" s="356"/>
      <c r="H1114" s="406"/>
    </row>
    <row r="1115" spans="1:8" ht="15">
      <c r="A1115" s="406"/>
      <c r="B1115" s="406"/>
      <c r="C1115" s="406"/>
      <c r="D1115" s="406"/>
      <c r="E1115" s="354"/>
      <c r="F1115" s="355"/>
      <c r="G1115" s="356"/>
      <c r="H1115" s="406"/>
    </row>
    <row r="1116" spans="1:8" ht="15">
      <c r="A1116" s="406"/>
      <c r="B1116" s="406"/>
      <c r="C1116" s="406"/>
      <c r="D1116" s="406"/>
      <c r="E1116" s="354"/>
      <c r="F1116" s="355"/>
      <c r="G1116" s="356"/>
      <c r="H1116" s="406"/>
    </row>
    <row r="1117" spans="1:8" ht="15">
      <c r="A1117" s="406"/>
      <c r="B1117" s="406"/>
      <c r="C1117" s="406"/>
      <c r="D1117" s="406"/>
      <c r="E1117" s="354"/>
      <c r="F1117" s="355"/>
      <c r="G1117" s="356"/>
      <c r="H1117" s="406"/>
    </row>
    <row r="1118" spans="1:8" ht="15">
      <c r="A1118" s="406"/>
      <c r="B1118" s="406"/>
      <c r="C1118" s="406"/>
      <c r="D1118" s="406"/>
      <c r="E1118" s="354"/>
      <c r="F1118" s="355"/>
      <c r="G1118" s="356"/>
      <c r="H1118" s="406"/>
    </row>
    <row r="1119" spans="1:8" ht="15">
      <c r="A1119" s="406"/>
      <c r="B1119" s="406"/>
      <c r="C1119" s="406"/>
      <c r="D1119" s="406"/>
      <c r="E1119" s="354"/>
      <c r="F1119" s="355"/>
      <c r="G1119" s="356"/>
      <c r="H1119" s="406"/>
    </row>
    <row r="1120" spans="1:8" ht="15">
      <c r="A1120" s="406"/>
      <c r="B1120" s="406"/>
      <c r="C1120" s="406"/>
      <c r="D1120" s="406"/>
      <c r="E1120" s="354"/>
      <c r="F1120" s="355"/>
      <c r="G1120" s="356"/>
      <c r="H1120" s="406"/>
    </row>
    <row r="1121" spans="5:7" s="406" customFormat="1" ht="15">
      <c r="E1121" s="354"/>
      <c r="F1121" s="355"/>
      <c r="G1121" s="356"/>
    </row>
    <row r="1122" spans="5:7" s="406" customFormat="1" ht="15">
      <c r="E1122" s="354"/>
      <c r="F1122" s="355"/>
      <c r="G1122" s="356"/>
    </row>
    <row r="1123" spans="5:7" s="406" customFormat="1" ht="15">
      <c r="E1123" s="354"/>
      <c r="F1123" s="355"/>
      <c r="G1123" s="356"/>
    </row>
    <row r="1124" spans="5:7" s="406" customFormat="1" ht="15">
      <c r="E1124" s="354"/>
      <c r="F1124" s="355"/>
      <c r="G1124" s="356"/>
    </row>
    <row r="1125" spans="5:7" s="406" customFormat="1" ht="15">
      <c r="E1125" s="354"/>
      <c r="F1125" s="355"/>
      <c r="G1125" s="356"/>
    </row>
    <row r="1126" spans="5:7" s="406" customFormat="1" ht="15">
      <c r="E1126" s="354"/>
      <c r="F1126" s="355"/>
      <c r="G1126" s="356"/>
    </row>
    <row r="1127" spans="5:7" s="406" customFormat="1" ht="15">
      <c r="E1127" s="354"/>
      <c r="F1127" s="355"/>
      <c r="G1127" s="356"/>
    </row>
    <row r="1128" spans="5:7" s="406" customFormat="1" ht="15">
      <c r="E1128" s="354"/>
      <c r="F1128" s="355"/>
      <c r="G1128" s="356"/>
    </row>
    <row r="1129" spans="5:7" s="406" customFormat="1" ht="15">
      <c r="E1129" s="354"/>
      <c r="F1129" s="355"/>
      <c r="G1129" s="356"/>
    </row>
    <row r="1130" spans="5:7" s="406" customFormat="1" ht="15">
      <c r="E1130" s="354"/>
      <c r="F1130" s="355"/>
      <c r="G1130" s="356"/>
    </row>
    <row r="1131" spans="5:7" s="406" customFormat="1" ht="15">
      <c r="E1131" s="354"/>
      <c r="F1131" s="355"/>
      <c r="G1131" s="356"/>
    </row>
    <row r="1132" spans="5:7" s="406" customFormat="1" ht="15">
      <c r="E1132" s="354"/>
      <c r="F1132" s="355"/>
      <c r="G1132" s="356"/>
    </row>
    <row r="1133" spans="5:7" s="406" customFormat="1" ht="15">
      <c r="E1133" s="354"/>
      <c r="F1133" s="355"/>
      <c r="G1133" s="356"/>
    </row>
    <row r="1134" spans="5:7" s="406" customFormat="1" ht="15">
      <c r="E1134" s="354"/>
      <c r="F1134" s="355"/>
      <c r="G1134" s="356"/>
    </row>
    <row r="1135" spans="5:7" s="406" customFormat="1" ht="15">
      <c r="E1135" s="354"/>
      <c r="F1135" s="355"/>
      <c r="G1135" s="356"/>
    </row>
    <row r="1136" spans="5:7" s="406" customFormat="1" ht="15">
      <c r="E1136" s="354"/>
      <c r="F1136" s="355"/>
      <c r="G1136" s="356"/>
    </row>
    <row r="1137" spans="5:7" s="406" customFormat="1" ht="15">
      <c r="E1137" s="354"/>
      <c r="F1137" s="355"/>
      <c r="G1137" s="356"/>
    </row>
    <row r="1138" spans="5:7" s="406" customFormat="1" ht="15">
      <c r="E1138" s="354"/>
      <c r="F1138" s="355"/>
      <c r="G1138" s="356"/>
    </row>
    <row r="1139" spans="5:7" s="406" customFormat="1" ht="15">
      <c r="E1139" s="354"/>
      <c r="F1139" s="355"/>
      <c r="G1139" s="356"/>
    </row>
    <row r="1140" spans="5:7" s="406" customFormat="1" ht="15">
      <c r="E1140" s="354"/>
      <c r="F1140" s="355"/>
      <c r="G1140" s="356"/>
    </row>
    <row r="1141" spans="5:7" s="406" customFormat="1" ht="15">
      <c r="E1141" s="354"/>
      <c r="F1141" s="355"/>
      <c r="G1141" s="356"/>
    </row>
    <row r="1142" spans="5:7" s="406" customFormat="1" ht="15">
      <c r="E1142" s="354"/>
      <c r="F1142" s="355"/>
      <c r="G1142" s="356"/>
    </row>
    <row r="1143" spans="5:7" s="406" customFormat="1" ht="15">
      <c r="E1143" s="354"/>
      <c r="F1143" s="355"/>
      <c r="G1143" s="356"/>
    </row>
    <row r="1144" spans="5:7" s="406" customFormat="1" ht="15">
      <c r="E1144" s="354"/>
      <c r="F1144" s="355"/>
      <c r="G1144" s="356"/>
    </row>
    <row r="1145" spans="5:7" s="406" customFormat="1" ht="15">
      <c r="E1145" s="354"/>
      <c r="F1145" s="355"/>
      <c r="G1145" s="356"/>
    </row>
    <row r="1146" spans="5:7" s="406" customFormat="1" ht="15">
      <c r="E1146" s="354"/>
      <c r="F1146" s="355"/>
      <c r="G1146" s="356"/>
    </row>
    <row r="1147" spans="5:7" s="406" customFormat="1" ht="15">
      <c r="E1147" s="354"/>
      <c r="F1147" s="355"/>
      <c r="G1147" s="356"/>
    </row>
    <row r="1148" spans="5:7" s="406" customFormat="1" ht="15">
      <c r="E1148" s="354"/>
      <c r="F1148" s="355"/>
      <c r="G1148" s="356"/>
    </row>
    <row r="1149" spans="5:7" s="406" customFormat="1" ht="15">
      <c r="E1149" s="354"/>
      <c r="F1149" s="355"/>
      <c r="G1149" s="356"/>
    </row>
    <row r="1150" spans="5:7" s="406" customFormat="1" ht="15">
      <c r="E1150" s="354"/>
      <c r="F1150" s="355"/>
      <c r="G1150" s="356"/>
    </row>
    <row r="1151" spans="5:7" s="406" customFormat="1" ht="15">
      <c r="E1151" s="354"/>
      <c r="F1151" s="355"/>
      <c r="G1151" s="356"/>
    </row>
    <row r="1152" spans="5:7" s="406" customFormat="1" ht="15">
      <c r="E1152" s="354"/>
      <c r="F1152" s="355"/>
      <c r="G1152" s="356"/>
    </row>
    <row r="1153" spans="5:7" s="406" customFormat="1" ht="15">
      <c r="E1153" s="354"/>
      <c r="F1153" s="355"/>
      <c r="G1153" s="356"/>
    </row>
    <row r="1154" spans="5:7" s="406" customFormat="1" ht="15">
      <c r="E1154" s="354"/>
      <c r="F1154" s="355"/>
      <c r="G1154" s="356"/>
    </row>
    <row r="1155" spans="5:7" s="406" customFormat="1" ht="15">
      <c r="E1155" s="354"/>
      <c r="F1155" s="355"/>
      <c r="G1155" s="356"/>
    </row>
    <row r="1156" spans="5:7" s="406" customFormat="1" ht="15">
      <c r="E1156" s="354"/>
      <c r="F1156" s="355"/>
      <c r="G1156" s="356"/>
    </row>
    <row r="1157" spans="5:7" s="406" customFormat="1" ht="15">
      <c r="E1157" s="354"/>
      <c r="F1157" s="355"/>
      <c r="G1157" s="356"/>
    </row>
    <row r="1158" spans="5:7" s="406" customFormat="1" ht="15">
      <c r="E1158" s="354"/>
      <c r="F1158" s="355"/>
      <c r="G1158" s="356"/>
    </row>
    <row r="1159" spans="5:7" s="406" customFormat="1" ht="15">
      <c r="E1159" s="354"/>
      <c r="F1159" s="355"/>
      <c r="G1159" s="356"/>
    </row>
    <row r="1160" spans="5:7" s="406" customFormat="1" ht="15">
      <c r="E1160" s="354"/>
      <c r="F1160" s="355"/>
      <c r="G1160" s="356"/>
    </row>
    <row r="1161" spans="5:7" s="406" customFormat="1" ht="15">
      <c r="E1161" s="354"/>
      <c r="F1161" s="355"/>
      <c r="G1161" s="356"/>
    </row>
    <row r="1162" spans="5:7" s="406" customFormat="1" ht="15">
      <c r="E1162" s="354"/>
      <c r="F1162" s="355"/>
      <c r="G1162" s="356"/>
    </row>
    <row r="1163" spans="5:7" s="406" customFormat="1" ht="15">
      <c r="E1163" s="354"/>
      <c r="F1163" s="355"/>
      <c r="G1163" s="356"/>
    </row>
    <row r="1164" spans="5:7" s="406" customFormat="1" ht="15">
      <c r="E1164" s="354"/>
      <c r="F1164" s="355"/>
      <c r="G1164" s="356"/>
    </row>
    <row r="1165" spans="5:7" s="406" customFormat="1" ht="15">
      <c r="E1165" s="354"/>
      <c r="F1165" s="355"/>
      <c r="G1165" s="356"/>
    </row>
    <row r="1166" spans="5:7" s="406" customFormat="1" ht="15">
      <c r="E1166" s="354"/>
      <c r="F1166" s="355"/>
      <c r="G1166" s="356"/>
    </row>
    <row r="1167" spans="5:7" s="406" customFormat="1" ht="15">
      <c r="E1167" s="354"/>
      <c r="F1167" s="355"/>
      <c r="G1167" s="356"/>
    </row>
    <row r="1168" spans="5:7" s="406" customFormat="1" ht="15">
      <c r="E1168" s="354"/>
      <c r="F1168" s="355"/>
      <c r="G1168" s="356"/>
    </row>
    <row r="1169" spans="5:7" s="406" customFormat="1" ht="15">
      <c r="E1169" s="354"/>
      <c r="F1169" s="355"/>
      <c r="G1169" s="356"/>
    </row>
    <row r="1170" spans="5:7" s="406" customFormat="1" ht="15">
      <c r="E1170" s="354"/>
      <c r="F1170" s="355"/>
      <c r="G1170" s="356"/>
    </row>
    <row r="1171" spans="5:7" s="406" customFormat="1" ht="15">
      <c r="E1171" s="354"/>
      <c r="F1171" s="355"/>
      <c r="G1171" s="356"/>
    </row>
    <row r="1172" spans="5:7" s="406" customFormat="1" ht="15">
      <c r="E1172" s="354"/>
      <c r="F1172" s="355"/>
      <c r="G1172" s="356"/>
    </row>
    <row r="1173" spans="5:7" s="406" customFormat="1" ht="15">
      <c r="E1173" s="354"/>
      <c r="F1173" s="355"/>
      <c r="G1173" s="356"/>
    </row>
    <row r="1174" spans="5:7" s="406" customFormat="1" ht="15">
      <c r="E1174" s="354"/>
      <c r="F1174" s="355"/>
      <c r="G1174" s="356"/>
    </row>
    <row r="1175" spans="5:7" s="406" customFormat="1" ht="15">
      <c r="E1175" s="354"/>
      <c r="F1175" s="355"/>
      <c r="G1175" s="356"/>
    </row>
    <row r="1176" spans="5:7" s="406" customFormat="1" ht="15">
      <c r="E1176" s="354"/>
      <c r="F1176" s="355"/>
      <c r="G1176" s="356"/>
    </row>
    <row r="1177" spans="5:7" s="406" customFormat="1" ht="15">
      <c r="E1177" s="354"/>
      <c r="F1177" s="355"/>
      <c r="G1177" s="356"/>
    </row>
    <row r="1178" spans="5:7" s="406" customFormat="1" ht="15">
      <c r="E1178" s="354"/>
      <c r="F1178" s="355"/>
      <c r="G1178" s="356"/>
    </row>
    <row r="1179" spans="5:7" s="406" customFormat="1" ht="15">
      <c r="E1179" s="354"/>
      <c r="F1179" s="355"/>
      <c r="G1179" s="356"/>
    </row>
    <row r="1180" spans="5:7" s="406" customFormat="1" ht="15">
      <c r="E1180" s="354"/>
      <c r="F1180" s="355"/>
      <c r="G1180" s="356"/>
    </row>
    <row r="1181" spans="5:7" s="406" customFormat="1" ht="15">
      <c r="E1181" s="354"/>
      <c r="F1181" s="355"/>
      <c r="G1181" s="356"/>
    </row>
    <row r="1182" spans="5:7" s="406" customFormat="1" ht="15">
      <c r="E1182" s="354"/>
      <c r="F1182" s="355"/>
      <c r="G1182" s="356"/>
    </row>
    <row r="1183" spans="5:7" s="406" customFormat="1" ht="15">
      <c r="E1183" s="354"/>
      <c r="F1183" s="355"/>
      <c r="G1183" s="356"/>
    </row>
    <row r="1184" spans="5:7" s="406" customFormat="1" ht="15">
      <c r="E1184" s="354"/>
      <c r="F1184" s="355"/>
      <c r="G1184" s="356"/>
    </row>
    <row r="1185" spans="5:7" s="406" customFormat="1" ht="15">
      <c r="E1185" s="354"/>
      <c r="F1185" s="355"/>
      <c r="G1185" s="356"/>
    </row>
    <row r="1186" spans="5:7" s="406" customFormat="1" ht="15">
      <c r="E1186" s="354"/>
      <c r="F1186" s="355"/>
      <c r="G1186" s="356"/>
    </row>
    <row r="1187" spans="5:7" s="406" customFormat="1" ht="15">
      <c r="E1187" s="354"/>
      <c r="F1187" s="355"/>
      <c r="G1187" s="356"/>
    </row>
    <row r="1188" spans="5:7" s="406" customFormat="1" ht="15">
      <c r="E1188" s="354"/>
      <c r="F1188" s="355"/>
      <c r="G1188" s="356"/>
    </row>
    <row r="1189" spans="5:7" s="406" customFormat="1" ht="15">
      <c r="E1189" s="354"/>
      <c r="F1189" s="355"/>
      <c r="G1189" s="356"/>
    </row>
    <row r="1190" spans="5:7" s="406" customFormat="1" ht="15">
      <c r="E1190" s="354"/>
      <c r="F1190" s="355"/>
      <c r="G1190" s="356"/>
    </row>
    <row r="1191" spans="5:7" s="406" customFormat="1" ht="15">
      <c r="E1191" s="354"/>
      <c r="F1191" s="355"/>
      <c r="G1191" s="356"/>
    </row>
    <row r="1192" spans="5:7" s="406" customFormat="1" ht="15">
      <c r="E1192" s="354"/>
      <c r="F1192" s="355"/>
      <c r="G1192" s="356"/>
    </row>
    <row r="1193" spans="5:7" s="406" customFormat="1" ht="15">
      <c r="E1193" s="354"/>
      <c r="F1193" s="355"/>
      <c r="G1193" s="356"/>
    </row>
    <row r="1194" spans="5:7" s="406" customFormat="1" ht="15">
      <c r="E1194" s="354"/>
      <c r="F1194" s="355"/>
      <c r="G1194" s="356"/>
    </row>
    <row r="1195" spans="5:7" s="406" customFormat="1" ht="15">
      <c r="E1195" s="354"/>
      <c r="F1195" s="355"/>
      <c r="G1195" s="356"/>
    </row>
    <row r="1196" spans="5:7" s="406" customFormat="1" ht="15">
      <c r="E1196" s="354"/>
      <c r="F1196" s="355"/>
      <c r="G1196" s="356"/>
    </row>
    <row r="1197" spans="5:7" s="406" customFormat="1" ht="15">
      <c r="E1197" s="354"/>
      <c r="F1197" s="355"/>
      <c r="G1197" s="356"/>
    </row>
    <row r="1198" spans="5:7" s="406" customFormat="1" ht="15">
      <c r="E1198" s="354"/>
      <c r="F1198" s="355"/>
      <c r="G1198" s="356"/>
    </row>
    <row r="1199" spans="5:7" s="406" customFormat="1" ht="15">
      <c r="E1199" s="354"/>
      <c r="F1199" s="355"/>
      <c r="G1199" s="356"/>
    </row>
    <row r="1200" spans="5:7" s="406" customFormat="1" ht="15">
      <c r="E1200" s="354"/>
      <c r="F1200" s="355"/>
      <c r="G1200" s="356"/>
    </row>
    <row r="1201" spans="5:7" s="406" customFormat="1" ht="15">
      <c r="E1201" s="354"/>
      <c r="F1201" s="355"/>
      <c r="G1201" s="356"/>
    </row>
    <row r="1202" spans="5:7" s="406" customFormat="1" ht="15">
      <c r="E1202" s="354"/>
      <c r="F1202" s="355"/>
      <c r="G1202" s="356"/>
    </row>
    <row r="1203" spans="5:7" s="406" customFormat="1" ht="15">
      <c r="E1203" s="354"/>
      <c r="F1203" s="355"/>
      <c r="G1203" s="356"/>
    </row>
    <row r="1204" spans="5:7" s="406" customFormat="1" ht="15">
      <c r="E1204" s="354"/>
      <c r="F1204" s="355"/>
      <c r="G1204" s="356"/>
    </row>
    <row r="1205" spans="5:7" s="406" customFormat="1" ht="15">
      <c r="E1205" s="354"/>
      <c r="F1205" s="355"/>
      <c r="G1205" s="356"/>
    </row>
    <row r="1206" spans="5:7" s="406" customFormat="1" ht="15">
      <c r="E1206" s="354"/>
      <c r="F1206" s="355"/>
      <c r="G1206" s="356"/>
    </row>
    <row r="1207" spans="5:7" s="406" customFormat="1" ht="15">
      <c r="E1207" s="354"/>
      <c r="F1207" s="355"/>
      <c r="G1207" s="356"/>
    </row>
    <row r="1208" spans="5:7" s="406" customFormat="1" ht="15">
      <c r="E1208" s="354"/>
      <c r="F1208" s="355"/>
      <c r="G1208" s="356"/>
    </row>
    <row r="1209" spans="5:7" s="406" customFormat="1" ht="15">
      <c r="E1209" s="354"/>
      <c r="F1209" s="355"/>
      <c r="G1209" s="356"/>
    </row>
    <row r="1210" spans="5:7" s="406" customFormat="1" ht="15">
      <c r="E1210" s="354"/>
      <c r="F1210" s="355"/>
      <c r="G1210" s="356"/>
    </row>
    <row r="1211" spans="5:7" s="406" customFormat="1" ht="15">
      <c r="E1211" s="354"/>
      <c r="F1211" s="355"/>
      <c r="G1211" s="356"/>
    </row>
    <row r="1212" spans="5:7" s="406" customFormat="1" ht="15">
      <c r="E1212" s="354"/>
      <c r="F1212" s="355"/>
      <c r="G1212" s="356"/>
    </row>
    <row r="1213" spans="5:7" s="406" customFormat="1" ht="15">
      <c r="E1213" s="354"/>
      <c r="F1213" s="355"/>
      <c r="G1213" s="356"/>
    </row>
    <row r="1214" spans="5:7" s="406" customFormat="1" ht="15">
      <c r="E1214" s="354"/>
      <c r="F1214" s="355"/>
      <c r="G1214" s="356"/>
    </row>
    <row r="1215" spans="5:7" s="406" customFormat="1" ht="15">
      <c r="E1215" s="354"/>
      <c r="F1215" s="355"/>
      <c r="G1215" s="356"/>
    </row>
    <row r="1216" spans="5:7" s="406" customFormat="1" ht="15">
      <c r="E1216" s="354"/>
      <c r="F1216" s="355"/>
      <c r="G1216" s="356"/>
    </row>
    <row r="1217" spans="5:7" s="406" customFormat="1" ht="15">
      <c r="E1217" s="354"/>
      <c r="F1217" s="355"/>
      <c r="G1217" s="356"/>
    </row>
    <row r="1218" spans="5:7" s="406" customFormat="1" ht="15">
      <c r="E1218" s="354"/>
      <c r="F1218" s="355"/>
      <c r="G1218" s="356"/>
    </row>
    <row r="1219" spans="5:7" s="406" customFormat="1" ht="15">
      <c r="E1219" s="354"/>
      <c r="F1219" s="355"/>
      <c r="G1219" s="356"/>
    </row>
    <row r="1220" spans="5:7" s="406" customFormat="1" ht="15">
      <c r="E1220" s="354"/>
      <c r="F1220" s="355"/>
      <c r="G1220" s="356"/>
    </row>
    <row r="1221" spans="5:7" s="406" customFormat="1" ht="15">
      <c r="E1221" s="354"/>
      <c r="F1221" s="355"/>
      <c r="G1221" s="356"/>
    </row>
    <row r="1222" spans="5:7" s="406" customFormat="1" ht="15">
      <c r="E1222" s="354"/>
      <c r="F1222" s="355"/>
      <c r="G1222" s="356"/>
    </row>
    <row r="1223" spans="5:7" s="406" customFormat="1" ht="15">
      <c r="E1223" s="354"/>
      <c r="F1223" s="355"/>
      <c r="G1223" s="356"/>
    </row>
    <row r="1224" spans="5:7" s="406" customFormat="1" ht="15">
      <c r="E1224" s="354"/>
      <c r="F1224" s="355"/>
      <c r="G1224" s="356"/>
    </row>
    <row r="1225" spans="5:7" s="406" customFormat="1" ht="15">
      <c r="E1225" s="354"/>
      <c r="F1225" s="355"/>
      <c r="G1225" s="356"/>
    </row>
    <row r="1226" spans="5:7" s="406" customFormat="1" ht="15">
      <c r="E1226" s="354"/>
      <c r="F1226" s="355"/>
      <c r="G1226" s="356"/>
    </row>
    <row r="1227" spans="5:7" s="406" customFormat="1" ht="15">
      <c r="E1227" s="354"/>
      <c r="F1227" s="355"/>
      <c r="G1227" s="356"/>
    </row>
    <row r="1228" spans="5:7" s="406" customFormat="1" ht="15">
      <c r="E1228" s="354"/>
      <c r="F1228" s="355"/>
      <c r="G1228" s="356"/>
    </row>
    <row r="1229" spans="5:7" s="406" customFormat="1" ht="15">
      <c r="E1229" s="354"/>
      <c r="F1229" s="355"/>
      <c r="G1229" s="356"/>
    </row>
    <row r="1230" spans="5:7" s="406" customFormat="1" ht="15">
      <c r="E1230" s="354"/>
      <c r="F1230" s="355"/>
      <c r="G1230" s="356"/>
    </row>
    <row r="1231" spans="5:7" s="406" customFormat="1" ht="15">
      <c r="E1231" s="354"/>
      <c r="F1231" s="355"/>
      <c r="G1231" s="356"/>
    </row>
    <row r="1232" spans="5:7" s="406" customFormat="1" ht="15">
      <c r="E1232" s="354"/>
      <c r="F1232" s="355"/>
      <c r="G1232" s="356"/>
    </row>
    <row r="1233" spans="5:7" s="406" customFormat="1" ht="15">
      <c r="E1233" s="354"/>
      <c r="F1233" s="355"/>
      <c r="G1233" s="356"/>
    </row>
    <row r="1234" spans="5:7" s="406" customFormat="1" ht="15">
      <c r="E1234" s="354"/>
      <c r="F1234" s="355"/>
      <c r="G1234" s="356"/>
    </row>
    <row r="1235" spans="5:7" s="406" customFormat="1" ht="15">
      <c r="E1235" s="354"/>
      <c r="F1235" s="355"/>
      <c r="G1235" s="356"/>
    </row>
    <row r="1236" spans="5:7" s="406" customFormat="1" ht="15">
      <c r="E1236" s="354"/>
      <c r="F1236" s="355"/>
      <c r="G1236" s="356"/>
    </row>
    <row r="1237" spans="5:7" s="406" customFormat="1" ht="15">
      <c r="E1237" s="354"/>
      <c r="F1237" s="355"/>
      <c r="G1237" s="356"/>
    </row>
    <row r="1238" spans="5:7" s="406" customFormat="1" ht="15">
      <c r="E1238" s="354"/>
      <c r="F1238" s="355"/>
      <c r="G1238" s="356"/>
    </row>
    <row r="1239" spans="5:7" s="406" customFormat="1" ht="15">
      <c r="E1239" s="354"/>
      <c r="F1239" s="355"/>
      <c r="G1239" s="356"/>
    </row>
    <row r="1240" spans="5:7" s="406" customFormat="1" ht="15">
      <c r="E1240" s="354"/>
      <c r="F1240" s="355"/>
      <c r="G1240" s="356"/>
    </row>
    <row r="1241" spans="5:7" s="406" customFormat="1" ht="15">
      <c r="E1241" s="354"/>
      <c r="F1241" s="355"/>
      <c r="G1241" s="356"/>
    </row>
    <row r="1242" spans="5:7" s="406" customFormat="1" ht="15">
      <c r="E1242" s="354"/>
      <c r="F1242" s="355"/>
      <c r="G1242" s="356"/>
    </row>
    <row r="1243" spans="5:7" s="406" customFormat="1" ht="15">
      <c r="E1243" s="354"/>
      <c r="F1243" s="355"/>
      <c r="G1243" s="356"/>
    </row>
    <row r="1244" spans="5:7" s="406" customFormat="1" ht="15">
      <c r="E1244" s="354"/>
      <c r="F1244" s="355"/>
      <c r="G1244" s="356"/>
    </row>
    <row r="1245" spans="5:7" s="406" customFormat="1" ht="15">
      <c r="E1245" s="354"/>
      <c r="F1245" s="355"/>
      <c r="G1245" s="356"/>
    </row>
    <row r="1246" spans="5:7" s="406" customFormat="1" ht="15">
      <c r="E1246" s="354"/>
      <c r="F1246" s="355"/>
      <c r="G1246" s="356"/>
    </row>
    <row r="1247" spans="5:7" s="406" customFormat="1" ht="15">
      <c r="E1247" s="354"/>
      <c r="F1247" s="355"/>
      <c r="G1247" s="356"/>
    </row>
    <row r="1248" spans="5:7" s="406" customFormat="1" ht="15">
      <c r="E1248" s="354"/>
      <c r="F1248" s="355"/>
      <c r="G1248" s="356"/>
    </row>
    <row r="1249" spans="5:7" s="406" customFormat="1" ht="15">
      <c r="E1249" s="354"/>
      <c r="F1249" s="355"/>
      <c r="G1249" s="356"/>
    </row>
    <row r="1250" spans="5:7" s="406" customFormat="1" ht="15">
      <c r="E1250" s="354"/>
      <c r="F1250" s="355"/>
      <c r="G1250" s="356"/>
    </row>
    <row r="1251" spans="5:7" s="406" customFormat="1" ht="15">
      <c r="E1251" s="354"/>
      <c r="F1251" s="355"/>
      <c r="G1251" s="356"/>
    </row>
    <row r="1252" spans="5:7" s="406" customFormat="1" ht="15">
      <c r="E1252" s="354"/>
      <c r="F1252" s="355"/>
      <c r="G1252" s="356"/>
    </row>
    <row r="1253" spans="5:7" s="406" customFormat="1" ht="15">
      <c r="E1253" s="354"/>
      <c r="F1253" s="355"/>
      <c r="G1253" s="356"/>
    </row>
    <row r="1254" spans="5:7" s="406" customFormat="1" ht="15">
      <c r="E1254" s="354"/>
      <c r="F1254" s="355"/>
      <c r="G1254" s="356"/>
    </row>
    <row r="1255" spans="5:7" s="406" customFormat="1" ht="15">
      <c r="E1255" s="354"/>
      <c r="F1255" s="355"/>
      <c r="G1255" s="356"/>
    </row>
    <row r="1256" spans="5:7" s="406" customFormat="1" ht="15">
      <c r="E1256" s="354"/>
      <c r="F1256" s="355"/>
      <c r="G1256" s="356"/>
    </row>
    <row r="1257" spans="5:7" s="406" customFormat="1" ht="15">
      <c r="E1257" s="354"/>
      <c r="F1257" s="355"/>
      <c r="G1257" s="356"/>
    </row>
    <row r="1258" spans="5:7" s="406" customFormat="1" ht="15">
      <c r="E1258" s="354"/>
      <c r="F1258" s="355"/>
      <c r="G1258" s="356"/>
    </row>
    <row r="1259" spans="5:7" s="406" customFormat="1" ht="15">
      <c r="E1259" s="354"/>
      <c r="F1259" s="355"/>
      <c r="G1259" s="356"/>
    </row>
    <row r="1260" spans="5:7" s="406" customFormat="1" ht="15">
      <c r="E1260" s="354"/>
      <c r="F1260" s="355"/>
      <c r="G1260" s="356"/>
    </row>
    <row r="1261" spans="5:7" s="406" customFormat="1" ht="15">
      <c r="E1261" s="354"/>
      <c r="F1261" s="355"/>
      <c r="G1261" s="356"/>
    </row>
    <row r="1262" spans="5:7" s="406" customFormat="1" ht="15">
      <c r="E1262" s="354"/>
      <c r="F1262" s="355"/>
      <c r="G1262" s="356"/>
    </row>
    <row r="1263" spans="5:7" s="406" customFormat="1" ht="15">
      <c r="E1263" s="354"/>
      <c r="F1263" s="355"/>
      <c r="G1263" s="356"/>
    </row>
    <row r="1264" spans="5:7" s="406" customFormat="1" ht="15">
      <c r="E1264" s="354"/>
      <c r="F1264" s="355"/>
      <c r="G1264" s="356"/>
    </row>
    <row r="1265" spans="5:7" s="406" customFormat="1" ht="15">
      <c r="E1265" s="354"/>
      <c r="F1265" s="355"/>
      <c r="G1265" s="356"/>
    </row>
    <row r="1266" spans="5:7" s="406" customFormat="1" ht="15">
      <c r="E1266" s="354"/>
      <c r="F1266" s="355"/>
      <c r="G1266" s="356"/>
    </row>
    <row r="1267" spans="5:7" s="406" customFormat="1" ht="15">
      <c r="E1267" s="354"/>
      <c r="F1267" s="355"/>
      <c r="G1267" s="356"/>
    </row>
    <row r="1268" spans="5:7" s="406" customFormat="1" ht="15">
      <c r="E1268" s="354"/>
      <c r="F1268" s="355"/>
      <c r="G1268" s="356"/>
    </row>
    <row r="1269" spans="5:7" s="406" customFormat="1" ht="15">
      <c r="E1269" s="354"/>
      <c r="F1269" s="355"/>
      <c r="G1269" s="356"/>
    </row>
    <row r="1270" spans="5:7" s="406" customFormat="1" ht="15">
      <c r="E1270" s="354"/>
      <c r="F1270" s="355"/>
      <c r="G1270" s="356"/>
    </row>
    <row r="1271" spans="5:7" s="406" customFormat="1" ht="15">
      <c r="E1271" s="354"/>
      <c r="F1271" s="355"/>
      <c r="G1271" s="356"/>
    </row>
    <row r="1272" spans="5:7" s="406" customFormat="1" ht="15">
      <c r="E1272" s="354"/>
      <c r="F1272" s="355"/>
      <c r="G1272" s="356"/>
    </row>
    <row r="1273" spans="5:7" s="406" customFormat="1" ht="15">
      <c r="E1273" s="354"/>
      <c r="F1273" s="355"/>
      <c r="G1273" s="356"/>
    </row>
    <row r="1274" spans="5:7" s="406" customFormat="1" ht="15">
      <c r="E1274" s="354"/>
      <c r="F1274" s="355"/>
      <c r="G1274" s="356"/>
    </row>
    <row r="1275" spans="5:7" s="406" customFormat="1" ht="15">
      <c r="E1275" s="354"/>
      <c r="F1275" s="355"/>
      <c r="G1275" s="356"/>
    </row>
    <row r="1276" spans="5:7" s="406" customFormat="1" ht="15">
      <c r="E1276" s="354"/>
      <c r="F1276" s="355"/>
      <c r="G1276" s="356"/>
    </row>
    <row r="1277" spans="5:7" s="406" customFormat="1" ht="15">
      <c r="E1277" s="354"/>
      <c r="F1277" s="355"/>
      <c r="G1277" s="356"/>
    </row>
    <row r="1278" spans="5:7" s="406" customFormat="1" ht="15">
      <c r="E1278" s="354"/>
      <c r="F1278" s="355"/>
      <c r="G1278" s="356"/>
    </row>
    <row r="1279" spans="5:7" s="406" customFormat="1" ht="15">
      <c r="E1279" s="354"/>
      <c r="F1279" s="355"/>
      <c r="G1279" s="356"/>
    </row>
    <row r="1280" spans="5:7" s="406" customFormat="1" ht="15">
      <c r="E1280" s="354"/>
      <c r="F1280" s="355"/>
      <c r="G1280" s="356"/>
    </row>
    <row r="1281" spans="5:7" s="406" customFormat="1" ht="15">
      <c r="E1281" s="354"/>
      <c r="F1281" s="355"/>
      <c r="G1281" s="356"/>
    </row>
    <row r="1282" spans="5:7" s="406" customFormat="1" ht="15">
      <c r="E1282" s="354"/>
      <c r="F1282" s="355"/>
      <c r="G1282" s="356"/>
    </row>
    <row r="1283" spans="5:7" s="406" customFormat="1" ht="15">
      <c r="E1283" s="354"/>
      <c r="F1283" s="355"/>
      <c r="G1283" s="356"/>
    </row>
    <row r="1284" spans="5:7" s="406" customFormat="1" ht="15">
      <c r="E1284" s="354"/>
      <c r="F1284" s="355"/>
      <c r="G1284" s="356"/>
    </row>
    <row r="1285" spans="5:7" s="406" customFormat="1" ht="15">
      <c r="E1285" s="354"/>
      <c r="F1285" s="355"/>
      <c r="G1285" s="356"/>
    </row>
    <row r="1286" spans="5:7" s="406" customFormat="1" ht="15">
      <c r="E1286" s="354"/>
      <c r="F1286" s="355"/>
      <c r="G1286" s="356"/>
    </row>
    <row r="1287" spans="5:7" s="406" customFormat="1" ht="15">
      <c r="E1287" s="354"/>
      <c r="F1287" s="355"/>
      <c r="G1287" s="356"/>
    </row>
    <row r="1288" spans="5:7" s="406" customFormat="1" ht="15">
      <c r="E1288" s="354"/>
      <c r="F1288" s="355"/>
      <c r="G1288" s="356"/>
    </row>
    <row r="1289" spans="5:7" s="406" customFormat="1" ht="15">
      <c r="E1289" s="354"/>
      <c r="F1289" s="355"/>
      <c r="G1289" s="356"/>
    </row>
    <row r="1290" spans="5:7" s="406" customFormat="1" ht="15">
      <c r="E1290" s="354"/>
      <c r="F1290" s="355"/>
      <c r="G1290" s="356"/>
    </row>
    <row r="1291" spans="5:7" s="406" customFormat="1" ht="15">
      <c r="E1291" s="354"/>
      <c r="F1291" s="355"/>
      <c r="G1291" s="356"/>
    </row>
    <row r="1292" spans="5:7" s="406" customFormat="1" ht="15">
      <c r="E1292" s="354"/>
      <c r="F1292" s="355"/>
      <c r="G1292" s="356"/>
    </row>
    <row r="1293" spans="5:7" s="406" customFormat="1" ht="15">
      <c r="E1293" s="354"/>
      <c r="F1293" s="355"/>
      <c r="G1293" s="356"/>
    </row>
    <row r="1294" spans="5:7" s="406" customFormat="1" ht="15">
      <c r="E1294" s="354"/>
      <c r="F1294" s="355"/>
      <c r="G1294" s="356"/>
    </row>
    <row r="1295" spans="5:7" s="406" customFormat="1" ht="15">
      <c r="E1295" s="354"/>
      <c r="F1295" s="355"/>
      <c r="G1295" s="356"/>
    </row>
    <row r="1296" spans="5:7" s="406" customFormat="1" ht="15">
      <c r="E1296" s="354"/>
      <c r="F1296" s="355"/>
      <c r="G1296" s="356"/>
    </row>
    <row r="1297" spans="5:7" s="406" customFormat="1" ht="15">
      <c r="E1297" s="354"/>
      <c r="F1297" s="355"/>
      <c r="G1297" s="356"/>
    </row>
    <row r="1298" spans="5:7" s="406" customFormat="1" ht="15">
      <c r="E1298" s="354"/>
      <c r="F1298" s="355"/>
      <c r="G1298" s="356"/>
    </row>
    <row r="1299" spans="5:7" s="406" customFormat="1" ht="15">
      <c r="E1299" s="354"/>
      <c r="F1299" s="355"/>
      <c r="G1299" s="356"/>
    </row>
    <row r="1300" spans="5:7" s="406" customFormat="1" ht="15">
      <c r="E1300" s="354"/>
      <c r="F1300" s="355"/>
      <c r="G1300" s="356"/>
    </row>
    <row r="1301" spans="5:7" s="406" customFormat="1" ht="15">
      <c r="E1301" s="354"/>
      <c r="F1301" s="355"/>
      <c r="G1301" s="356"/>
    </row>
    <row r="1302" spans="5:7" s="406" customFormat="1" ht="15">
      <c r="E1302" s="354"/>
      <c r="F1302" s="355"/>
      <c r="G1302" s="356"/>
    </row>
    <row r="1303" spans="5:7" s="406" customFormat="1" ht="15">
      <c r="E1303" s="354"/>
      <c r="F1303" s="355"/>
      <c r="G1303" s="356"/>
    </row>
    <row r="1304" spans="5:7" s="406" customFormat="1" ht="15">
      <c r="E1304" s="354"/>
      <c r="F1304" s="355"/>
      <c r="G1304" s="356"/>
    </row>
    <row r="1305" spans="5:7" s="406" customFormat="1" ht="15">
      <c r="E1305" s="354"/>
      <c r="F1305" s="355"/>
      <c r="G1305" s="356"/>
    </row>
    <row r="1306" spans="5:7" s="406" customFormat="1" ht="15">
      <c r="E1306" s="354"/>
      <c r="F1306" s="355"/>
      <c r="G1306" s="356"/>
    </row>
    <row r="1307" spans="5:7" s="406" customFormat="1" ht="15">
      <c r="E1307" s="354"/>
      <c r="F1307" s="355"/>
      <c r="G1307" s="356"/>
    </row>
    <row r="1308" spans="5:7" s="406" customFormat="1" ht="15">
      <c r="E1308" s="354"/>
      <c r="F1308" s="355"/>
      <c r="G1308" s="356"/>
    </row>
    <row r="1309" spans="5:7" s="406" customFormat="1" ht="15">
      <c r="E1309" s="354"/>
      <c r="F1309" s="355"/>
      <c r="G1309" s="356"/>
    </row>
    <row r="1310" spans="5:7" s="406" customFormat="1" ht="15">
      <c r="E1310" s="354"/>
      <c r="F1310" s="355"/>
      <c r="G1310" s="356"/>
    </row>
    <row r="1311" spans="5:7" s="406" customFormat="1" ht="15">
      <c r="E1311" s="354"/>
      <c r="F1311" s="355"/>
      <c r="G1311" s="356"/>
    </row>
    <row r="1312" spans="5:7" s="406" customFormat="1" ht="15">
      <c r="E1312" s="354"/>
      <c r="F1312" s="355"/>
      <c r="G1312" s="356"/>
    </row>
    <row r="1313" spans="5:7" s="406" customFormat="1" ht="15">
      <c r="E1313" s="354"/>
      <c r="F1313" s="355"/>
      <c r="G1313" s="356"/>
    </row>
    <row r="1314" spans="5:7" s="406" customFormat="1" ht="15">
      <c r="E1314" s="354"/>
      <c r="F1314" s="355"/>
      <c r="G1314" s="356"/>
    </row>
    <row r="1315" spans="5:7" s="406" customFormat="1" ht="15">
      <c r="E1315" s="354"/>
      <c r="F1315" s="355"/>
      <c r="G1315" s="356"/>
    </row>
    <row r="1316" spans="5:7" s="406" customFormat="1" ht="15">
      <c r="E1316" s="354"/>
      <c r="F1316" s="355"/>
      <c r="G1316" s="356"/>
    </row>
    <row r="1317" spans="5:7" s="406" customFormat="1" ht="15">
      <c r="E1317" s="354"/>
      <c r="F1317" s="355"/>
      <c r="G1317" s="356"/>
    </row>
    <row r="1318" spans="5:7" s="406" customFormat="1" ht="15">
      <c r="E1318" s="354"/>
      <c r="F1318" s="355"/>
      <c r="G1318" s="356"/>
    </row>
    <row r="1319" spans="5:7" s="406" customFormat="1" ht="15">
      <c r="E1319" s="354"/>
      <c r="F1319" s="355"/>
      <c r="G1319" s="356"/>
    </row>
    <row r="1320" spans="5:7" s="406" customFormat="1" ht="15">
      <c r="E1320" s="354"/>
      <c r="F1320" s="355"/>
      <c r="G1320" s="356"/>
    </row>
    <row r="1321" spans="5:7" s="406" customFormat="1" ht="15">
      <c r="E1321" s="354"/>
      <c r="F1321" s="355"/>
      <c r="G1321" s="356"/>
    </row>
    <row r="1322" spans="5:7" s="406" customFormat="1" ht="15">
      <c r="E1322" s="354"/>
      <c r="F1322" s="355"/>
      <c r="G1322" s="356"/>
    </row>
    <row r="1323" spans="5:7" s="406" customFormat="1" ht="15">
      <c r="E1323" s="354"/>
      <c r="F1323" s="355"/>
      <c r="G1323" s="356"/>
    </row>
    <row r="1324" spans="5:7" s="406" customFormat="1" ht="15">
      <c r="E1324" s="354"/>
      <c r="F1324" s="355"/>
      <c r="G1324" s="356"/>
    </row>
    <row r="1325" spans="5:7" s="406" customFormat="1" ht="15">
      <c r="E1325" s="354"/>
      <c r="F1325" s="355"/>
      <c r="G1325" s="356"/>
    </row>
    <row r="1326" spans="5:7" s="406" customFormat="1" ht="15">
      <c r="E1326" s="354"/>
      <c r="F1326" s="355"/>
      <c r="G1326" s="356"/>
    </row>
    <row r="1327" spans="5:7" s="406" customFormat="1" ht="15">
      <c r="E1327" s="354"/>
      <c r="F1327" s="355"/>
      <c r="G1327" s="356"/>
    </row>
    <row r="1328" spans="5:7" s="406" customFormat="1" ht="15">
      <c r="E1328" s="354"/>
      <c r="F1328" s="355"/>
      <c r="G1328" s="356"/>
    </row>
    <row r="1329" spans="5:7" s="406" customFormat="1" ht="15">
      <c r="E1329" s="354"/>
      <c r="F1329" s="355"/>
      <c r="G1329" s="356"/>
    </row>
    <row r="1330" spans="5:7" s="406" customFormat="1" ht="15">
      <c r="E1330" s="354"/>
      <c r="F1330" s="355"/>
      <c r="G1330" s="356"/>
    </row>
    <row r="1331" spans="5:7" s="406" customFormat="1" ht="15">
      <c r="E1331" s="354"/>
      <c r="F1331" s="355"/>
      <c r="G1331" s="356"/>
    </row>
    <row r="1332" spans="5:7" s="406" customFormat="1" ht="15">
      <c r="E1332" s="354"/>
      <c r="F1332" s="355"/>
      <c r="G1332" s="356"/>
    </row>
    <row r="1333" spans="5:7" s="406" customFormat="1" ht="15">
      <c r="E1333" s="354"/>
      <c r="F1333" s="355"/>
      <c r="G1333" s="356"/>
    </row>
    <row r="1334" spans="5:7" s="406" customFormat="1" ht="15">
      <c r="E1334" s="354"/>
      <c r="F1334" s="355"/>
      <c r="G1334" s="356"/>
    </row>
    <row r="1335" spans="5:7" s="406" customFormat="1" ht="15">
      <c r="E1335" s="354"/>
      <c r="F1335" s="355"/>
      <c r="G1335" s="356"/>
    </row>
    <row r="1336" spans="5:7" s="406" customFormat="1" ht="15">
      <c r="E1336" s="354"/>
      <c r="F1336" s="355"/>
      <c r="G1336" s="356"/>
    </row>
    <row r="1337" spans="5:7" s="406" customFormat="1" ht="15">
      <c r="E1337" s="354"/>
      <c r="F1337" s="355"/>
      <c r="G1337" s="356"/>
    </row>
    <row r="1338" spans="5:7" s="406" customFormat="1" ht="15">
      <c r="E1338" s="354"/>
      <c r="F1338" s="355"/>
      <c r="G1338" s="356"/>
    </row>
    <row r="1339" spans="5:7" s="406" customFormat="1" ht="15">
      <c r="E1339" s="354"/>
      <c r="F1339" s="355"/>
      <c r="G1339" s="356"/>
    </row>
    <row r="1340" spans="5:7" s="406" customFormat="1" ht="15">
      <c r="E1340" s="354"/>
      <c r="F1340" s="355"/>
      <c r="G1340" s="356"/>
    </row>
    <row r="1341" spans="5:7" s="406" customFormat="1" ht="15">
      <c r="E1341" s="354"/>
      <c r="F1341" s="355"/>
      <c r="G1341" s="356"/>
    </row>
    <row r="1342" spans="5:7" s="406" customFormat="1" ht="15">
      <c r="E1342" s="354"/>
      <c r="F1342" s="355"/>
      <c r="G1342" s="356"/>
    </row>
    <row r="1343" spans="5:7" s="406" customFormat="1" ht="15">
      <c r="E1343" s="354"/>
      <c r="F1343" s="355"/>
      <c r="G1343" s="356"/>
    </row>
    <row r="1344" spans="5:7" s="406" customFormat="1" ht="15">
      <c r="E1344" s="354"/>
      <c r="F1344" s="355"/>
      <c r="G1344" s="356"/>
    </row>
    <row r="1345" spans="5:7" s="406" customFormat="1" ht="15">
      <c r="E1345" s="354"/>
      <c r="F1345" s="355"/>
      <c r="G1345" s="356"/>
    </row>
    <row r="1346" spans="5:7" s="406" customFormat="1" ht="15">
      <c r="E1346" s="354"/>
      <c r="F1346" s="355"/>
      <c r="G1346" s="356"/>
    </row>
    <row r="1347" spans="5:7" s="406" customFormat="1" ht="15">
      <c r="E1347" s="354"/>
      <c r="F1347" s="355"/>
      <c r="G1347" s="356"/>
    </row>
    <row r="1348" spans="5:7" s="406" customFormat="1" ht="15">
      <c r="E1348" s="354"/>
      <c r="F1348" s="355"/>
      <c r="G1348" s="356"/>
    </row>
    <row r="1349" spans="5:7" s="406" customFormat="1" ht="15">
      <c r="E1349" s="354"/>
      <c r="F1349" s="355"/>
      <c r="G1349" s="356"/>
    </row>
    <row r="1350" spans="5:7" s="406" customFormat="1" ht="15">
      <c r="E1350" s="354"/>
      <c r="F1350" s="355"/>
      <c r="G1350" s="356"/>
    </row>
    <row r="1351" spans="5:7" s="406" customFormat="1" ht="15">
      <c r="E1351" s="354"/>
      <c r="F1351" s="355"/>
      <c r="G1351" s="356"/>
    </row>
    <row r="1352" spans="5:7" s="406" customFormat="1" ht="15">
      <c r="E1352" s="354"/>
      <c r="F1352" s="355"/>
      <c r="G1352" s="356"/>
    </row>
    <row r="1353" spans="5:7" s="406" customFormat="1" ht="15">
      <c r="E1353" s="354"/>
      <c r="F1353" s="355"/>
      <c r="G1353" s="356"/>
    </row>
    <row r="1354" spans="5:7" s="406" customFormat="1" ht="15">
      <c r="E1354" s="354"/>
      <c r="F1354" s="355"/>
      <c r="G1354" s="356"/>
    </row>
    <row r="1355" spans="5:7" s="406" customFormat="1" ht="15">
      <c r="E1355" s="354"/>
      <c r="F1355" s="355"/>
      <c r="G1355" s="356"/>
    </row>
    <row r="1356" spans="5:7" s="406" customFormat="1" ht="15">
      <c r="E1356" s="354"/>
      <c r="F1356" s="355"/>
      <c r="G1356" s="356"/>
    </row>
    <row r="1357" spans="5:7" s="406" customFormat="1" ht="15">
      <c r="E1357" s="354"/>
      <c r="F1357" s="355"/>
      <c r="G1357" s="356"/>
    </row>
    <row r="1358" spans="5:7" s="406" customFormat="1" ht="15">
      <c r="E1358" s="354"/>
      <c r="F1358" s="355"/>
      <c r="G1358" s="356"/>
    </row>
    <row r="1359" spans="5:7" s="406" customFormat="1" ht="15">
      <c r="E1359" s="354"/>
      <c r="F1359" s="355"/>
      <c r="G1359" s="356"/>
    </row>
    <row r="1360" spans="5:7" s="406" customFormat="1" ht="15">
      <c r="E1360" s="354"/>
      <c r="F1360" s="355"/>
      <c r="G1360" s="356"/>
    </row>
    <row r="1361" spans="5:7" s="406" customFormat="1" ht="15">
      <c r="E1361" s="354"/>
      <c r="F1361" s="355"/>
      <c r="G1361" s="356"/>
    </row>
    <row r="1362" spans="5:7" s="406" customFormat="1" ht="15">
      <c r="E1362" s="354"/>
      <c r="F1362" s="355"/>
      <c r="G1362" s="356"/>
    </row>
    <row r="1363" spans="5:7" s="406" customFormat="1" ht="15">
      <c r="E1363" s="354"/>
      <c r="F1363" s="355"/>
      <c r="G1363" s="356"/>
    </row>
    <row r="1364" spans="5:7" s="406" customFormat="1" ht="15">
      <c r="E1364" s="354"/>
      <c r="F1364" s="355"/>
      <c r="G1364" s="356"/>
    </row>
    <row r="1365" spans="5:7" s="406" customFormat="1" ht="15">
      <c r="E1365" s="354"/>
      <c r="F1365" s="355"/>
      <c r="G1365" s="356"/>
    </row>
    <row r="1366" spans="5:7" s="406" customFormat="1" ht="15">
      <c r="E1366" s="354"/>
      <c r="F1366" s="355"/>
      <c r="G1366" s="356"/>
    </row>
    <row r="1367" spans="5:7" s="406" customFormat="1" ht="15">
      <c r="E1367" s="354"/>
      <c r="F1367" s="355"/>
      <c r="G1367" s="356"/>
    </row>
    <row r="1368" spans="5:7" s="406" customFormat="1" ht="15">
      <c r="E1368" s="354"/>
      <c r="F1368" s="355"/>
      <c r="G1368" s="356"/>
    </row>
    <row r="1369" spans="5:7" s="406" customFormat="1" ht="15">
      <c r="E1369" s="354"/>
      <c r="F1369" s="355"/>
      <c r="G1369" s="356"/>
    </row>
    <row r="1370" spans="5:7" s="406" customFormat="1" ht="15">
      <c r="E1370" s="354"/>
      <c r="F1370" s="355"/>
      <c r="G1370" s="356"/>
    </row>
    <row r="1371" spans="5:7" s="406" customFormat="1" ht="15">
      <c r="E1371" s="354"/>
      <c r="F1371" s="355"/>
      <c r="G1371" s="356"/>
    </row>
    <row r="1372" spans="5:7" s="406" customFormat="1" ht="15">
      <c r="E1372" s="354"/>
      <c r="F1372" s="355"/>
      <c r="G1372" s="356"/>
    </row>
    <row r="1373" spans="5:7" s="406" customFormat="1" ht="15">
      <c r="E1373" s="354"/>
      <c r="F1373" s="355"/>
      <c r="G1373" s="356"/>
    </row>
    <row r="1374" spans="5:7" s="406" customFormat="1" ht="15">
      <c r="E1374" s="354"/>
      <c r="F1374" s="355"/>
      <c r="G1374" s="356"/>
    </row>
    <row r="1375" spans="5:7" s="406" customFormat="1" ht="15">
      <c r="E1375" s="354"/>
      <c r="F1375" s="355"/>
      <c r="G1375" s="356"/>
    </row>
    <row r="1376" spans="5:7" s="406" customFormat="1" ht="15">
      <c r="E1376" s="354"/>
      <c r="F1376" s="355"/>
      <c r="G1376" s="356"/>
    </row>
    <row r="1377" spans="5:7" s="406" customFormat="1" ht="15">
      <c r="E1377" s="354"/>
      <c r="F1377" s="355"/>
      <c r="G1377" s="356"/>
    </row>
    <row r="1378" spans="5:7" s="406" customFormat="1" ht="15">
      <c r="E1378" s="354"/>
      <c r="F1378" s="355"/>
      <c r="G1378" s="356"/>
    </row>
    <row r="1379" spans="5:7" s="406" customFormat="1" ht="15">
      <c r="E1379" s="354"/>
      <c r="F1379" s="355"/>
      <c r="G1379" s="356"/>
    </row>
    <row r="1380" spans="5:7" s="406" customFormat="1" ht="15">
      <c r="E1380" s="354"/>
      <c r="F1380" s="355"/>
      <c r="G1380" s="356"/>
    </row>
    <row r="1381" spans="5:7" s="406" customFormat="1" ht="15">
      <c r="E1381" s="354"/>
      <c r="F1381" s="355"/>
      <c r="G1381" s="356"/>
    </row>
    <row r="1382" spans="5:7" s="406" customFormat="1" ht="15">
      <c r="E1382" s="354"/>
      <c r="F1382" s="355"/>
      <c r="G1382" s="356"/>
    </row>
    <row r="1383" spans="5:7" s="406" customFormat="1" ht="15">
      <c r="E1383" s="354"/>
      <c r="F1383" s="355"/>
      <c r="G1383" s="356"/>
    </row>
    <row r="1384" spans="5:7" s="406" customFormat="1" ht="15">
      <c r="E1384" s="354"/>
      <c r="F1384" s="355"/>
      <c r="G1384" s="356"/>
    </row>
    <row r="1385" spans="5:7" s="406" customFormat="1" ht="15">
      <c r="E1385" s="354"/>
      <c r="F1385" s="355"/>
      <c r="G1385" s="356"/>
    </row>
    <row r="1386" spans="5:7" s="406" customFormat="1" ht="15">
      <c r="E1386" s="354"/>
      <c r="F1386" s="355"/>
      <c r="G1386" s="356"/>
    </row>
    <row r="1387" spans="5:7" s="406" customFormat="1" ht="15">
      <c r="E1387" s="354"/>
      <c r="F1387" s="355"/>
      <c r="G1387" s="356"/>
    </row>
    <row r="1388" spans="5:7" s="406" customFormat="1" ht="15">
      <c r="E1388" s="354"/>
      <c r="F1388" s="355"/>
      <c r="G1388" s="356"/>
    </row>
    <row r="1389" spans="5:7" s="406" customFormat="1" ht="15">
      <c r="E1389" s="354"/>
      <c r="F1389" s="355"/>
      <c r="G1389" s="356"/>
    </row>
    <row r="1390" spans="5:7" s="406" customFormat="1" ht="15">
      <c r="E1390" s="354"/>
      <c r="F1390" s="355"/>
      <c r="G1390" s="356"/>
    </row>
    <row r="1391" spans="5:7" s="406" customFormat="1" ht="15">
      <c r="E1391" s="354"/>
      <c r="F1391" s="355"/>
      <c r="G1391" s="356"/>
    </row>
    <row r="1392" spans="5:7" s="406" customFormat="1" ht="15">
      <c r="E1392" s="354"/>
      <c r="F1392" s="355"/>
      <c r="G1392" s="356"/>
    </row>
    <row r="1393" spans="5:7" s="406" customFormat="1" ht="15">
      <c r="E1393" s="354"/>
      <c r="F1393" s="355"/>
      <c r="G1393" s="356"/>
    </row>
    <row r="1394" spans="5:7" s="406" customFormat="1" ht="15">
      <c r="E1394" s="354"/>
      <c r="F1394" s="355"/>
      <c r="G1394" s="356"/>
    </row>
    <row r="1395" spans="5:7" s="406" customFormat="1" ht="15">
      <c r="E1395" s="354"/>
      <c r="F1395" s="355"/>
      <c r="G1395" s="356"/>
    </row>
    <row r="1396" spans="5:7" s="406" customFormat="1" ht="15">
      <c r="E1396" s="354"/>
      <c r="F1396" s="355"/>
      <c r="G1396" s="356"/>
    </row>
    <row r="1397" spans="5:7" s="406" customFormat="1" ht="15">
      <c r="E1397" s="354"/>
      <c r="F1397" s="355"/>
      <c r="G1397" s="356"/>
    </row>
    <row r="1398" spans="5:7" s="406" customFormat="1" ht="15">
      <c r="E1398" s="354"/>
      <c r="F1398" s="355"/>
      <c r="G1398" s="356"/>
    </row>
    <row r="1399" spans="5:7" s="406" customFormat="1" ht="15">
      <c r="E1399" s="354"/>
      <c r="F1399" s="355"/>
      <c r="G1399" s="356"/>
    </row>
    <row r="1400" spans="5:7" s="406" customFormat="1" ht="15">
      <c r="E1400" s="354"/>
      <c r="F1400" s="355"/>
      <c r="G1400" s="356"/>
    </row>
    <row r="1401" spans="5:7" s="406" customFormat="1" ht="15">
      <c r="E1401" s="354"/>
      <c r="F1401" s="355"/>
      <c r="G1401" s="356"/>
    </row>
    <row r="1402" spans="5:7" s="406" customFormat="1" ht="15">
      <c r="E1402" s="354"/>
      <c r="F1402" s="355"/>
      <c r="G1402" s="356"/>
    </row>
    <row r="1403" spans="5:7" s="406" customFormat="1" ht="15">
      <c r="E1403" s="354"/>
      <c r="F1403" s="355"/>
      <c r="G1403" s="356"/>
    </row>
    <row r="1404" spans="5:7" s="406" customFormat="1" ht="15">
      <c r="E1404" s="354"/>
      <c r="F1404" s="355"/>
      <c r="G1404" s="356"/>
    </row>
    <row r="1405" spans="5:7" s="406" customFormat="1" ht="15">
      <c r="E1405" s="354"/>
      <c r="F1405" s="355"/>
      <c r="G1405" s="356"/>
    </row>
    <row r="1406" spans="5:7" s="406" customFormat="1" ht="15">
      <c r="E1406" s="354"/>
      <c r="F1406" s="355"/>
      <c r="G1406" s="356"/>
    </row>
    <row r="1407" spans="5:7" s="406" customFormat="1" ht="15">
      <c r="E1407" s="354"/>
      <c r="F1407" s="355"/>
      <c r="G1407" s="356"/>
    </row>
    <row r="1408" spans="5:7" s="406" customFormat="1" ht="15">
      <c r="E1408" s="354"/>
      <c r="F1408" s="355"/>
      <c r="G1408" s="356"/>
    </row>
    <row r="1409" spans="5:7" s="406" customFormat="1" ht="15">
      <c r="E1409" s="354"/>
      <c r="F1409" s="355"/>
      <c r="G1409" s="356"/>
    </row>
    <row r="1410" spans="5:7" s="406" customFormat="1" ht="15">
      <c r="E1410" s="354"/>
      <c r="F1410" s="355"/>
      <c r="G1410" s="356"/>
    </row>
    <row r="1411" spans="5:7" s="406" customFormat="1" ht="15">
      <c r="E1411" s="354"/>
      <c r="F1411" s="355"/>
      <c r="G1411" s="356"/>
    </row>
    <row r="1412" spans="5:7" s="406" customFormat="1" ht="15">
      <c r="E1412" s="354"/>
      <c r="F1412" s="355"/>
      <c r="G1412" s="356"/>
    </row>
    <row r="1413" spans="5:7" s="406" customFormat="1" ht="15">
      <c r="E1413" s="354"/>
      <c r="F1413" s="355"/>
      <c r="G1413" s="356"/>
    </row>
    <row r="1414" spans="5:7" s="406" customFormat="1" ht="15">
      <c r="E1414" s="354"/>
      <c r="F1414" s="355"/>
      <c r="G1414" s="356"/>
    </row>
    <row r="1415" spans="5:7" s="406" customFormat="1" ht="15">
      <c r="E1415" s="354"/>
      <c r="F1415" s="355"/>
      <c r="G1415" s="356"/>
    </row>
    <row r="1416" spans="5:7" s="406" customFormat="1" ht="15">
      <c r="E1416" s="354"/>
      <c r="F1416" s="355"/>
      <c r="G1416" s="356"/>
    </row>
    <row r="1417" spans="5:7" s="406" customFormat="1" ht="15">
      <c r="E1417" s="354"/>
      <c r="F1417" s="355"/>
      <c r="G1417" s="356"/>
    </row>
    <row r="1418" spans="5:7" s="406" customFormat="1" ht="15">
      <c r="E1418" s="354"/>
      <c r="F1418" s="355"/>
      <c r="G1418" s="356"/>
    </row>
    <row r="1419" spans="5:7" s="406" customFormat="1" ht="15">
      <c r="E1419" s="354"/>
      <c r="F1419" s="355"/>
      <c r="G1419" s="356"/>
    </row>
    <row r="1420" spans="5:7" s="406" customFormat="1" ht="15">
      <c r="E1420" s="354"/>
      <c r="F1420" s="355"/>
      <c r="G1420" s="356"/>
    </row>
    <row r="1421" spans="5:7" s="406" customFormat="1" ht="15">
      <c r="E1421" s="354"/>
      <c r="F1421" s="355"/>
      <c r="G1421" s="356"/>
    </row>
    <row r="1422" spans="5:7" s="406" customFormat="1" ht="15">
      <c r="E1422" s="354"/>
      <c r="F1422" s="355"/>
      <c r="G1422" s="356"/>
    </row>
    <row r="1423" spans="5:7" s="406" customFormat="1" ht="15">
      <c r="E1423" s="354"/>
      <c r="F1423" s="355"/>
      <c r="G1423" s="356"/>
    </row>
    <row r="1424" spans="5:7" s="406" customFormat="1" ht="15">
      <c r="E1424" s="354"/>
      <c r="F1424" s="355"/>
      <c r="G1424" s="356"/>
    </row>
    <row r="1425" spans="5:7" s="406" customFormat="1" ht="15">
      <c r="E1425" s="354"/>
      <c r="F1425" s="355"/>
      <c r="G1425" s="356"/>
    </row>
    <row r="1426" spans="5:7" s="406" customFormat="1" ht="15">
      <c r="E1426" s="354"/>
      <c r="F1426" s="355"/>
      <c r="G1426" s="356"/>
    </row>
    <row r="1427" spans="5:7" s="406" customFormat="1" ht="15">
      <c r="E1427" s="354"/>
      <c r="F1427" s="355"/>
      <c r="G1427" s="356"/>
    </row>
    <row r="1428" spans="5:7" s="406" customFormat="1" ht="15">
      <c r="E1428" s="354"/>
      <c r="F1428" s="355"/>
      <c r="G1428" s="356"/>
    </row>
    <row r="1429" spans="5:7" s="406" customFormat="1" ht="15">
      <c r="E1429" s="354"/>
      <c r="F1429" s="355"/>
      <c r="G1429" s="356"/>
    </row>
    <row r="1430" spans="5:7" s="406" customFormat="1" ht="15">
      <c r="E1430" s="354"/>
      <c r="F1430" s="355"/>
      <c r="G1430" s="356"/>
    </row>
    <row r="1431" spans="5:7" s="406" customFormat="1" ht="15">
      <c r="E1431" s="354"/>
      <c r="F1431" s="355"/>
      <c r="G1431" s="356"/>
    </row>
    <row r="1432" spans="5:7" s="406" customFormat="1" ht="15">
      <c r="E1432" s="354"/>
      <c r="F1432" s="355"/>
      <c r="G1432" s="356"/>
    </row>
    <row r="1433" spans="5:7" s="406" customFormat="1" ht="15">
      <c r="E1433" s="354"/>
      <c r="F1433" s="355"/>
      <c r="G1433" s="356"/>
    </row>
    <row r="1434" spans="5:7" s="406" customFormat="1" ht="15">
      <c r="E1434" s="354"/>
      <c r="F1434" s="355"/>
      <c r="G1434" s="356"/>
    </row>
    <row r="1435" spans="5:7" s="406" customFormat="1" ht="15">
      <c r="E1435" s="354"/>
      <c r="F1435" s="355"/>
      <c r="G1435" s="356"/>
    </row>
    <row r="1436" spans="5:7" s="406" customFormat="1" ht="15">
      <c r="E1436" s="354"/>
      <c r="F1436" s="355"/>
      <c r="G1436" s="356"/>
    </row>
    <row r="1437" spans="5:7" s="406" customFormat="1" ht="15">
      <c r="E1437" s="354"/>
      <c r="F1437" s="355"/>
      <c r="G1437" s="356"/>
    </row>
    <row r="1438" spans="5:7" s="406" customFormat="1" ht="15">
      <c r="E1438" s="354"/>
      <c r="F1438" s="355"/>
      <c r="G1438" s="356"/>
    </row>
    <row r="1439" spans="5:7" s="406" customFormat="1" ht="15">
      <c r="E1439" s="354"/>
      <c r="F1439" s="355"/>
      <c r="G1439" s="356"/>
    </row>
    <row r="1440" spans="5:7" s="406" customFormat="1" ht="15">
      <c r="E1440" s="354"/>
      <c r="F1440" s="355"/>
      <c r="G1440" s="356"/>
    </row>
    <row r="1441" spans="5:7" s="406" customFormat="1" ht="15">
      <c r="E1441" s="354"/>
      <c r="F1441" s="355"/>
      <c r="G1441" s="356"/>
    </row>
    <row r="1442" spans="5:7" s="406" customFormat="1" ht="15">
      <c r="E1442" s="354"/>
      <c r="F1442" s="355"/>
      <c r="G1442" s="356"/>
    </row>
    <row r="1443" spans="5:7" s="406" customFormat="1" ht="15">
      <c r="E1443" s="354"/>
      <c r="F1443" s="355"/>
      <c r="G1443" s="356"/>
    </row>
    <row r="1444" spans="5:7" s="406" customFormat="1" ht="15">
      <c r="E1444" s="354"/>
      <c r="F1444" s="355"/>
      <c r="G1444" s="356"/>
    </row>
    <row r="1445" spans="5:7" s="406" customFormat="1" ht="15">
      <c r="E1445" s="354"/>
      <c r="F1445" s="355"/>
      <c r="G1445" s="356"/>
    </row>
    <row r="1446" spans="5:7" s="406" customFormat="1" ht="15">
      <c r="E1446" s="354"/>
      <c r="F1446" s="355"/>
      <c r="G1446" s="356"/>
    </row>
    <row r="1447" spans="5:7" s="406" customFormat="1" ht="15">
      <c r="E1447" s="354"/>
      <c r="F1447" s="355"/>
      <c r="G1447" s="356"/>
    </row>
    <row r="1448" spans="5:7" s="406" customFormat="1" ht="15">
      <c r="E1448" s="354"/>
      <c r="F1448" s="355"/>
      <c r="G1448" s="356"/>
    </row>
    <row r="1449" spans="5:7" s="406" customFormat="1" ht="15">
      <c r="E1449" s="354"/>
      <c r="F1449" s="355"/>
      <c r="G1449" s="356"/>
    </row>
    <row r="1450" spans="5:7" s="406" customFormat="1" ht="15">
      <c r="E1450" s="354"/>
      <c r="F1450" s="355"/>
      <c r="G1450" s="356"/>
    </row>
    <row r="1451" spans="5:7" s="406" customFormat="1" ht="15">
      <c r="E1451" s="354"/>
      <c r="F1451" s="355"/>
      <c r="G1451" s="356"/>
    </row>
    <row r="1452" spans="5:7" s="406" customFormat="1" ht="15">
      <c r="E1452" s="354"/>
      <c r="F1452" s="355"/>
      <c r="G1452" s="356"/>
    </row>
    <row r="1453" spans="5:7" s="406" customFormat="1" ht="15">
      <c r="E1453" s="354"/>
      <c r="F1453" s="355"/>
      <c r="G1453" s="356"/>
    </row>
    <row r="1454" spans="5:7" s="406" customFormat="1" ht="15">
      <c r="E1454" s="354"/>
      <c r="F1454" s="355"/>
      <c r="G1454" s="356"/>
    </row>
    <row r="1455" spans="5:7" s="406" customFormat="1" ht="15">
      <c r="E1455" s="354"/>
      <c r="F1455" s="355"/>
      <c r="G1455" s="356"/>
    </row>
    <row r="1456" spans="5:7" s="406" customFormat="1" ht="15">
      <c r="E1456" s="354"/>
      <c r="F1456" s="355"/>
      <c r="G1456" s="356"/>
    </row>
    <row r="1457" spans="5:7" s="406" customFormat="1" ht="15">
      <c r="E1457" s="354"/>
      <c r="F1457" s="355"/>
      <c r="G1457" s="356"/>
    </row>
    <row r="1458" spans="5:7" s="406" customFormat="1" ht="15">
      <c r="E1458" s="354"/>
      <c r="F1458" s="355"/>
      <c r="G1458" s="356"/>
    </row>
    <row r="1459" spans="5:7" s="406" customFormat="1" ht="15">
      <c r="E1459" s="354"/>
      <c r="F1459" s="355"/>
      <c r="G1459" s="356"/>
    </row>
    <row r="1460" spans="5:7" s="406" customFormat="1" ht="15">
      <c r="E1460" s="354"/>
      <c r="F1460" s="355"/>
      <c r="G1460" s="356"/>
    </row>
    <row r="1461" spans="5:7" s="406" customFormat="1" ht="15">
      <c r="E1461" s="354"/>
      <c r="F1461" s="355"/>
      <c r="G1461" s="356"/>
    </row>
    <row r="1462" spans="5:7" s="406" customFormat="1" ht="15">
      <c r="E1462" s="354"/>
      <c r="F1462" s="355"/>
      <c r="G1462" s="356"/>
    </row>
    <row r="1463" spans="5:7" s="406" customFormat="1" ht="15">
      <c r="E1463" s="354"/>
      <c r="F1463" s="355"/>
      <c r="G1463" s="356"/>
    </row>
    <row r="1464" spans="5:7" s="406" customFormat="1" ht="15">
      <c r="E1464" s="354"/>
      <c r="F1464" s="355"/>
      <c r="G1464" s="356"/>
    </row>
    <row r="1465" spans="5:7" s="406" customFormat="1" ht="15">
      <c r="E1465" s="354"/>
      <c r="F1465" s="355"/>
      <c r="G1465" s="356"/>
    </row>
    <row r="1466" spans="5:7" s="406" customFormat="1" ht="15">
      <c r="E1466" s="354"/>
      <c r="F1466" s="355"/>
      <c r="G1466" s="356"/>
    </row>
    <row r="1467" spans="5:7" s="406" customFormat="1" ht="15">
      <c r="E1467" s="354"/>
      <c r="F1467" s="355"/>
      <c r="G1467" s="356"/>
    </row>
    <row r="1468" spans="5:7" s="406" customFormat="1" ht="15">
      <c r="E1468" s="354"/>
      <c r="F1468" s="355"/>
      <c r="G1468" s="356"/>
    </row>
    <row r="1469" spans="5:7" s="406" customFormat="1" ht="15">
      <c r="E1469" s="354"/>
      <c r="F1469" s="355"/>
      <c r="G1469" s="356"/>
    </row>
    <row r="1470" spans="5:7" s="406" customFormat="1" ht="15">
      <c r="E1470" s="354"/>
      <c r="F1470" s="355"/>
      <c r="G1470" s="356"/>
    </row>
    <row r="1471" spans="5:7" s="406" customFormat="1" ht="15">
      <c r="E1471" s="354"/>
      <c r="F1471" s="355"/>
      <c r="G1471" s="356"/>
    </row>
    <row r="1472" spans="5:7" s="406" customFormat="1" ht="15">
      <c r="E1472" s="354"/>
      <c r="F1472" s="355"/>
      <c r="G1472" s="356"/>
    </row>
    <row r="1473" spans="5:7" s="406" customFormat="1" ht="15">
      <c r="E1473" s="354"/>
      <c r="F1473" s="355"/>
      <c r="G1473" s="356"/>
    </row>
    <row r="1474" spans="5:7" s="406" customFormat="1" ht="15">
      <c r="E1474" s="354"/>
      <c r="F1474" s="355"/>
      <c r="G1474" s="356"/>
    </row>
    <row r="1475" spans="5:7" s="406" customFormat="1" ht="15">
      <c r="E1475" s="354"/>
      <c r="F1475" s="355"/>
      <c r="G1475" s="356"/>
    </row>
    <row r="1476" spans="5:7" s="406" customFormat="1" ht="15">
      <c r="E1476" s="354"/>
      <c r="F1476" s="355"/>
      <c r="G1476" s="356"/>
    </row>
    <row r="1477" spans="5:7" s="406" customFormat="1" ht="15">
      <c r="E1477" s="354"/>
      <c r="F1477" s="355"/>
      <c r="G1477" s="356"/>
    </row>
    <row r="1478" spans="5:7" s="406" customFormat="1" ht="15">
      <c r="E1478" s="354"/>
      <c r="F1478" s="355"/>
      <c r="G1478" s="356"/>
    </row>
    <row r="1479" spans="5:7" s="406" customFormat="1" ht="15">
      <c r="E1479" s="354"/>
      <c r="F1479" s="355"/>
      <c r="G1479" s="356"/>
    </row>
    <row r="1480" spans="5:7" s="406" customFormat="1" ht="15">
      <c r="E1480" s="354"/>
      <c r="F1480" s="355"/>
      <c r="G1480" s="356"/>
    </row>
    <row r="1481" spans="5:7" s="406" customFormat="1" ht="15">
      <c r="E1481" s="354"/>
      <c r="F1481" s="355"/>
      <c r="G1481" s="356"/>
    </row>
    <row r="1482" spans="5:7" s="406" customFormat="1" ht="15">
      <c r="E1482" s="354"/>
      <c r="F1482" s="355"/>
      <c r="G1482" s="356"/>
    </row>
    <row r="1483" spans="5:7" s="406" customFormat="1" ht="15">
      <c r="E1483" s="354"/>
      <c r="F1483" s="355"/>
      <c r="G1483" s="356"/>
    </row>
    <row r="1484" spans="5:7" s="406" customFormat="1" ht="15">
      <c r="E1484" s="354"/>
      <c r="F1484" s="355"/>
      <c r="G1484" s="356"/>
    </row>
    <row r="1485" spans="5:7" s="406" customFormat="1" ht="15">
      <c r="E1485" s="354"/>
      <c r="F1485" s="355"/>
      <c r="G1485" s="356"/>
    </row>
    <row r="1486" spans="5:7" s="406" customFormat="1" ht="15">
      <c r="E1486" s="354"/>
      <c r="F1486" s="355"/>
      <c r="G1486" s="356"/>
    </row>
    <row r="1487" spans="5:7" s="406" customFormat="1" ht="15">
      <c r="E1487" s="354"/>
      <c r="F1487" s="355"/>
      <c r="G1487" s="356"/>
    </row>
    <row r="1488" spans="5:7" s="406" customFormat="1" ht="15">
      <c r="E1488" s="354"/>
      <c r="F1488" s="355"/>
      <c r="G1488" s="356"/>
    </row>
    <row r="1489" spans="5:7" s="406" customFormat="1" ht="15">
      <c r="E1489" s="354"/>
      <c r="F1489" s="355"/>
      <c r="G1489" s="356"/>
    </row>
    <row r="1490" spans="5:7" s="406" customFormat="1" ht="15">
      <c r="E1490" s="354"/>
      <c r="F1490" s="355"/>
      <c r="G1490" s="356"/>
    </row>
    <row r="1491" spans="5:7" s="406" customFormat="1" ht="15">
      <c r="E1491" s="354"/>
      <c r="F1491" s="355"/>
      <c r="G1491" s="356"/>
    </row>
    <row r="1492" spans="5:7" s="406" customFormat="1" ht="15">
      <c r="E1492" s="354"/>
      <c r="F1492" s="355"/>
      <c r="G1492" s="356"/>
    </row>
    <row r="1493" spans="5:7" s="406" customFormat="1" ht="15">
      <c r="E1493" s="354"/>
      <c r="F1493" s="355"/>
      <c r="G1493" s="356"/>
    </row>
    <row r="1494" spans="5:7" s="406" customFormat="1" ht="15">
      <c r="E1494" s="354"/>
      <c r="F1494" s="355"/>
      <c r="G1494" s="356"/>
    </row>
    <row r="1495" spans="5:7" s="406" customFormat="1" ht="15">
      <c r="E1495" s="354"/>
      <c r="F1495" s="355"/>
      <c r="G1495" s="356"/>
    </row>
    <row r="1496" spans="5:7" s="406" customFormat="1" ht="15">
      <c r="E1496" s="354"/>
      <c r="F1496" s="355"/>
      <c r="G1496" s="356"/>
    </row>
    <row r="1497" spans="5:7" s="406" customFormat="1" ht="15">
      <c r="E1497" s="354"/>
      <c r="F1497" s="355"/>
      <c r="G1497" s="356"/>
    </row>
    <row r="1498" spans="5:7" s="406" customFormat="1" ht="15">
      <c r="E1498" s="354"/>
      <c r="F1498" s="355"/>
      <c r="G1498" s="356"/>
    </row>
    <row r="1499" spans="5:7" s="406" customFormat="1" ht="15">
      <c r="E1499" s="354"/>
      <c r="F1499" s="355"/>
      <c r="G1499" s="356"/>
    </row>
    <row r="1500" spans="5:7" s="406" customFormat="1" ht="15">
      <c r="E1500" s="354"/>
      <c r="F1500" s="355"/>
      <c r="G1500" s="356"/>
    </row>
    <row r="1501" spans="5:7" s="406" customFormat="1" ht="15">
      <c r="E1501" s="354"/>
      <c r="F1501" s="355"/>
      <c r="G1501" s="356"/>
    </row>
    <row r="1502" spans="5:7" s="406" customFormat="1" ht="15">
      <c r="E1502" s="354"/>
      <c r="F1502" s="355"/>
      <c r="G1502" s="356"/>
    </row>
    <row r="1503" spans="5:7" s="406" customFormat="1" ht="15">
      <c r="E1503" s="354"/>
      <c r="F1503" s="355"/>
      <c r="G1503" s="356"/>
    </row>
    <row r="1504" spans="5:7" s="406" customFormat="1" ht="15">
      <c r="E1504" s="354"/>
      <c r="F1504" s="355"/>
      <c r="G1504" s="356"/>
    </row>
    <row r="1505" spans="5:7" s="406" customFormat="1" ht="15">
      <c r="E1505" s="354"/>
      <c r="F1505" s="355"/>
      <c r="G1505" s="356"/>
    </row>
    <row r="1506" spans="5:7" s="406" customFormat="1" ht="15">
      <c r="E1506" s="354"/>
      <c r="F1506" s="355"/>
      <c r="G1506" s="356"/>
    </row>
    <row r="1507" spans="5:7" s="406" customFormat="1" ht="15">
      <c r="E1507" s="354"/>
      <c r="F1507" s="355"/>
      <c r="G1507" s="356"/>
    </row>
    <row r="1508" spans="5:7" s="406" customFormat="1" ht="15">
      <c r="E1508" s="354"/>
      <c r="F1508" s="355"/>
      <c r="G1508" s="356"/>
    </row>
    <row r="1509" spans="5:7" s="406" customFormat="1" ht="15">
      <c r="E1509" s="354"/>
      <c r="F1509" s="355"/>
      <c r="G1509" s="356"/>
    </row>
    <row r="1510" spans="5:7" s="406" customFormat="1" ht="15">
      <c r="E1510" s="354"/>
      <c r="F1510" s="355"/>
      <c r="G1510" s="356"/>
    </row>
    <row r="1511" spans="5:7" s="406" customFormat="1" ht="15">
      <c r="E1511" s="354"/>
      <c r="F1511" s="355"/>
      <c r="G1511" s="356"/>
    </row>
    <row r="1512" spans="5:7" s="406" customFormat="1" ht="15">
      <c r="E1512" s="354"/>
      <c r="F1512" s="355"/>
      <c r="G1512" s="356"/>
    </row>
    <row r="1513" spans="5:7" s="406" customFormat="1" ht="15">
      <c r="E1513" s="354"/>
      <c r="F1513" s="355"/>
      <c r="G1513" s="356"/>
    </row>
    <row r="1514" spans="5:7" s="406" customFormat="1" ht="15">
      <c r="E1514" s="354"/>
      <c r="F1514" s="355"/>
      <c r="G1514" s="356"/>
    </row>
    <row r="1515" spans="5:7" s="406" customFormat="1" ht="15">
      <c r="E1515" s="354"/>
      <c r="F1515" s="355"/>
      <c r="G1515" s="356"/>
    </row>
    <row r="1516" spans="5:7" s="406" customFormat="1" ht="15">
      <c r="E1516" s="354"/>
      <c r="F1516" s="355"/>
      <c r="G1516" s="356"/>
    </row>
    <row r="1517" spans="5:7" s="406" customFormat="1" ht="15">
      <c r="E1517" s="354"/>
      <c r="F1517" s="355"/>
      <c r="G1517" s="356"/>
    </row>
    <row r="1518" spans="5:7" s="406" customFormat="1" ht="15">
      <c r="E1518" s="354"/>
      <c r="F1518" s="355"/>
      <c r="G1518" s="356"/>
    </row>
    <row r="1519" spans="5:7" s="406" customFormat="1" ht="15">
      <c r="E1519" s="354"/>
      <c r="F1519" s="355"/>
      <c r="G1519" s="356"/>
    </row>
    <row r="1520" spans="5:7" s="406" customFormat="1" ht="15">
      <c r="E1520" s="354"/>
      <c r="F1520" s="355"/>
      <c r="G1520" s="356"/>
    </row>
    <row r="1521" spans="5:7" s="406" customFormat="1" ht="15">
      <c r="E1521" s="354"/>
      <c r="F1521" s="355"/>
      <c r="G1521" s="356"/>
    </row>
    <row r="1522" spans="5:7" s="406" customFormat="1" ht="15">
      <c r="E1522" s="354"/>
      <c r="F1522" s="355"/>
      <c r="G1522" s="356"/>
    </row>
    <row r="1523" spans="5:7" s="406" customFormat="1" ht="15">
      <c r="E1523" s="354"/>
      <c r="F1523" s="355"/>
      <c r="G1523" s="356"/>
    </row>
    <row r="1524" spans="5:7" s="406" customFormat="1" ht="15">
      <c r="E1524" s="354"/>
      <c r="F1524" s="355"/>
      <c r="G1524" s="356"/>
    </row>
    <row r="1525" spans="5:7" s="406" customFormat="1" ht="15">
      <c r="E1525" s="354"/>
      <c r="F1525" s="355"/>
      <c r="G1525" s="356"/>
    </row>
    <row r="1526" spans="5:7" s="406" customFormat="1" ht="15">
      <c r="E1526" s="354"/>
      <c r="F1526" s="355"/>
      <c r="G1526" s="356"/>
    </row>
    <row r="1527" spans="5:7" s="406" customFormat="1" ht="15">
      <c r="E1527" s="354"/>
      <c r="F1527" s="355"/>
      <c r="G1527" s="356"/>
    </row>
    <row r="1528" spans="5:7" s="406" customFormat="1" ht="15">
      <c r="E1528" s="354"/>
      <c r="F1528" s="355"/>
      <c r="G1528" s="356"/>
    </row>
    <row r="1529" spans="5:7" s="406" customFormat="1" ht="15">
      <c r="E1529" s="354"/>
      <c r="F1529" s="355"/>
      <c r="G1529" s="356"/>
    </row>
  </sheetData>
  <sheetProtection algorithmName="SHA-512" hashValue="nwhWLYuN3D4GriJWTf6NAXmDAmGn/mWn+sr9Ch/0SzdkpJFg8pWu1FV7FIWxX7CRSoNhqndjNIrwsrXZTRclBg==" saltValue="7oRCM87Pc6dNT/2sXD37VA==" spinCount="100000" sheet="1" objects="1" scenarios="1"/>
  <mergeCells count="7">
    <mergeCell ref="F1:H2"/>
    <mergeCell ref="A5:A6"/>
    <mergeCell ref="B5:D5"/>
    <mergeCell ref="E5:F6"/>
    <mergeCell ref="G5:G6"/>
    <mergeCell ref="H5:H6"/>
    <mergeCell ref="B6:C6"/>
  </mergeCells>
  <pageMargins left="0.7" right="0.7" top="0.75" bottom="0.75" header="0.3" footer="0.3"/>
  <pageSetup paperSize="9" scale="76" orientation="portrait" r:id="rId1"/>
  <colBreaks count="1" manualBreakCount="1">
    <brk id="8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253DE8-3793-4ED2-966B-CB00E404DBC0}">
  <dimension ref="A1:G3"/>
  <sheetViews>
    <sheetView workbookViewId="0"/>
  </sheetViews>
  <sheetFormatPr defaultRowHeight="12.75"/>
  <cols>
    <col min="1" max="1" width="2.140625" customWidth="1"/>
    <col min="2" max="2" width="24.85546875" customWidth="1"/>
    <col min="3" max="3" width="12.28515625" customWidth="1"/>
    <col min="4" max="4" width="12.140625" customWidth="1"/>
    <col min="5" max="5" width="48.140625" customWidth="1"/>
    <col min="6" max="6" width="4.5703125" customWidth="1"/>
    <col min="7" max="7" width="11.85546875" customWidth="1"/>
  </cols>
  <sheetData>
    <row r="1" spans="1:7">
      <c r="A1" s="1"/>
      <c r="B1" s="1"/>
      <c r="C1" s="1"/>
      <c r="D1" s="1"/>
      <c r="E1" s="1"/>
      <c r="F1" s="1"/>
      <c r="G1" s="1"/>
    </row>
    <row r="2" spans="1:7">
      <c r="A2" s="1"/>
      <c r="B2" s="1"/>
      <c r="C2" s="1"/>
      <c r="D2" s="1"/>
      <c r="E2" s="1"/>
      <c r="F2" s="1"/>
      <c r="G2" s="1"/>
    </row>
    <row r="3" spans="1:7">
      <c r="A3" s="1"/>
      <c r="B3" s="3" t="s">
        <v>14</v>
      </c>
      <c r="C3" s="505" t="s">
        <v>15</v>
      </c>
      <c r="D3" s="505"/>
      <c r="E3" s="3" t="s">
        <v>16</v>
      </c>
      <c r="F3" s="3" t="s">
        <v>17</v>
      </c>
      <c r="G3" s="3" t="s">
        <v>18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C3:D3"/>
  </mergeCells>
  <pageMargins left="0.75" right="0.75" top="1" bottom="1" header="0.49236109852790833" footer="0.49236109852790833"/>
  <pageSetup errors="blank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6</vt:i4>
      </vt:variant>
      <vt:variant>
        <vt:lpstr>Pomenované rozsahy</vt:lpstr>
      </vt:variant>
      <vt:variant>
        <vt:i4>6</vt:i4>
      </vt:variant>
    </vt:vector>
  </HeadingPairs>
  <TitlesOfParts>
    <vt:vector size="12" baseType="lpstr">
      <vt:lpstr>RekapitulaciaStavby</vt:lpstr>
      <vt:lpstr>SupisPrac</vt:lpstr>
      <vt:lpstr>CastiStavby</vt:lpstr>
      <vt:lpstr>VV_001-00</vt:lpstr>
      <vt:lpstr>VV_101-00</vt:lpstr>
      <vt:lpstr>VV_201-00</vt:lpstr>
      <vt:lpstr>CastiStavby!Oblasť_tlače</vt:lpstr>
      <vt:lpstr>RekapitulaciaStavby!Oblasť_tlače</vt:lpstr>
      <vt:lpstr>SupisPrac!Oblasť_tlače</vt:lpstr>
      <vt:lpstr>'VV_001-00'!Oblasť_tlače</vt:lpstr>
      <vt:lpstr>'VV_101-00'!Oblasť_tlače</vt:lpstr>
      <vt:lpstr>'VV_201-00'!Oblasť_tlače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Gutek Peter</dc:creator>
  <cp:lastModifiedBy>Babiaková Monika</cp:lastModifiedBy>
  <cp:lastPrinted>2026-06-25T13:39:30Z</cp:lastPrinted>
  <dcterms:created xsi:type="dcterms:W3CDTF">2007-02-14T10:08:29Z</dcterms:created>
  <dcterms:modified xsi:type="dcterms:W3CDTF">2026-07-14T08:57:54Z</dcterms:modified>
</cp:coreProperties>
</file>