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dla\Desktop\hotova_prace\25004_Pohl_Bruntal_posezeni_lom_Brouk_v_jehlici\"/>
    </mc:Choice>
  </mc:AlternateContent>
  <xr:revisionPtr revIDLastSave="0" documentId="13_ncr:1_{10C840CD-072A-4510-9588-4B23BC48C323}" xr6:coauthVersionLast="47" xr6:coauthVersionMax="47" xr10:uidLastSave="{00000000-0000-0000-0000-000000000000}"/>
  <bookViews>
    <workbookView xWindow="-110" yWindow="-110" windowWidth="25820" windowHeight="13900" xr2:uid="{00000000-000D-0000-FFFF-FFFF00000000}"/>
  </bookViews>
  <sheets>
    <sheet name="Stavební rozpočet" sheetId="1" r:id="rId1"/>
    <sheet name="Stavební rozpočet - součet" sheetId="2" r:id="rId2"/>
    <sheet name="Výkaz výměr" sheetId="3" r:id="rId3"/>
    <sheet name="Krycí list rozpočtu" sheetId="4" r:id="rId4"/>
    <sheet name="VORN" sheetId="5" r:id="rId5"/>
    <sheet name="Krycí list rozpočtu (1)" sheetId="6" r:id="rId6"/>
    <sheet name="VORN objektu (1)" sheetId="7" r:id="rId7"/>
    <sheet name="Krycí list rozpočtu (2)" sheetId="8" r:id="rId8"/>
    <sheet name="VORN objektu (2)" sheetId="9" r:id="rId9"/>
    <sheet name="Krycí list rozpočtu (3)" sheetId="10" r:id="rId10"/>
    <sheet name="VORN objektu (3)" sheetId="11" r:id="rId11"/>
  </sheets>
  <definedNames>
    <definedName name="vorn_sum">VORN!$I$45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4" i="11" l="1"/>
  <c r="I44" i="11" s="1"/>
  <c r="I43" i="11"/>
  <c r="F43" i="11"/>
  <c r="F41" i="11"/>
  <c r="I41" i="11" s="1"/>
  <c r="I40" i="11"/>
  <c r="F40" i="11"/>
  <c r="F39" i="11"/>
  <c r="I39" i="11" s="1"/>
  <c r="F38" i="11"/>
  <c r="I38" i="11" s="1"/>
  <c r="F37" i="11"/>
  <c r="I37" i="11" s="1"/>
  <c r="F36" i="11"/>
  <c r="I36" i="11" s="1"/>
  <c r="I26" i="11"/>
  <c r="I25" i="11"/>
  <c r="I24" i="11"/>
  <c r="I17" i="10" s="1"/>
  <c r="I23" i="11"/>
  <c r="I22" i="11"/>
  <c r="I21" i="11"/>
  <c r="I27" i="11" s="1"/>
  <c r="I17" i="11"/>
  <c r="F16" i="10" s="1"/>
  <c r="I16" i="11"/>
  <c r="I15" i="11"/>
  <c r="I18" i="11" s="1"/>
  <c r="F29" i="11" s="1"/>
  <c r="I10" i="11"/>
  <c r="F10" i="11"/>
  <c r="C10" i="11"/>
  <c r="F8" i="11"/>
  <c r="C8" i="11"/>
  <c r="F6" i="11"/>
  <c r="C6" i="11"/>
  <c r="F4" i="11"/>
  <c r="C4" i="11"/>
  <c r="F2" i="11"/>
  <c r="C2" i="11"/>
  <c r="I19" i="10"/>
  <c r="I18" i="10"/>
  <c r="C18" i="10"/>
  <c r="I16" i="10"/>
  <c r="I15" i="10"/>
  <c r="F15" i="10"/>
  <c r="I10" i="10"/>
  <c r="F10" i="10"/>
  <c r="C10" i="10"/>
  <c r="F8" i="10"/>
  <c r="C8" i="10"/>
  <c r="F6" i="10"/>
  <c r="C6" i="10"/>
  <c r="F4" i="10"/>
  <c r="C4" i="10"/>
  <c r="F2" i="10"/>
  <c r="C2" i="10"/>
  <c r="F44" i="9"/>
  <c r="I44" i="9" s="1"/>
  <c r="I43" i="9"/>
  <c r="F43" i="9"/>
  <c r="F41" i="9"/>
  <c r="I41" i="9" s="1"/>
  <c r="F40" i="9"/>
  <c r="I40" i="9" s="1"/>
  <c r="F39" i="9"/>
  <c r="I39" i="9" s="1"/>
  <c r="I38" i="9"/>
  <c r="F38" i="9"/>
  <c r="I37" i="9"/>
  <c r="F37" i="9"/>
  <c r="I36" i="9"/>
  <c r="F36" i="9"/>
  <c r="I26" i="9"/>
  <c r="I25" i="9"/>
  <c r="I24" i="9"/>
  <c r="I17" i="8" s="1"/>
  <c r="I23" i="9"/>
  <c r="I16" i="8" s="1"/>
  <c r="I22" i="9"/>
  <c r="I21" i="9"/>
  <c r="I27" i="9" s="1"/>
  <c r="I17" i="9"/>
  <c r="F16" i="8" s="1"/>
  <c r="I16" i="9"/>
  <c r="F15" i="8" s="1"/>
  <c r="I15" i="9"/>
  <c r="I18" i="9" s="1"/>
  <c r="F29" i="9" s="1"/>
  <c r="I10" i="9"/>
  <c r="F10" i="9"/>
  <c r="C10" i="9"/>
  <c r="F8" i="9"/>
  <c r="C8" i="9"/>
  <c r="F6" i="9"/>
  <c r="C6" i="9"/>
  <c r="F4" i="9"/>
  <c r="C4" i="9"/>
  <c r="F2" i="9"/>
  <c r="C2" i="9"/>
  <c r="I19" i="8"/>
  <c r="C19" i="8"/>
  <c r="I18" i="8"/>
  <c r="C16" i="8"/>
  <c r="I15" i="8"/>
  <c r="I10" i="8"/>
  <c r="F10" i="8"/>
  <c r="C10" i="8"/>
  <c r="F8" i="8"/>
  <c r="C8" i="8"/>
  <c r="F6" i="8"/>
  <c r="C6" i="8"/>
  <c r="F4" i="8"/>
  <c r="C4" i="8"/>
  <c r="F2" i="8"/>
  <c r="C2" i="8"/>
  <c r="F44" i="7"/>
  <c r="I44" i="7" s="1"/>
  <c r="I43" i="7"/>
  <c r="F43" i="7"/>
  <c r="F41" i="7"/>
  <c r="I41" i="7" s="1"/>
  <c r="F40" i="7"/>
  <c r="I40" i="7" s="1"/>
  <c r="F39" i="7"/>
  <c r="I39" i="7" s="1"/>
  <c r="F38" i="7"/>
  <c r="I38" i="7" s="1"/>
  <c r="F37" i="7"/>
  <c r="I37" i="7" s="1"/>
  <c r="I36" i="7"/>
  <c r="F36" i="7"/>
  <c r="I27" i="7"/>
  <c r="I26" i="7"/>
  <c r="I25" i="7"/>
  <c r="I24" i="7"/>
  <c r="I17" i="6" s="1"/>
  <c r="I23" i="7"/>
  <c r="I16" i="6" s="1"/>
  <c r="I22" i="7"/>
  <c r="I15" i="6" s="1"/>
  <c r="I22" i="6" s="1"/>
  <c r="I21" i="7"/>
  <c r="I17" i="7"/>
  <c r="F16" i="6" s="1"/>
  <c r="I16" i="7"/>
  <c r="F15" i="6" s="1"/>
  <c r="I15" i="7"/>
  <c r="I18" i="7" s="1"/>
  <c r="F29" i="7" s="1"/>
  <c r="I10" i="7"/>
  <c r="F10" i="7"/>
  <c r="C10" i="7"/>
  <c r="F8" i="7"/>
  <c r="C8" i="7"/>
  <c r="F6" i="7"/>
  <c r="C6" i="7"/>
  <c r="F4" i="7"/>
  <c r="C4" i="7"/>
  <c r="F2" i="7"/>
  <c r="C2" i="7"/>
  <c r="I19" i="6"/>
  <c r="I18" i="6"/>
  <c r="I14" i="6"/>
  <c r="F14" i="6"/>
  <c r="I10" i="6"/>
  <c r="F10" i="6"/>
  <c r="C10" i="6"/>
  <c r="F8" i="6"/>
  <c r="C8" i="6"/>
  <c r="F6" i="6"/>
  <c r="C6" i="6"/>
  <c r="F4" i="6"/>
  <c r="C4" i="6"/>
  <c r="F2" i="6"/>
  <c r="C2" i="6"/>
  <c r="F44" i="5"/>
  <c r="I44" i="5" s="1"/>
  <c r="F43" i="5"/>
  <c r="I43" i="5" s="1"/>
  <c r="I41" i="5"/>
  <c r="F41" i="5"/>
  <c r="I40" i="5"/>
  <c r="F40" i="5"/>
  <c r="F39" i="5"/>
  <c r="I39" i="5" s="1"/>
  <c r="I38" i="5"/>
  <c r="F38" i="5"/>
  <c r="I37" i="5"/>
  <c r="F37" i="5"/>
  <c r="I36" i="5"/>
  <c r="F36" i="5"/>
  <c r="I26" i="5"/>
  <c r="I19" i="4" s="1"/>
  <c r="I25" i="5"/>
  <c r="I24" i="5"/>
  <c r="I17" i="4" s="1"/>
  <c r="I23" i="5"/>
  <c r="I22" i="5"/>
  <c r="I27" i="5" s="1"/>
  <c r="I21" i="5"/>
  <c r="I17" i="5"/>
  <c r="I16" i="5"/>
  <c r="F15" i="4" s="1"/>
  <c r="I15" i="5"/>
  <c r="I18" i="5" s="1"/>
  <c r="F29" i="5" s="1"/>
  <c r="I10" i="5"/>
  <c r="F10" i="5"/>
  <c r="C10" i="5"/>
  <c r="F8" i="5"/>
  <c r="C8" i="5"/>
  <c r="F6" i="5"/>
  <c r="C6" i="5"/>
  <c r="F4" i="5"/>
  <c r="C4" i="5"/>
  <c r="F2" i="5"/>
  <c r="C2" i="5"/>
  <c r="I18" i="4"/>
  <c r="I16" i="4"/>
  <c r="F16" i="4"/>
  <c r="I14" i="4"/>
  <c r="F14" i="4"/>
  <c r="I10" i="4"/>
  <c r="F10" i="4"/>
  <c r="C10" i="4"/>
  <c r="F8" i="4"/>
  <c r="C8" i="4"/>
  <c r="F6" i="4"/>
  <c r="C6" i="4"/>
  <c r="F4" i="4"/>
  <c r="C4" i="4"/>
  <c r="F2" i="4"/>
  <c r="C2" i="4"/>
  <c r="F8" i="3"/>
  <c r="C8" i="3"/>
  <c r="F6" i="3"/>
  <c r="C6" i="3"/>
  <c r="F4" i="3"/>
  <c r="C4" i="3"/>
  <c r="F2" i="3"/>
  <c r="C2" i="3"/>
  <c r="I27" i="2"/>
  <c r="I24" i="2"/>
  <c r="I21" i="2"/>
  <c r="I11" i="2"/>
  <c r="G8" i="2"/>
  <c r="C8" i="2"/>
  <c r="G6" i="2"/>
  <c r="C6" i="2"/>
  <c r="G4" i="2"/>
  <c r="C4" i="2"/>
  <c r="G2" i="2"/>
  <c r="C2" i="2"/>
  <c r="BJ105" i="1"/>
  <c r="BH105" i="1"/>
  <c r="BF105" i="1"/>
  <c r="BD105" i="1"/>
  <c r="AW105" i="1"/>
  <c r="AP105" i="1"/>
  <c r="BI105" i="1" s="1"/>
  <c r="AO105" i="1"/>
  <c r="H105" i="1" s="1"/>
  <c r="AL105" i="1"/>
  <c r="AK105" i="1"/>
  <c r="AT101" i="1" s="1"/>
  <c r="AJ105" i="1"/>
  <c r="AS101" i="1" s="1"/>
  <c r="AH105" i="1"/>
  <c r="AG105" i="1"/>
  <c r="AF105" i="1"/>
  <c r="AE105" i="1"/>
  <c r="AD105" i="1"/>
  <c r="AC105" i="1"/>
  <c r="C15" i="10" s="1"/>
  <c r="AB105" i="1"/>
  <c r="Z105" i="1"/>
  <c r="J105" i="1"/>
  <c r="I105" i="1"/>
  <c r="BJ102" i="1"/>
  <c r="BF102" i="1"/>
  <c r="BD102" i="1"/>
  <c r="AX102" i="1"/>
  <c r="AW102" i="1"/>
  <c r="BC102" i="1" s="1"/>
  <c r="AV102" i="1"/>
  <c r="AP102" i="1"/>
  <c r="BI102" i="1" s="1"/>
  <c r="AE102" i="1" s="1"/>
  <c r="AO102" i="1"/>
  <c r="BH102" i="1" s="1"/>
  <c r="AD102" i="1" s="1"/>
  <c r="AK102" i="1"/>
  <c r="AJ102" i="1"/>
  <c r="AH102" i="1"/>
  <c r="AG102" i="1"/>
  <c r="AF102" i="1"/>
  <c r="AC102" i="1"/>
  <c r="AB102" i="1"/>
  <c r="Z102" i="1"/>
  <c r="J102" i="1"/>
  <c r="AL102" i="1" s="1"/>
  <c r="AU101" i="1" s="1"/>
  <c r="J101" i="1"/>
  <c r="G29" i="2" s="1"/>
  <c r="I29" i="2" s="1"/>
  <c r="BJ99" i="1"/>
  <c r="BI99" i="1"/>
  <c r="BH99" i="1"/>
  <c r="BF99" i="1"/>
  <c r="BD99" i="1"/>
  <c r="AX99" i="1"/>
  <c r="AW99" i="1"/>
  <c r="BC99" i="1" s="1"/>
  <c r="AP99" i="1"/>
  <c r="AO99" i="1"/>
  <c r="H99" i="1" s="1"/>
  <c r="AK99" i="1"/>
  <c r="AJ99" i="1"/>
  <c r="AH99" i="1"/>
  <c r="AG99" i="1"/>
  <c r="AF99" i="1"/>
  <c r="AE99" i="1"/>
  <c r="AD99" i="1"/>
  <c r="AC99" i="1"/>
  <c r="AB99" i="1"/>
  <c r="Z99" i="1"/>
  <c r="J99" i="1"/>
  <c r="AL99" i="1" s="1"/>
  <c r="I99" i="1"/>
  <c r="BJ96" i="1"/>
  <c r="BI96" i="1"/>
  <c r="BF96" i="1"/>
  <c r="BD96" i="1"/>
  <c r="AX96" i="1"/>
  <c r="AP96" i="1"/>
  <c r="I96" i="1" s="1"/>
  <c r="AO96" i="1"/>
  <c r="BH96" i="1" s="1"/>
  <c r="AL96" i="1"/>
  <c r="AK96" i="1"/>
  <c r="AJ96" i="1"/>
  <c r="AH96" i="1"/>
  <c r="AG96" i="1"/>
  <c r="AF96" i="1"/>
  <c r="AE96" i="1"/>
  <c r="AD96" i="1"/>
  <c r="AC96" i="1"/>
  <c r="AB96" i="1"/>
  <c r="Z96" i="1"/>
  <c r="J96" i="1"/>
  <c r="BJ93" i="1"/>
  <c r="BF93" i="1"/>
  <c r="BD93" i="1"/>
  <c r="AX93" i="1"/>
  <c r="AW93" i="1"/>
  <c r="AP93" i="1"/>
  <c r="BI93" i="1" s="1"/>
  <c r="AE93" i="1" s="1"/>
  <c r="AO93" i="1"/>
  <c r="BH93" i="1" s="1"/>
  <c r="AD93" i="1" s="1"/>
  <c r="AL93" i="1"/>
  <c r="AK93" i="1"/>
  <c r="AJ93" i="1"/>
  <c r="AH93" i="1"/>
  <c r="AG93" i="1"/>
  <c r="AF93" i="1"/>
  <c r="AC93" i="1"/>
  <c r="AB93" i="1"/>
  <c r="Z93" i="1"/>
  <c r="J93" i="1"/>
  <c r="H93" i="1"/>
  <c r="BJ90" i="1"/>
  <c r="BI90" i="1"/>
  <c r="AE90" i="1" s="1"/>
  <c r="BH90" i="1"/>
  <c r="AD90" i="1" s="1"/>
  <c r="BF90" i="1"/>
  <c r="BD90" i="1"/>
  <c r="AX90" i="1"/>
  <c r="AW90" i="1"/>
  <c r="BC90" i="1" s="1"/>
  <c r="AV90" i="1"/>
  <c r="AP90" i="1"/>
  <c r="AO90" i="1"/>
  <c r="AK90" i="1"/>
  <c r="AJ90" i="1"/>
  <c r="AH90" i="1"/>
  <c r="AG90" i="1"/>
  <c r="AF90" i="1"/>
  <c r="AC90" i="1"/>
  <c r="AB90" i="1"/>
  <c r="Z90" i="1"/>
  <c r="J90" i="1"/>
  <c r="AL90" i="1" s="1"/>
  <c r="I90" i="1"/>
  <c r="H90" i="1"/>
  <c r="BJ87" i="1"/>
  <c r="BI87" i="1"/>
  <c r="BH87" i="1"/>
  <c r="AD87" i="1" s="1"/>
  <c r="BF87" i="1"/>
  <c r="BD87" i="1"/>
  <c r="AX87" i="1"/>
  <c r="AW87" i="1"/>
  <c r="BC87" i="1" s="1"/>
  <c r="AP87" i="1"/>
  <c r="AO87" i="1"/>
  <c r="H87" i="1" s="1"/>
  <c r="AK87" i="1"/>
  <c r="AJ87" i="1"/>
  <c r="AH87" i="1"/>
  <c r="AG87" i="1"/>
  <c r="AF87" i="1"/>
  <c r="AE87" i="1"/>
  <c r="AC87" i="1"/>
  <c r="AB87" i="1"/>
  <c r="Z87" i="1"/>
  <c r="J87" i="1"/>
  <c r="AL87" i="1" s="1"/>
  <c r="I87" i="1"/>
  <c r="BJ84" i="1"/>
  <c r="BI84" i="1"/>
  <c r="BF84" i="1"/>
  <c r="BD84" i="1"/>
  <c r="AX84" i="1"/>
  <c r="AP84" i="1"/>
  <c r="I84" i="1" s="1"/>
  <c r="AO84" i="1"/>
  <c r="BH84" i="1" s="1"/>
  <c r="AD84" i="1" s="1"/>
  <c r="AL84" i="1"/>
  <c r="AK84" i="1"/>
  <c r="AJ84" i="1"/>
  <c r="AH84" i="1"/>
  <c r="C20" i="10" s="1"/>
  <c r="AG84" i="1"/>
  <c r="AF84" i="1"/>
  <c r="AE84" i="1"/>
  <c r="AC84" i="1"/>
  <c r="AB84" i="1"/>
  <c r="Z84" i="1"/>
  <c r="J84" i="1"/>
  <c r="BJ81" i="1"/>
  <c r="BH81" i="1"/>
  <c r="AD81" i="1" s="1"/>
  <c r="BF81" i="1"/>
  <c r="BD81" i="1"/>
  <c r="AX81" i="1"/>
  <c r="AW81" i="1"/>
  <c r="AP81" i="1"/>
  <c r="BI81" i="1" s="1"/>
  <c r="AE81" i="1" s="1"/>
  <c r="AO81" i="1"/>
  <c r="AL81" i="1"/>
  <c r="AK81" i="1"/>
  <c r="AJ81" i="1"/>
  <c r="AS77" i="1" s="1"/>
  <c r="C25" i="10" s="1"/>
  <c r="AH81" i="1"/>
  <c r="AG81" i="1"/>
  <c r="AF81" i="1"/>
  <c r="AC81" i="1"/>
  <c r="AB81" i="1"/>
  <c r="Z81" i="1"/>
  <c r="J81" i="1"/>
  <c r="H81" i="1"/>
  <c r="BJ78" i="1"/>
  <c r="BI78" i="1"/>
  <c r="AE78" i="1" s="1"/>
  <c r="BH78" i="1"/>
  <c r="AD78" i="1" s="1"/>
  <c r="BF78" i="1"/>
  <c r="BD78" i="1"/>
  <c r="AX78" i="1"/>
  <c r="AW78" i="1"/>
  <c r="BC78" i="1" s="1"/>
  <c r="AV78" i="1"/>
  <c r="AP78" i="1"/>
  <c r="AO78" i="1"/>
  <c r="AK78" i="1"/>
  <c r="AJ78" i="1"/>
  <c r="AH78" i="1"/>
  <c r="AG78" i="1"/>
  <c r="C19" i="10" s="1"/>
  <c r="AF78" i="1"/>
  <c r="AC78" i="1"/>
  <c r="AB78" i="1"/>
  <c r="C14" i="10" s="1"/>
  <c r="Z78" i="1"/>
  <c r="C21" i="10" s="1"/>
  <c r="J78" i="1"/>
  <c r="AL78" i="1" s="1"/>
  <c r="I78" i="1"/>
  <c r="H78" i="1"/>
  <c r="J77" i="1"/>
  <c r="BJ73" i="1"/>
  <c r="BF73" i="1"/>
  <c r="BD73" i="1"/>
  <c r="AX73" i="1"/>
  <c r="AW73" i="1"/>
  <c r="BC73" i="1" s="1"/>
  <c r="AV73" i="1"/>
  <c r="AP73" i="1"/>
  <c r="BI73" i="1" s="1"/>
  <c r="AC73" i="1" s="1"/>
  <c r="AO73" i="1"/>
  <c r="BH73" i="1" s="1"/>
  <c r="AB73" i="1" s="1"/>
  <c r="AK73" i="1"/>
  <c r="AJ73" i="1"/>
  <c r="AH73" i="1"/>
  <c r="AG73" i="1"/>
  <c r="AF73" i="1"/>
  <c r="AE73" i="1"/>
  <c r="AD73" i="1"/>
  <c r="Z73" i="1"/>
  <c r="J73" i="1"/>
  <c r="AL73" i="1" s="1"/>
  <c r="AU72" i="1" s="1"/>
  <c r="AT72" i="1"/>
  <c r="AS72" i="1"/>
  <c r="J72" i="1"/>
  <c r="G26" i="2" s="1"/>
  <c r="I26" i="2" s="1"/>
  <c r="BJ69" i="1"/>
  <c r="BI69" i="1"/>
  <c r="BH69" i="1"/>
  <c r="AB69" i="1" s="1"/>
  <c r="C14" i="8" s="1"/>
  <c r="BF69" i="1"/>
  <c r="BD69" i="1"/>
  <c r="AX69" i="1"/>
  <c r="AW69" i="1"/>
  <c r="BC69" i="1" s="1"/>
  <c r="AP69" i="1"/>
  <c r="AO69" i="1"/>
  <c r="H69" i="1" s="1"/>
  <c r="H68" i="1" s="1"/>
  <c r="AK69" i="1"/>
  <c r="AJ69" i="1"/>
  <c r="AH69" i="1"/>
  <c r="C20" i="8" s="1"/>
  <c r="AG69" i="1"/>
  <c r="AF69" i="1"/>
  <c r="C18" i="8" s="1"/>
  <c r="AE69" i="1"/>
  <c r="C17" i="8" s="1"/>
  <c r="AD69" i="1"/>
  <c r="AC69" i="1"/>
  <c r="Z69" i="1"/>
  <c r="C21" i="8" s="1"/>
  <c r="J69" i="1"/>
  <c r="J68" i="1" s="1"/>
  <c r="I69" i="1"/>
  <c r="I68" i="1" s="1"/>
  <c r="AT68" i="1"/>
  <c r="C26" i="8" s="1"/>
  <c r="F26" i="8" s="1"/>
  <c r="AS68" i="1"/>
  <c r="C25" i="8" s="1"/>
  <c r="BT65" i="1"/>
  <c r="F42" i="11" s="1"/>
  <c r="I42" i="11" s="1"/>
  <c r="BJ65" i="1"/>
  <c r="BI65" i="1"/>
  <c r="BH65" i="1"/>
  <c r="BF65" i="1"/>
  <c r="BD65" i="1"/>
  <c r="AX65" i="1"/>
  <c r="AW65" i="1"/>
  <c r="BC65" i="1" s="1"/>
  <c r="AV65" i="1"/>
  <c r="AP65" i="1"/>
  <c r="AO65" i="1"/>
  <c r="AK65" i="1"/>
  <c r="AT64" i="1" s="1"/>
  <c r="AJ65" i="1"/>
  <c r="AH65" i="1"/>
  <c r="AG65" i="1"/>
  <c r="AF65" i="1"/>
  <c r="AE65" i="1"/>
  <c r="AD65" i="1"/>
  <c r="AC65" i="1"/>
  <c r="AB65" i="1"/>
  <c r="Z65" i="1"/>
  <c r="J65" i="1"/>
  <c r="AL65" i="1" s="1"/>
  <c r="AU64" i="1" s="1"/>
  <c r="I65" i="1"/>
  <c r="I64" i="1" s="1"/>
  <c r="F23" i="2" s="1"/>
  <c r="H65" i="1"/>
  <c r="H64" i="1" s="1"/>
  <c r="E23" i="2" s="1"/>
  <c r="AS64" i="1"/>
  <c r="BM62" i="1"/>
  <c r="F35" i="11" s="1"/>
  <c r="I35" i="11" s="1"/>
  <c r="BJ62" i="1"/>
  <c r="BF62" i="1"/>
  <c r="BD62" i="1"/>
  <c r="AP62" i="1"/>
  <c r="BI62" i="1" s="1"/>
  <c r="AO62" i="1"/>
  <c r="AL62" i="1"/>
  <c r="AU61" i="1" s="1"/>
  <c r="AK62" i="1"/>
  <c r="AT61" i="1" s="1"/>
  <c r="AJ62" i="1"/>
  <c r="AH62" i="1"/>
  <c r="AG62" i="1"/>
  <c r="AF62" i="1"/>
  <c r="AE62" i="1"/>
  <c r="AD62" i="1"/>
  <c r="AC62" i="1"/>
  <c r="AB62" i="1"/>
  <c r="Z62" i="1"/>
  <c r="J62" i="1"/>
  <c r="AS61" i="1"/>
  <c r="J61" i="1"/>
  <c r="BJ58" i="1"/>
  <c r="BI58" i="1"/>
  <c r="BH58" i="1"/>
  <c r="BF58" i="1"/>
  <c r="BD58" i="1"/>
  <c r="AX58" i="1"/>
  <c r="AP58" i="1"/>
  <c r="I58" i="1" s="1"/>
  <c r="AO58" i="1"/>
  <c r="H58" i="1" s="1"/>
  <c r="AK58" i="1"/>
  <c r="AJ58" i="1"/>
  <c r="AH58" i="1"/>
  <c r="AG58" i="1"/>
  <c r="AF58" i="1"/>
  <c r="AE58" i="1"/>
  <c r="AD58" i="1"/>
  <c r="AC58" i="1"/>
  <c r="AB58" i="1"/>
  <c r="Z58" i="1"/>
  <c r="J58" i="1"/>
  <c r="AL58" i="1" s="1"/>
  <c r="BJ55" i="1"/>
  <c r="BF55" i="1"/>
  <c r="BD55" i="1"/>
  <c r="AP55" i="1"/>
  <c r="BI55" i="1" s="1"/>
  <c r="AO55" i="1"/>
  <c r="BH55" i="1" s="1"/>
  <c r="AD55" i="1" s="1"/>
  <c r="AL55" i="1"/>
  <c r="AK55" i="1"/>
  <c r="AJ55" i="1"/>
  <c r="AH55" i="1"/>
  <c r="AG55" i="1"/>
  <c r="AF55" i="1"/>
  <c r="AE55" i="1"/>
  <c r="AC55" i="1"/>
  <c r="AB55" i="1"/>
  <c r="Z55" i="1"/>
  <c r="J55" i="1"/>
  <c r="BJ52" i="1"/>
  <c r="BI52" i="1"/>
  <c r="AE52" i="1" s="1"/>
  <c r="BH52" i="1"/>
  <c r="AD52" i="1" s="1"/>
  <c r="BF52" i="1"/>
  <c r="BD52" i="1"/>
  <c r="AX52" i="1"/>
  <c r="AP52" i="1"/>
  <c r="AO52" i="1"/>
  <c r="AW52" i="1" s="1"/>
  <c r="AL52" i="1"/>
  <c r="AK52" i="1"/>
  <c r="AT48" i="1" s="1"/>
  <c r="AJ52" i="1"/>
  <c r="AH52" i="1"/>
  <c r="AG52" i="1"/>
  <c r="AF52" i="1"/>
  <c r="AC52" i="1"/>
  <c r="AB52" i="1"/>
  <c r="Z52" i="1"/>
  <c r="J52" i="1"/>
  <c r="I52" i="1"/>
  <c r="H52" i="1"/>
  <c r="BJ49" i="1"/>
  <c r="BI49" i="1"/>
  <c r="AE49" i="1" s="1"/>
  <c r="BH49" i="1"/>
  <c r="BF49" i="1"/>
  <c r="BD49" i="1"/>
  <c r="AX49" i="1"/>
  <c r="AW49" i="1"/>
  <c r="AP49" i="1"/>
  <c r="AO49" i="1"/>
  <c r="H49" i="1" s="1"/>
  <c r="AL49" i="1"/>
  <c r="AK49" i="1"/>
  <c r="AJ49" i="1"/>
  <c r="AH49" i="1"/>
  <c r="AG49" i="1"/>
  <c r="AF49" i="1"/>
  <c r="AD49" i="1"/>
  <c r="AC49" i="1"/>
  <c r="AB49" i="1"/>
  <c r="Z49" i="1"/>
  <c r="J49" i="1"/>
  <c r="J48" i="1" s="1"/>
  <c r="G20" i="2" s="1"/>
  <c r="I20" i="2" s="1"/>
  <c r="I49" i="1"/>
  <c r="AS48" i="1"/>
  <c r="BJ46" i="1"/>
  <c r="BF46" i="1"/>
  <c r="BD46" i="1"/>
  <c r="AP46" i="1"/>
  <c r="BI46" i="1" s="1"/>
  <c r="AC46" i="1" s="1"/>
  <c r="AO46" i="1"/>
  <c r="AL46" i="1"/>
  <c r="AU45" i="1" s="1"/>
  <c r="AK46" i="1"/>
  <c r="AT45" i="1" s="1"/>
  <c r="AJ46" i="1"/>
  <c r="AH46" i="1"/>
  <c r="AG46" i="1"/>
  <c r="AF46" i="1"/>
  <c r="AE46" i="1"/>
  <c r="AD46" i="1"/>
  <c r="Z46" i="1"/>
  <c r="J46" i="1"/>
  <c r="AS45" i="1"/>
  <c r="J45" i="1"/>
  <c r="G19" i="2" s="1"/>
  <c r="I19" i="2" s="1"/>
  <c r="BJ42" i="1"/>
  <c r="BI42" i="1"/>
  <c r="BH42" i="1"/>
  <c r="BF42" i="1"/>
  <c r="BD42" i="1"/>
  <c r="AW42" i="1"/>
  <c r="AP42" i="1"/>
  <c r="I42" i="1" s="1"/>
  <c r="I41" i="1" s="1"/>
  <c r="F18" i="2" s="1"/>
  <c r="AO42" i="1"/>
  <c r="AK42" i="1"/>
  <c r="AT41" i="1" s="1"/>
  <c r="AJ42" i="1"/>
  <c r="AS41" i="1" s="1"/>
  <c r="AH42" i="1"/>
  <c r="AG42" i="1"/>
  <c r="AF42" i="1"/>
  <c r="AE42" i="1"/>
  <c r="AD42" i="1"/>
  <c r="AC42" i="1"/>
  <c r="AB42" i="1"/>
  <c r="Z42" i="1"/>
  <c r="J42" i="1"/>
  <c r="AL42" i="1" s="1"/>
  <c r="H42" i="1"/>
  <c r="H41" i="1" s="1"/>
  <c r="E18" i="2" s="1"/>
  <c r="AU41" i="1"/>
  <c r="J41" i="1"/>
  <c r="G18" i="2" s="1"/>
  <c r="I18" i="2" s="1"/>
  <c r="BJ39" i="1"/>
  <c r="BF39" i="1"/>
  <c r="BD39" i="1"/>
  <c r="AX39" i="1"/>
  <c r="AW39" i="1"/>
  <c r="BC39" i="1" s="1"/>
  <c r="AV39" i="1"/>
  <c r="AP39" i="1"/>
  <c r="BI39" i="1" s="1"/>
  <c r="AC39" i="1" s="1"/>
  <c r="AO39" i="1"/>
  <c r="BH39" i="1" s="1"/>
  <c r="AB39" i="1" s="1"/>
  <c r="AK39" i="1"/>
  <c r="AJ39" i="1"/>
  <c r="AH39" i="1"/>
  <c r="AG39" i="1"/>
  <c r="AF39" i="1"/>
  <c r="AE39" i="1"/>
  <c r="AD39" i="1"/>
  <c r="Z39" i="1"/>
  <c r="J39" i="1"/>
  <c r="AL39" i="1" s="1"/>
  <c r="AU38" i="1" s="1"/>
  <c r="AT38" i="1"/>
  <c r="AS38" i="1"/>
  <c r="J38" i="1"/>
  <c r="G17" i="2" s="1"/>
  <c r="I17" i="2" s="1"/>
  <c r="BJ36" i="1"/>
  <c r="BI36" i="1"/>
  <c r="BH36" i="1"/>
  <c r="AB36" i="1" s="1"/>
  <c r="BF36" i="1"/>
  <c r="BD36" i="1"/>
  <c r="AX36" i="1"/>
  <c r="AW36" i="1"/>
  <c r="BC36" i="1" s="1"/>
  <c r="AP36" i="1"/>
  <c r="AO36" i="1"/>
  <c r="H36" i="1" s="1"/>
  <c r="AK36" i="1"/>
  <c r="AJ36" i="1"/>
  <c r="AH36" i="1"/>
  <c r="AG36" i="1"/>
  <c r="AF36" i="1"/>
  <c r="AE36" i="1"/>
  <c r="AD36" i="1"/>
  <c r="AC36" i="1"/>
  <c r="Z36" i="1"/>
  <c r="J36" i="1"/>
  <c r="AL36" i="1" s="1"/>
  <c r="I36" i="1"/>
  <c r="BJ34" i="1"/>
  <c r="BF34" i="1"/>
  <c r="BD34" i="1"/>
  <c r="AX34" i="1"/>
  <c r="AP34" i="1"/>
  <c r="BI34" i="1" s="1"/>
  <c r="AC34" i="1" s="1"/>
  <c r="AO34" i="1"/>
  <c r="BH34" i="1" s="1"/>
  <c r="AB34" i="1" s="1"/>
  <c r="AL34" i="1"/>
  <c r="AK34" i="1"/>
  <c r="AT33" i="1" s="1"/>
  <c r="AJ34" i="1"/>
  <c r="AS33" i="1" s="1"/>
  <c r="AH34" i="1"/>
  <c r="AG34" i="1"/>
  <c r="AF34" i="1"/>
  <c r="AE34" i="1"/>
  <c r="AD34" i="1"/>
  <c r="Z34" i="1"/>
  <c r="J34" i="1"/>
  <c r="J33" i="1" s="1"/>
  <c r="G16" i="2" s="1"/>
  <c r="I16" i="2" s="1"/>
  <c r="BJ31" i="1"/>
  <c r="BI31" i="1"/>
  <c r="AC31" i="1" s="1"/>
  <c r="BH31" i="1"/>
  <c r="BF31" i="1"/>
  <c r="BD31" i="1"/>
  <c r="AX31" i="1"/>
  <c r="AW31" i="1"/>
  <c r="AP31" i="1"/>
  <c r="AO31" i="1"/>
  <c r="H31" i="1" s="1"/>
  <c r="H30" i="1" s="1"/>
  <c r="E15" i="2" s="1"/>
  <c r="AL31" i="1"/>
  <c r="AU30" i="1" s="1"/>
  <c r="AK31" i="1"/>
  <c r="AJ31" i="1"/>
  <c r="AH31" i="1"/>
  <c r="AG31" i="1"/>
  <c r="AF31" i="1"/>
  <c r="AE31" i="1"/>
  <c r="AD31" i="1"/>
  <c r="AB31" i="1"/>
  <c r="Z31" i="1"/>
  <c r="J31" i="1"/>
  <c r="J30" i="1" s="1"/>
  <c r="G15" i="2" s="1"/>
  <c r="I15" i="2" s="1"/>
  <c r="I31" i="1"/>
  <c r="I30" i="1" s="1"/>
  <c r="F15" i="2" s="1"/>
  <c r="AT30" i="1"/>
  <c r="AS30" i="1"/>
  <c r="BJ28" i="1"/>
  <c r="BF28" i="1"/>
  <c r="BD28" i="1"/>
  <c r="AP28" i="1"/>
  <c r="BI28" i="1" s="1"/>
  <c r="AC28" i="1" s="1"/>
  <c r="AO28" i="1"/>
  <c r="AL28" i="1"/>
  <c r="AK28" i="1"/>
  <c r="AJ28" i="1"/>
  <c r="AH28" i="1"/>
  <c r="AG28" i="1"/>
  <c r="AF28" i="1"/>
  <c r="AE28" i="1"/>
  <c r="AD28" i="1"/>
  <c r="Z28" i="1"/>
  <c r="J28" i="1"/>
  <c r="BJ26" i="1"/>
  <c r="BI26" i="1"/>
  <c r="AC26" i="1" s="1"/>
  <c r="BF26" i="1"/>
  <c r="BD26" i="1"/>
  <c r="BC26" i="1"/>
  <c r="AW26" i="1"/>
  <c r="AV26" i="1" s="1"/>
  <c r="AP26" i="1"/>
  <c r="AX26" i="1" s="1"/>
  <c r="AO26" i="1"/>
  <c r="BH26" i="1" s="1"/>
  <c r="AB26" i="1" s="1"/>
  <c r="AL26" i="1"/>
  <c r="AK26" i="1"/>
  <c r="AJ26" i="1"/>
  <c r="AH26" i="1"/>
  <c r="AG26" i="1"/>
  <c r="AF26" i="1"/>
  <c r="AE26" i="1"/>
  <c r="AD26" i="1"/>
  <c r="Z26" i="1"/>
  <c r="J26" i="1"/>
  <c r="I26" i="1"/>
  <c r="H26" i="1"/>
  <c r="BJ24" i="1"/>
  <c r="BI24" i="1"/>
  <c r="BH24" i="1"/>
  <c r="BF24" i="1"/>
  <c r="BD24" i="1"/>
  <c r="AX24" i="1"/>
  <c r="AP24" i="1"/>
  <c r="I24" i="1" s="1"/>
  <c r="AO24" i="1"/>
  <c r="H24" i="1" s="1"/>
  <c r="AK24" i="1"/>
  <c r="AJ24" i="1"/>
  <c r="AH24" i="1"/>
  <c r="AG24" i="1"/>
  <c r="AF24" i="1"/>
  <c r="AE24" i="1"/>
  <c r="AD24" i="1"/>
  <c r="AC24" i="1"/>
  <c r="AB24" i="1"/>
  <c r="Z24" i="1"/>
  <c r="J24" i="1"/>
  <c r="AL24" i="1" s="1"/>
  <c r="AU21" i="1" s="1"/>
  <c r="BJ22" i="1"/>
  <c r="BI22" i="1"/>
  <c r="AC22" i="1" s="1"/>
  <c r="BF22" i="1"/>
  <c r="BD22" i="1"/>
  <c r="AP22" i="1"/>
  <c r="I22" i="1" s="1"/>
  <c r="AO22" i="1"/>
  <c r="BH22" i="1" s="1"/>
  <c r="AB22" i="1" s="1"/>
  <c r="AL22" i="1"/>
  <c r="AK22" i="1"/>
  <c r="AT21" i="1" s="1"/>
  <c r="AJ22" i="1"/>
  <c r="AS21" i="1" s="1"/>
  <c r="AH22" i="1"/>
  <c r="AG22" i="1"/>
  <c r="C19" i="6" s="1"/>
  <c r="AF22" i="1"/>
  <c r="AE22" i="1"/>
  <c r="AD22" i="1"/>
  <c r="Z22" i="1"/>
  <c r="J22" i="1"/>
  <c r="H22" i="1"/>
  <c r="BJ19" i="1"/>
  <c r="BF19" i="1"/>
  <c r="BD19" i="1"/>
  <c r="AX19" i="1"/>
  <c r="AP19" i="1"/>
  <c r="BI19" i="1" s="1"/>
  <c r="AC19" i="1" s="1"/>
  <c r="AO19" i="1"/>
  <c r="AK19" i="1"/>
  <c r="AJ19" i="1"/>
  <c r="AS18" i="1" s="1"/>
  <c r="AH19" i="1"/>
  <c r="AG19" i="1"/>
  <c r="AF19" i="1"/>
  <c r="AE19" i="1"/>
  <c r="AD19" i="1"/>
  <c r="Z19" i="1"/>
  <c r="J19" i="1"/>
  <c r="J18" i="1" s="1"/>
  <c r="G13" i="2" s="1"/>
  <c r="I13" i="2" s="1"/>
  <c r="I19" i="1"/>
  <c r="I18" i="1" s="1"/>
  <c r="F13" i="2" s="1"/>
  <c r="AT18" i="1"/>
  <c r="BJ16" i="1"/>
  <c r="BF16" i="1"/>
  <c r="BD16" i="1"/>
  <c r="AP16" i="1"/>
  <c r="BI16" i="1" s="1"/>
  <c r="AC16" i="1" s="1"/>
  <c r="AO16" i="1"/>
  <c r="BH16" i="1" s="1"/>
  <c r="AB16" i="1" s="1"/>
  <c r="AL16" i="1"/>
  <c r="AK16" i="1"/>
  <c r="AT13" i="1" s="1"/>
  <c r="C26" i="6" s="1"/>
  <c r="F26" i="6" s="1"/>
  <c r="AJ16" i="1"/>
  <c r="AS13" i="1" s="1"/>
  <c r="AH16" i="1"/>
  <c r="AG16" i="1"/>
  <c r="AF16" i="1"/>
  <c r="AE16" i="1"/>
  <c r="AD16" i="1"/>
  <c r="Z16" i="1"/>
  <c r="J16" i="1"/>
  <c r="I16" i="1"/>
  <c r="BJ14" i="1"/>
  <c r="BF14" i="1"/>
  <c r="BD14" i="1"/>
  <c r="AX14" i="1"/>
  <c r="AW14" i="1"/>
  <c r="BC14" i="1" s="1"/>
  <c r="AV14" i="1"/>
  <c r="AP14" i="1"/>
  <c r="BI14" i="1" s="1"/>
  <c r="AC14" i="1" s="1"/>
  <c r="AO14" i="1"/>
  <c r="H14" i="1" s="1"/>
  <c r="AK14" i="1"/>
  <c r="C28" i="4" s="1"/>
  <c r="F28" i="4" s="1"/>
  <c r="AJ14" i="1"/>
  <c r="AH14" i="1"/>
  <c r="C20" i="4" s="1"/>
  <c r="AG14" i="1"/>
  <c r="C19" i="4" s="1"/>
  <c r="AF14" i="1"/>
  <c r="C18" i="4" s="1"/>
  <c r="AE14" i="1"/>
  <c r="C17" i="4" s="1"/>
  <c r="AD14" i="1"/>
  <c r="Z14" i="1"/>
  <c r="J14" i="1"/>
  <c r="AL14" i="1" s="1"/>
  <c r="J13" i="1"/>
  <c r="AU1" i="1"/>
  <c r="AT1" i="1"/>
  <c r="AS1" i="1"/>
  <c r="C27" i="4" l="1"/>
  <c r="AW19" i="1"/>
  <c r="BH19" i="1"/>
  <c r="AB19" i="1" s="1"/>
  <c r="G25" i="2"/>
  <c r="I25" i="2" s="1"/>
  <c r="J67" i="1"/>
  <c r="G24" i="2" s="1"/>
  <c r="I21" i="1"/>
  <c r="F14" i="2" s="1"/>
  <c r="C22" i="10"/>
  <c r="C20" i="6"/>
  <c r="H13" i="1"/>
  <c r="H19" i="1"/>
  <c r="H18" i="1" s="1"/>
  <c r="E13" i="2" s="1"/>
  <c r="AU33" i="1"/>
  <c r="AU48" i="1"/>
  <c r="BH62" i="1"/>
  <c r="H62" i="1"/>
  <c r="H61" i="1" s="1"/>
  <c r="AW62" i="1"/>
  <c r="H48" i="1"/>
  <c r="E20" i="2" s="1"/>
  <c r="C16" i="10"/>
  <c r="C15" i="8"/>
  <c r="C22" i="8" s="1"/>
  <c r="BH28" i="1"/>
  <c r="AB28" i="1" s="1"/>
  <c r="H28" i="1"/>
  <c r="AW28" i="1"/>
  <c r="BC49" i="1"/>
  <c r="AV49" i="1"/>
  <c r="AV81" i="1"/>
  <c r="BC81" i="1"/>
  <c r="C15" i="6"/>
  <c r="C15" i="4"/>
  <c r="I67" i="1"/>
  <c r="F24" i="2" s="1"/>
  <c r="G28" i="2"/>
  <c r="I28" i="2" s="1"/>
  <c r="J76" i="1"/>
  <c r="G27" i="2" s="1"/>
  <c r="C21" i="6"/>
  <c r="J12" i="1"/>
  <c r="G11" i="2" s="1"/>
  <c r="J107" i="1"/>
  <c r="G12" i="2"/>
  <c r="I12" i="2" s="1"/>
  <c r="G30" i="2" s="1"/>
  <c r="BH46" i="1"/>
  <c r="AB46" i="1" s="1"/>
  <c r="H46" i="1"/>
  <c r="H45" i="1" s="1"/>
  <c r="E19" i="2" s="1"/>
  <c r="AW46" i="1"/>
  <c r="AU13" i="1"/>
  <c r="BC31" i="1"/>
  <c r="AV31" i="1"/>
  <c r="F25" i="2"/>
  <c r="C21" i="4"/>
  <c r="H21" i="1"/>
  <c r="E14" i="2" s="1"/>
  <c r="I45" i="11"/>
  <c r="I23" i="10" s="1"/>
  <c r="E25" i="2"/>
  <c r="AT77" i="1"/>
  <c r="C26" i="10" s="1"/>
  <c r="F26" i="10" s="1"/>
  <c r="F22" i="4"/>
  <c r="AV93" i="1"/>
  <c r="BC93" i="1"/>
  <c r="C25" i="6"/>
  <c r="C17" i="6"/>
  <c r="C17" i="10"/>
  <c r="F22" i="6"/>
  <c r="C18" i="6"/>
  <c r="AU77" i="1"/>
  <c r="C27" i="10" s="1"/>
  <c r="F27" i="10" s="1"/>
  <c r="AV52" i="1"/>
  <c r="BC52" i="1"/>
  <c r="C16" i="6"/>
  <c r="J64" i="1"/>
  <c r="G23" i="2" s="1"/>
  <c r="I23" i="2" s="1"/>
  <c r="AW55" i="1"/>
  <c r="AX62" i="1"/>
  <c r="I93" i="1"/>
  <c r="H102" i="1"/>
  <c r="H101" i="1" s="1"/>
  <c r="E29" i="2" s="1"/>
  <c r="I15" i="4"/>
  <c r="I22" i="4" s="1"/>
  <c r="H39" i="1"/>
  <c r="H38" i="1" s="1"/>
  <c r="E17" i="2" s="1"/>
  <c r="AX46" i="1"/>
  <c r="H73" i="1"/>
  <c r="H72" i="1" s="1"/>
  <c r="E26" i="2" s="1"/>
  <c r="I81" i="1"/>
  <c r="I77" i="1" s="1"/>
  <c r="I14" i="1"/>
  <c r="I13" i="1" s="1"/>
  <c r="AW34" i="1"/>
  <c r="I39" i="1"/>
  <c r="I38" i="1" s="1"/>
  <c r="F17" i="2" s="1"/>
  <c r="AX55" i="1"/>
  <c r="I73" i="1"/>
  <c r="I72" i="1" s="1"/>
  <c r="F26" i="2" s="1"/>
  <c r="AW84" i="1"/>
  <c r="AW96" i="1"/>
  <c r="I102" i="1"/>
  <c r="I101" i="1" s="1"/>
  <c r="F29" i="2" s="1"/>
  <c r="C16" i="4"/>
  <c r="BH14" i="1"/>
  <c r="AB14" i="1" s="1"/>
  <c r="AL69" i="1"/>
  <c r="AU68" i="1" s="1"/>
  <c r="C27" i="8" s="1"/>
  <c r="F27" i="8" s="1"/>
  <c r="AX105" i="1"/>
  <c r="AV105" i="1" s="1"/>
  <c r="F42" i="5"/>
  <c r="I42" i="5" s="1"/>
  <c r="AW16" i="1"/>
  <c r="AX16" i="1"/>
  <c r="J21" i="1"/>
  <c r="G14" i="2" s="1"/>
  <c r="I14" i="2" s="1"/>
  <c r="I55" i="1"/>
  <c r="I48" i="1" s="1"/>
  <c r="F20" i="2" s="1"/>
  <c r="H96" i="1"/>
  <c r="H77" i="1" s="1"/>
  <c r="AX28" i="1"/>
  <c r="I28" i="1"/>
  <c r="I46" i="1"/>
  <c r="I45" i="1" s="1"/>
  <c r="F19" i="2" s="1"/>
  <c r="H55" i="1"/>
  <c r="I62" i="1"/>
  <c r="I61" i="1" s="1"/>
  <c r="AW22" i="1"/>
  <c r="H34" i="1"/>
  <c r="H33" i="1" s="1"/>
  <c r="E16" i="2" s="1"/>
  <c r="H84" i="1"/>
  <c r="H16" i="1"/>
  <c r="AX22" i="1"/>
  <c r="I34" i="1"/>
  <c r="I33" i="1" s="1"/>
  <c r="F16" i="2" s="1"/>
  <c r="AV36" i="1"/>
  <c r="AW58" i="1"/>
  <c r="AV69" i="1"/>
  <c r="AV87" i="1"/>
  <c r="AV99" i="1"/>
  <c r="G22" i="2"/>
  <c r="I22" i="2" s="1"/>
  <c r="F14" i="8"/>
  <c r="F22" i="8" s="1"/>
  <c r="F42" i="7"/>
  <c r="I42" i="7" s="1"/>
  <c r="I14" i="8"/>
  <c r="I22" i="8" s="1"/>
  <c r="I23" i="4" s="1"/>
  <c r="F14" i="10"/>
  <c r="F22" i="10" s="1"/>
  <c r="AL19" i="1"/>
  <c r="AU18" i="1" s="1"/>
  <c r="AW24" i="1"/>
  <c r="AX42" i="1"/>
  <c r="F35" i="5"/>
  <c r="I35" i="5" s="1"/>
  <c r="F42" i="9"/>
  <c r="I42" i="9" s="1"/>
  <c r="I14" i="10"/>
  <c r="I22" i="10" s="1"/>
  <c r="F35" i="7"/>
  <c r="I35" i="7" s="1"/>
  <c r="F35" i="9"/>
  <c r="I35" i="9" s="1"/>
  <c r="I45" i="9" s="1"/>
  <c r="I23" i="8" s="1"/>
  <c r="E28" i="2" l="1"/>
  <c r="H76" i="1"/>
  <c r="E27" i="2" s="1"/>
  <c r="I76" i="1"/>
  <c r="F27" i="2" s="1"/>
  <c r="F28" i="2"/>
  <c r="BC16" i="1"/>
  <c r="AV16" i="1"/>
  <c r="BC58" i="1"/>
  <c r="AV58" i="1"/>
  <c r="I26" i="8"/>
  <c r="I27" i="8" s="1"/>
  <c r="H60" i="1"/>
  <c r="E21" i="2" s="1"/>
  <c r="E22" i="2"/>
  <c r="H67" i="1"/>
  <c r="E24" i="2" s="1"/>
  <c r="BC84" i="1"/>
  <c r="AV84" i="1"/>
  <c r="I26" i="6"/>
  <c r="I27" i="6" s="1"/>
  <c r="AV62" i="1"/>
  <c r="BC62" i="1"/>
  <c r="C14" i="4"/>
  <c r="C22" i="4" s="1"/>
  <c r="C14" i="6"/>
  <c r="C22" i="6" s="1"/>
  <c r="I45" i="7"/>
  <c r="I23" i="6" s="1"/>
  <c r="I25" i="4" s="1"/>
  <c r="AV46" i="1"/>
  <c r="BC46" i="1"/>
  <c r="BC55" i="1"/>
  <c r="AV55" i="1"/>
  <c r="I26" i="10"/>
  <c r="I27" i="10" s="1"/>
  <c r="BC22" i="1"/>
  <c r="AV22" i="1"/>
  <c r="C27" i="6"/>
  <c r="F27" i="6" s="1"/>
  <c r="I45" i="5"/>
  <c r="I24" i="4" s="1"/>
  <c r="I60" i="1"/>
  <c r="F21" i="2" s="1"/>
  <c r="F22" i="2"/>
  <c r="C29" i="4"/>
  <c r="F29" i="4" s="1"/>
  <c r="BC24" i="1"/>
  <c r="AV24" i="1"/>
  <c r="BC34" i="1"/>
  <c r="AV34" i="1"/>
  <c r="F23" i="4"/>
  <c r="BC19" i="1"/>
  <c r="AV19" i="1"/>
  <c r="H12" i="1"/>
  <c r="E11" i="2" s="1"/>
  <c r="E12" i="2"/>
  <c r="BC105" i="1"/>
  <c r="J60" i="1"/>
  <c r="G21" i="2" s="1"/>
  <c r="BC96" i="1"/>
  <c r="AV96" i="1"/>
  <c r="BC28" i="1"/>
  <c r="AV28" i="1"/>
  <c r="AV42" i="1"/>
  <c r="BC42" i="1"/>
  <c r="I12" i="1"/>
  <c r="F11" i="2" s="1"/>
  <c r="F12" i="2"/>
  <c r="I28" i="4" l="1"/>
  <c r="I29" i="4" s="1"/>
</calcChain>
</file>

<file path=xl/sharedStrings.xml><?xml version="1.0" encoding="utf-8"?>
<sst xmlns="http://schemas.openxmlformats.org/spreadsheetml/2006/main" count="1567" uniqueCount="308">
  <si>
    <t>Slepý stavební rozpočet</t>
  </si>
  <si>
    <t>Název stavby:</t>
  </si>
  <si>
    <t>Doba výstavby:</t>
  </si>
  <si>
    <t xml:space="preserve"> </t>
  </si>
  <si>
    <t>Objednatel:</t>
  </si>
  <si>
    <t> </t>
  </si>
  <si>
    <t>Druh stavby:</t>
  </si>
  <si>
    <t>Posezení v přírodě</t>
  </si>
  <si>
    <t>Začátek výstavby:</t>
  </si>
  <si>
    <t>30.08.2025</t>
  </si>
  <si>
    <t>Projektant:</t>
  </si>
  <si>
    <t>Lokalita:</t>
  </si>
  <si>
    <t>Bruntál - bývalý lom</t>
  </si>
  <si>
    <t>Konec výstavby:</t>
  </si>
  <si>
    <t>Zhotovitel:</t>
  </si>
  <si>
    <t>JKSO:</t>
  </si>
  <si>
    <t>Zpracováno dne:</t>
  </si>
  <si>
    <t>Zpracoval:</t>
  </si>
  <si>
    <t>Č</t>
  </si>
  <si>
    <t>Kód</t>
  </si>
  <si>
    <t>Zkrácený popis</t>
  </si>
  <si>
    <t>MJ</t>
  </si>
  <si>
    <t>Množství</t>
  </si>
  <si>
    <t>Cena/MJ</t>
  </si>
  <si>
    <t>Náklady (Kč)</t>
  </si>
  <si>
    <t>Cenová</t>
  </si>
  <si>
    <t>ISWORK</t>
  </si>
  <si>
    <t>GROUPCODE</t>
  </si>
  <si>
    <t>VATTAX</t>
  </si>
  <si>
    <t>Rozměry</t>
  </si>
  <si>
    <t>(Kč)</t>
  </si>
  <si>
    <t>Dodávka</t>
  </si>
  <si>
    <t>Montáž</t>
  </si>
  <si>
    <t>Celkem</t>
  </si>
  <si>
    <t>soustava</t>
  </si>
  <si>
    <t>Přesuny</t>
  </si>
  <si>
    <t>Typ skupiny</t>
  </si>
  <si>
    <t>HSV mat</t>
  </si>
  <si>
    <t>HSV prac</t>
  </si>
  <si>
    <t>PSV mat</t>
  </si>
  <si>
    <t>PSV prac</t>
  </si>
  <si>
    <t>Mont mat</t>
  </si>
  <si>
    <t>Mont prac</t>
  </si>
  <si>
    <t>Ostatní mat.</t>
  </si>
  <si>
    <t>MAT</t>
  </si>
  <si>
    <t>WORK</t>
  </si>
  <si>
    <t>CELK</t>
  </si>
  <si>
    <t/>
  </si>
  <si>
    <t>Vyhlídka</t>
  </si>
  <si>
    <t>11</t>
  </si>
  <si>
    <t>Přípravné a přidružené práce</t>
  </si>
  <si>
    <t>1</t>
  </si>
  <si>
    <t>111104621R00</t>
  </si>
  <si>
    <t>Pokosení porostu křovinořezem,rovina a svah do 1:5</t>
  </si>
  <si>
    <t>m2</t>
  </si>
  <si>
    <t>11_</t>
  </si>
  <si>
    <t>1_1_</t>
  </si>
  <si>
    <t>1_</t>
  </si>
  <si>
    <t>P</t>
  </si>
  <si>
    <t>200</t>
  </si>
  <si>
    <t>2</t>
  </si>
  <si>
    <t>111201101R00</t>
  </si>
  <si>
    <t>Odstranění křovin i s kořeny na ploše do 1000 m2</t>
  </si>
  <si>
    <t>25</t>
  </si>
  <si>
    <t>12</t>
  </si>
  <si>
    <t>Odkopávky a prokopávky</t>
  </si>
  <si>
    <t>3</t>
  </si>
  <si>
    <t>121103111R00</t>
  </si>
  <si>
    <t>Skrývka zemin v rovině a sklonu 1:5</t>
  </si>
  <si>
    <t>m3</t>
  </si>
  <si>
    <t>12_</t>
  </si>
  <si>
    <t>75*0,1</t>
  </si>
  <si>
    <t>13</t>
  </si>
  <si>
    <t>Hloubené vykopávky</t>
  </si>
  <si>
    <t>4</t>
  </si>
  <si>
    <t>131301110R00</t>
  </si>
  <si>
    <t>Hloubení nezapaž. jam hor.4 do 50 m3, STROJNĚ</t>
  </si>
  <si>
    <t>13_</t>
  </si>
  <si>
    <t>6,5</t>
  </si>
  <si>
    <t>založení nosných sloupů rozhledny</t>
  </si>
  <si>
    <t>5</t>
  </si>
  <si>
    <t>131301119R00</t>
  </si>
  <si>
    <t>Příplatek za lepivost - hloubení nezap.jam v hor.4</t>
  </si>
  <si>
    <t>6,5*0,5</t>
  </si>
  <si>
    <t>6</t>
  </si>
  <si>
    <t>133301101R00</t>
  </si>
  <si>
    <t>Hloubení šachet v hor.4 do 100 m3</t>
  </si>
  <si>
    <t>3,14*(0,15*0,15)*0,75*40</t>
  </si>
  <si>
    <t>prm. 30 cm, hloubka 75 cm, kusy 40</t>
  </si>
  <si>
    <t>7</t>
  </si>
  <si>
    <t>133301109R00</t>
  </si>
  <si>
    <t>Příplatek za lepivost - hloubení šachet v hor.4</t>
  </si>
  <si>
    <t>2,119*0,5</t>
  </si>
  <si>
    <t>16</t>
  </si>
  <si>
    <t>Přemístění výkopku</t>
  </si>
  <si>
    <t>8</t>
  </si>
  <si>
    <t>162201102R00</t>
  </si>
  <si>
    <t>Vodorovné přemístění výkopku z hor.1-4 do 50 m</t>
  </si>
  <si>
    <t>16_</t>
  </si>
  <si>
    <t>(6,5+2,119)*2</t>
  </si>
  <si>
    <t>převezení na mezi deponii a zpět k rozprostření + vybudování posezení</t>
  </si>
  <si>
    <t>18</t>
  </si>
  <si>
    <t>Povrchové úpravy terénu</t>
  </si>
  <si>
    <t>9</t>
  </si>
  <si>
    <t>180400020RA0</t>
  </si>
  <si>
    <t>Založení trávníku parkového v rovině s dodáním osiva</t>
  </si>
  <si>
    <t>18_</t>
  </si>
  <si>
    <t>150</t>
  </si>
  <si>
    <t>10</t>
  </si>
  <si>
    <t>183403153R00</t>
  </si>
  <si>
    <t>Obdělání půdy hrabáním, v rovině</t>
  </si>
  <si>
    <t>27</t>
  </si>
  <si>
    <t>Základy</t>
  </si>
  <si>
    <t>275310030RA0</t>
  </si>
  <si>
    <t>Základová patka z betonu C 16/20, včetně bednění</t>
  </si>
  <si>
    <t>27_</t>
  </si>
  <si>
    <t>1_2_</t>
  </si>
  <si>
    <t>6*1,15</t>
  </si>
  <si>
    <t>564</t>
  </si>
  <si>
    <t>bez pojiva se zhutněním</t>
  </si>
  <si>
    <t>564001VD</t>
  </si>
  <si>
    <t>Mlatový povrch</t>
  </si>
  <si>
    <t>564_</t>
  </si>
  <si>
    <t>1_5_</t>
  </si>
  <si>
    <t>94</t>
  </si>
  <si>
    <t>Lešení a stavební výtahy</t>
  </si>
  <si>
    <t>941955001R00</t>
  </si>
  <si>
    <t>Lešení lehké pomocné, výška podlahy do 1,2 m</t>
  </si>
  <si>
    <t>94_</t>
  </si>
  <si>
    <t>1_9_</t>
  </si>
  <si>
    <t>762</t>
  </si>
  <si>
    <t>Konstrukce tesařské</t>
  </si>
  <si>
    <t>14</t>
  </si>
  <si>
    <t>762008VD</t>
  </si>
  <si>
    <t>Tělo výhlídky</t>
  </si>
  <si>
    <t>pol</t>
  </si>
  <si>
    <t>762_</t>
  </si>
  <si>
    <t>1_76_</t>
  </si>
  <si>
    <t>vyhlídkový koš. nosné ocelové skruže (podlaha a horní část zábradlí), podlaha akát, zábradlí vplétané proutím, žebřík</t>
  </si>
  <si>
    <t>15</t>
  </si>
  <si>
    <t>762009VD</t>
  </si>
  <si>
    <t>Nohy vyhlídkového koše</t>
  </si>
  <si>
    <t>hranoly akátové řezané do tvaru 25/50 - 150/10 cm</t>
  </si>
  <si>
    <t>762010VD</t>
  </si>
  <si>
    <t>Jehličí</t>
  </si>
  <si>
    <t>akátová kulatina odkorněná a zbavená bělového dřeva, prům 150 mm</t>
  </si>
  <si>
    <t>17</t>
  </si>
  <si>
    <t>998762102R00</t>
  </si>
  <si>
    <t>Přesun hmot pro tesařské konstrukce, výšky do 12 m</t>
  </si>
  <si>
    <t>t</t>
  </si>
  <si>
    <t>odhad</t>
  </si>
  <si>
    <t>VORN</t>
  </si>
  <si>
    <t>Vedlejší a ostatní rozpočtové náklady</t>
  </si>
  <si>
    <t>01VRN</t>
  </si>
  <si>
    <t>Průzkumy, geodetické a projektové práce</t>
  </si>
  <si>
    <t>013002VRN</t>
  </si>
  <si>
    <t>Projektové práce</t>
  </si>
  <si>
    <t>Soubor</t>
  </si>
  <si>
    <t>99</t>
  </si>
  <si>
    <t>01VRN_</t>
  </si>
  <si>
    <t>1_Â _</t>
  </si>
  <si>
    <t>08VRN</t>
  </si>
  <si>
    <t>Náklady na pracovníky</t>
  </si>
  <si>
    <t>19</t>
  </si>
  <si>
    <t>080001VRN</t>
  </si>
  <si>
    <t>Náklady na pracovníky a dopravu</t>
  </si>
  <si>
    <t>08VRN_</t>
  </si>
  <si>
    <t>ubytování, doprava materiálu a montážního týmu</t>
  </si>
  <si>
    <t>Posezení u ohniště</t>
  </si>
  <si>
    <t>171</t>
  </si>
  <si>
    <t>Násypy a skládky předepsaných tvarů</t>
  </si>
  <si>
    <t>20</t>
  </si>
  <si>
    <t>171001VD</t>
  </si>
  <si>
    <t>Kamenná lavice</t>
  </si>
  <si>
    <t>171_</t>
  </si>
  <si>
    <t>2_1_</t>
  </si>
  <si>
    <t>2_</t>
  </si>
  <si>
    <t>21</t>
  </si>
  <si>
    <t>2_5_</t>
  </si>
  <si>
    <t>Mobiliář</t>
  </si>
  <si>
    <t>22</t>
  </si>
  <si>
    <t>762001VD</t>
  </si>
  <si>
    <t>Lavice DL-2000</t>
  </si>
  <si>
    <t>ks</t>
  </si>
  <si>
    <t>3_76_</t>
  </si>
  <si>
    <t>3_</t>
  </si>
  <si>
    <t>akátová půlkulatina dle PD</t>
  </si>
  <si>
    <t>délka 2500 mm, šířka min. 300 mm, výška cca 350 mm, volně stojící na terénu</t>
  </si>
  <si>
    <t>23</t>
  </si>
  <si>
    <t>762002VD</t>
  </si>
  <si>
    <t>Lavice "AMFÍK"</t>
  </si>
  <si>
    <t>délka 1700 mm, šířka cca 900 mm, výška cca 1050 mm</t>
  </si>
  <si>
    <t>24</t>
  </si>
  <si>
    <t>762003VD</t>
  </si>
  <si>
    <t>Odpadkový koš</t>
  </si>
  <si>
    <t>dle PD</t>
  </si>
  <si>
    <t>762004VD</t>
  </si>
  <si>
    <t>Stojan na kola</t>
  </si>
  <si>
    <t>26</t>
  </si>
  <si>
    <t>762005VD</t>
  </si>
  <si>
    <t>Řezby brouků</t>
  </si>
  <si>
    <t>762006VD</t>
  </si>
  <si>
    <t>Lavice s opěradlem</t>
  </si>
  <si>
    <t>akátová</t>
  </si>
  <si>
    <t>délka 3000 mm, šířka cca 150 mm</t>
  </si>
  <si>
    <t>28</t>
  </si>
  <si>
    <t>762007VD</t>
  </si>
  <si>
    <t>Stůl</t>
  </si>
  <si>
    <t>akátový</t>
  </si>
  <si>
    <t>1,4 x 0,6 metru</t>
  </si>
  <si>
    <t>29</t>
  </si>
  <si>
    <t>2,5</t>
  </si>
  <si>
    <t>766</t>
  </si>
  <si>
    <t>Konstrukce truhlářské</t>
  </si>
  <si>
    <t>30</t>
  </si>
  <si>
    <t>766008VD</t>
  </si>
  <si>
    <t>Informační tabule</t>
  </si>
  <si>
    <t>766_</t>
  </si>
  <si>
    <t>31</t>
  </si>
  <si>
    <t>998766101R00</t>
  </si>
  <si>
    <t>Přesun hmot pro truhlářské konstr., výšky do 6 m</t>
  </si>
  <si>
    <t>0,07</t>
  </si>
  <si>
    <t>Celkem:</t>
  </si>
  <si>
    <t>Poznámka:</t>
  </si>
  <si>
    <t>Slepý stavební rozpočet - rekapitulace</t>
  </si>
  <si>
    <t>Objekt</t>
  </si>
  <si>
    <t>Náklady (Kč) - dodávka</t>
  </si>
  <si>
    <t>Náklady (Kč) - Montáž</t>
  </si>
  <si>
    <t>Náklady (Kč) - celkem</t>
  </si>
  <si>
    <t>F</t>
  </si>
  <si>
    <t>T</t>
  </si>
  <si>
    <t>Výkaz výměr</t>
  </si>
  <si>
    <t>Zkrácený popis / Varianta</t>
  </si>
  <si>
    <t>Potřebné množství</t>
  </si>
  <si>
    <t>Krycí list slepého rozpočtu</t>
  </si>
  <si>
    <t>IČO/DIČ:</t>
  </si>
  <si>
    <t>Položek:</t>
  </si>
  <si>
    <t>Datum:</t>
  </si>
  <si>
    <t>Rozpočtové náklady v Kč</t>
  </si>
  <si>
    <t>A</t>
  </si>
  <si>
    <t>Základní rozpočtové náklady</t>
  </si>
  <si>
    <t>B</t>
  </si>
  <si>
    <t>Doplňkové náklady</t>
  </si>
  <si>
    <t>C</t>
  </si>
  <si>
    <t>Náklady na umístění stavby (NUS)</t>
  </si>
  <si>
    <t>HSV</t>
  </si>
  <si>
    <t>Dodávky</t>
  </si>
  <si>
    <t>Práce přesčas</t>
  </si>
  <si>
    <t>Zařízení staveniště</t>
  </si>
  <si>
    <t>Bez pevné podl.</t>
  </si>
  <si>
    <t>Mimostav. doprava</t>
  </si>
  <si>
    <t>PSV</t>
  </si>
  <si>
    <t>Kulturní památka</t>
  </si>
  <si>
    <t>Územní vlivy</t>
  </si>
  <si>
    <t>Provozní vlivy</t>
  </si>
  <si>
    <t>"M"</t>
  </si>
  <si>
    <t>Ostatní</t>
  </si>
  <si>
    <t>NUS z rozpočtu</t>
  </si>
  <si>
    <t>Ostatní materiál</t>
  </si>
  <si>
    <t>Přesun hmot a sutí</t>
  </si>
  <si>
    <t>ZRN celkem</t>
  </si>
  <si>
    <t>DN celkem</t>
  </si>
  <si>
    <t>NUS celkem</t>
  </si>
  <si>
    <t>DN celkem z obj.</t>
  </si>
  <si>
    <t>NUS celkem z obj.</t>
  </si>
  <si>
    <t>VORN celkem</t>
  </si>
  <si>
    <t>VORN celkem z obj.</t>
  </si>
  <si>
    <t>Základ 0%</t>
  </si>
  <si>
    <t>Základ 12%</t>
  </si>
  <si>
    <t>DPH 12%</t>
  </si>
  <si>
    <t>Celkem bez DPH</t>
  </si>
  <si>
    <t>Základ 21%</t>
  </si>
  <si>
    <t>DPH 21%</t>
  </si>
  <si>
    <t>Celkem včetně DPH</t>
  </si>
  <si>
    <t>Projektant</t>
  </si>
  <si>
    <t>Objednatel</t>
  </si>
  <si>
    <t>Zhotovitel</t>
  </si>
  <si>
    <t>Datum, razítko a podpis</t>
  </si>
  <si>
    <t>Vedlejší rozpočtové náklady VRN</t>
  </si>
  <si>
    <t>Doplňkové náklady DN</t>
  </si>
  <si>
    <t>Kč</t>
  </si>
  <si>
    <t>%</t>
  </si>
  <si>
    <t>Základna</t>
  </si>
  <si>
    <t>Celkem DN</t>
  </si>
  <si>
    <t>Celkem NUS</t>
  </si>
  <si>
    <t>Celkem VRN</t>
  </si>
  <si>
    <t>Vedlejší a ostatní rozpočtové náklady VORN</t>
  </si>
  <si>
    <t>Ostatní rozpočtové náklady (VORN)</t>
  </si>
  <si>
    <t>Příprava staveniště</t>
  </si>
  <si>
    <t>Inženýrské činnosti</t>
  </si>
  <si>
    <t>Finanční náklady</t>
  </si>
  <si>
    <t>Ostatní náklady</t>
  </si>
  <si>
    <t>Vlastní VORN</t>
  </si>
  <si>
    <t>Celkem VORN</t>
  </si>
  <si>
    <t>Krycí list slepého rozpočtu (1 - Vyhlídka)</t>
  </si>
  <si>
    <t>Vedlejší a ostatní rozpočtové náklady (1 - Vyhlídka)</t>
  </si>
  <si>
    <t>Krycí list slepého rozpočtu (2 - Posezení u ohniště)</t>
  </si>
  <si>
    <t>Vedlejší a ostatní rozpočtové náklady (2 - Posezení u ohniště)</t>
  </si>
  <si>
    <t>Krycí list slepého rozpočtu (3 - Mobiliář)</t>
  </si>
  <si>
    <t>Vedlejší a ostatní rozpočtové náklady (3 - Mobiliář)</t>
  </si>
  <si>
    <t>v ceně není případný odvoz na skladku</t>
  </si>
  <si>
    <t>sejmutí v ploše prvků</t>
  </si>
  <si>
    <t>příprava kufru, hutnění podkladu a tři hutněné vrstvy štěrku, frakce 16-32 mm, 0-16 mm a 0-5 mm</t>
  </si>
  <si>
    <t>lavice dle PD, zemina zahutněná + obložení lomovým kamenen, včetně ohniště</t>
  </si>
  <si>
    <t>informační deska o rozměrech 1000 x 1000 mm, 2x akátový kůl délky 2700 mm a 2900 mm (založení 800 mm pod Ú.T.),</t>
  </si>
  <si>
    <t>25004_Pohl_odpočinkové_posezení_v_lomu</t>
  </si>
  <si>
    <t>RTS I / 2026</t>
  </si>
  <si>
    <t>vlastní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</si>
</sst>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name val="Calibri"/>
      <charset val="1"/>
    </font>
    <font>
      <sz val="18"/>
      <color rgb="FF000000"/>
      <name val="Arial"/>
      <charset val="238"/>
    </font>
    <font>
      <b/>
      <sz val="10"/>
      <color rgb="FF000000"/>
      <name val="Arial"/>
      <charset val="238"/>
    </font>
    <font>
      <sz val="10"/>
      <color rgb="FF000000"/>
      <name val="Arial"/>
      <charset val="238"/>
    </font>
    <font>
      <sz val="10"/>
      <color rgb="FFFF0000"/>
      <name val="Arial"/>
      <charset val="238"/>
    </font>
    <font>
      <i/>
      <sz val="10"/>
      <color rgb="FF00FFFF"/>
      <name val="Arial"/>
      <charset val="238"/>
    </font>
    <font>
      <i/>
      <sz val="10"/>
      <color rgb="FF000000"/>
      <name val="Arial"/>
      <charset val="238"/>
    </font>
    <font>
      <i/>
      <sz val="8"/>
      <color rgb="FF000000"/>
      <name val="Arial"/>
      <charset val="238"/>
    </font>
    <font>
      <b/>
      <sz val="18"/>
      <color rgb="FF000000"/>
      <name val="Arial"/>
      <charset val="238"/>
    </font>
    <font>
      <b/>
      <sz val="20"/>
      <color rgb="FF000000"/>
      <name val="Arial"/>
      <charset val="238"/>
    </font>
    <font>
      <b/>
      <sz val="11"/>
      <color rgb="FF000000"/>
      <name val="Arial"/>
      <charset val="238"/>
    </font>
    <font>
      <b/>
      <sz val="12"/>
      <color rgb="FF000000"/>
      <name val="Arial"/>
      <charset val="238"/>
    </font>
    <font>
      <sz val="12"/>
      <color rgb="FF000000"/>
      <name val="Arial"/>
      <charset val="238"/>
    </font>
  </fonts>
  <fills count="4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EAEAEA"/>
        <bgColor rgb="FFEAEAEA"/>
      </patternFill>
    </fill>
  </fills>
  <borders count="85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84">
    <xf numFmtId="0" fontId="0" fillId="0" borderId="0" xfId="0"/>
    <xf numFmtId="4" fontId="2" fillId="2" borderId="0" xfId="0" applyNumberFormat="1" applyFont="1" applyFill="1" applyAlignment="1">
      <alignment horizontal="right" vertical="center"/>
    </xf>
    <xf numFmtId="0" fontId="3" fillId="0" borderId="5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1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2" borderId="0" xfId="0" applyFont="1" applyFill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3" fillId="0" borderId="19" xfId="0" applyFont="1" applyBorder="1" applyAlignment="1">
      <alignment horizontal="left" vertical="center"/>
    </xf>
    <xf numFmtId="0" fontId="3" fillId="0" borderId="20" xfId="0" applyFont="1" applyBorder="1" applyAlignment="1">
      <alignment horizontal="left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3" fillId="3" borderId="28" xfId="0" applyFont="1" applyFill="1" applyBorder="1" applyAlignment="1">
      <alignment horizontal="left" vertical="center"/>
    </xf>
    <xf numFmtId="0" fontId="2" fillId="3" borderId="29" xfId="0" applyFont="1" applyFill="1" applyBorder="1" applyAlignment="1">
      <alignment horizontal="left" vertical="center"/>
    </xf>
    <xf numFmtId="0" fontId="3" fillId="3" borderId="29" xfId="0" applyFont="1" applyFill="1" applyBorder="1" applyAlignment="1">
      <alignment horizontal="left" vertical="center"/>
    </xf>
    <xf numFmtId="4" fontId="2" fillId="3" borderId="29" xfId="0" applyNumberFormat="1" applyFont="1" applyFill="1" applyBorder="1" applyAlignment="1">
      <alignment horizontal="right" vertical="center"/>
    </xf>
    <xf numFmtId="0" fontId="2" fillId="3" borderId="30" xfId="0" applyFont="1" applyFill="1" applyBorder="1" applyAlignment="1">
      <alignment horizontal="right" vertical="center"/>
    </xf>
    <xf numFmtId="0" fontId="3" fillId="2" borderId="5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2" fillId="2" borderId="6" xfId="0" applyFont="1" applyFill="1" applyBorder="1" applyAlignment="1">
      <alignment horizontal="right" vertical="center"/>
    </xf>
    <xf numFmtId="0" fontId="4" fillId="0" borderId="5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4" fontId="4" fillId="0" borderId="0" xfId="0" applyNumberFormat="1" applyFont="1" applyAlignment="1">
      <alignment horizontal="right" vertical="center"/>
    </xf>
    <xf numFmtId="0" fontId="4" fillId="0" borderId="6" xfId="0" applyFont="1" applyBorder="1" applyAlignment="1">
      <alignment horizontal="right" vertical="center"/>
    </xf>
    <xf numFmtId="4" fontId="3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0" fillId="0" borderId="5" xfId="0" applyBorder="1"/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4" fontId="5" fillId="0" borderId="0" xfId="0" applyNumberFormat="1" applyFont="1" applyAlignment="1">
      <alignment horizontal="right" vertical="center"/>
    </xf>
    <xf numFmtId="0" fontId="0" fillId="0" borderId="6" xfId="0" applyBorder="1"/>
    <xf numFmtId="0" fontId="3" fillId="3" borderId="5" xfId="0" applyFont="1" applyFill="1" applyBorder="1" applyAlignment="1">
      <alignment horizontal="left" vertical="center"/>
    </xf>
    <xf numFmtId="0" fontId="2" fillId="3" borderId="0" xfId="0" applyFont="1" applyFill="1" applyAlignment="1">
      <alignment horizontal="left" vertical="center"/>
    </xf>
    <xf numFmtId="0" fontId="3" fillId="3" borderId="0" xfId="0" applyFont="1" applyFill="1" applyAlignment="1">
      <alignment horizontal="left" vertical="center"/>
    </xf>
    <xf numFmtId="4" fontId="2" fillId="3" borderId="0" xfId="0" applyNumberFormat="1" applyFont="1" applyFill="1" applyAlignment="1">
      <alignment horizontal="right" vertical="center"/>
    </xf>
    <xf numFmtId="0" fontId="2" fillId="3" borderId="6" xfId="0" applyFont="1" applyFill="1" applyBorder="1" applyAlignment="1">
      <alignment horizontal="right" vertical="center"/>
    </xf>
    <xf numFmtId="0" fontId="0" fillId="0" borderId="31" xfId="0" applyBorder="1"/>
    <xf numFmtId="0" fontId="0" fillId="0" borderId="32" xfId="0" applyBorder="1"/>
    <xf numFmtId="0" fontId="5" fillId="0" borderId="32" xfId="0" applyFont="1" applyBorder="1" applyAlignment="1">
      <alignment horizontal="left" vertical="center"/>
    </xf>
    <xf numFmtId="0" fontId="6" fillId="0" borderId="32" xfId="0" applyFont="1" applyBorder="1" applyAlignment="1">
      <alignment horizontal="left" vertical="center"/>
    </xf>
    <xf numFmtId="4" fontId="5" fillId="0" borderId="32" xfId="0" applyNumberFormat="1" applyFont="1" applyBorder="1" applyAlignment="1">
      <alignment horizontal="right" vertical="center"/>
    </xf>
    <xf numFmtId="0" fontId="0" fillId="0" borderId="33" xfId="0" applyBorder="1"/>
    <xf numFmtId="4" fontId="2" fillId="0" borderId="34" xfId="0" applyNumberFormat="1" applyFont="1" applyBorder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2" fillId="0" borderId="35" xfId="0" applyFont="1" applyBorder="1" applyAlignment="1">
      <alignment horizontal="left" vertical="center"/>
    </xf>
    <xf numFmtId="0" fontId="2" fillId="0" borderId="36" xfId="0" applyFont="1" applyBorder="1" applyAlignment="1">
      <alignment horizontal="left" vertical="center"/>
    </xf>
    <xf numFmtId="0" fontId="2" fillId="0" borderId="37" xfId="0" applyFont="1" applyBorder="1" applyAlignment="1">
      <alignment horizontal="left" vertical="center"/>
    </xf>
    <xf numFmtId="0" fontId="2" fillId="0" borderId="38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3" fillId="0" borderId="28" xfId="0" applyFont="1" applyBorder="1" applyAlignment="1">
      <alignment horizontal="left" vertical="center"/>
    </xf>
    <xf numFmtId="0" fontId="3" fillId="0" borderId="29" xfId="0" applyFont="1" applyBorder="1" applyAlignment="1">
      <alignment horizontal="left" vertical="center"/>
    </xf>
    <xf numFmtId="4" fontId="3" fillId="0" borderId="29" xfId="0" applyNumberFormat="1" applyFont="1" applyBorder="1" applyAlignment="1">
      <alignment horizontal="right" vertical="center"/>
    </xf>
    <xf numFmtId="4" fontId="2" fillId="0" borderId="0" xfId="0" applyNumberFormat="1" applyFont="1" applyAlignment="1">
      <alignment horizontal="right" vertical="center"/>
    </xf>
    <xf numFmtId="0" fontId="2" fillId="0" borderId="40" xfId="0" applyFont="1" applyBorder="1" applyAlignment="1">
      <alignment horizontal="left" vertical="center"/>
    </xf>
    <xf numFmtId="0" fontId="2" fillId="0" borderId="41" xfId="0" applyFont="1" applyBorder="1" applyAlignment="1">
      <alignment horizontal="left" vertical="center"/>
    </xf>
    <xf numFmtId="0" fontId="2" fillId="0" borderId="44" xfId="0" applyFont="1" applyBorder="1" applyAlignment="1">
      <alignment horizontal="right" vertical="center"/>
    </xf>
    <xf numFmtId="0" fontId="2" fillId="0" borderId="45" xfId="0" applyFont="1" applyBorder="1" applyAlignment="1">
      <alignment horizontal="left" vertical="center"/>
    </xf>
    <xf numFmtId="0" fontId="9" fillId="2" borderId="47" xfId="0" applyFont="1" applyFill="1" applyBorder="1" applyAlignment="1">
      <alignment horizontal="center" vertical="center"/>
    </xf>
    <xf numFmtId="0" fontId="9" fillId="2" borderId="50" xfId="0" applyFont="1" applyFill="1" applyBorder="1" applyAlignment="1">
      <alignment horizontal="center" vertical="center"/>
    </xf>
    <xf numFmtId="0" fontId="11" fillId="0" borderId="51" xfId="0" applyFont="1" applyBorder="1" applyAlignment="1">
      <alignment horizontal="left" vertical="center"/>
    </xf>
    <xf numFmtId="0" fontId="12" fillId="0" borderId="52" xfId="0" applyFont="1" applyBorder="1" applyAlignment="1">
      <alignment horizontal="left" vertical="center"/>
    </xf>
    <xf numFmtId="4" fontId="12" fillId="0" borderId="52" xfId="0" applyNumberFormat="1" applyFont="1" applyBorder="1" applyAlignment="1">
      <alignment horizontal="right" vertical="center"/>
    </xf>
    <xf numFmtId="0" fontId="12" fillId="0" borderId="52" xfId="0" applyFont="1" applyBorder="1" applyAlignment="1">
      <alignment horizontal="right" vertical="center"/>
    </xf>
    <xf numFmtId="0" fontId="11" fillId="0" borderId="55" xfId="0" applyFont="1" applyBorder="1" applyAlignment="1">
      <alignment horizontal="left" vertical="center"/>
    </xf>
    <xf numFmtId="4" fontId="12" fillId="0" borderId="59" xfId="0" applyNumberFormat="1" applyFont="1" applyBorder="1" applyAlignment="1">
      <alignment horizontal="right" vertical="center"/>
    </xf>
    <xf numFmtId="0" fontId="12" fillId="0" borderId="59" xfId="0" applyFont="1" applyBorder="1" applyAlignment="1">
      <alignment horizontal="right" vertical="center"/>
    </xf>
    <xf numFmtId="4" fontId="12" fillId="0" borderId="50" xfId="0" applyNumberFormat="1" applyFont="1" applyBorder="1" applyAlignment="1">
      <alignment horizontal="right" vertical="center"/>
    </xf>
    <xf numFmtId="4" fontId="11" fillId="2" borderId="49" xfId="0" applyNumberFormat="1" applyFont="1" applyFill="1" applyBorder="1" applyAlignment="1">
      <alignment horizontal="right" vertical="center"/>
    </xf>
    <xf numFmtId="4" fontId="11" fillId="2" borderId="54" xfId="0" applyNumberFormat="1" applyFont="1" applyFill="1" applyBorder="1" applyAlignment="1">
      <alignment horizontal="right" vertical="center"/>
    </xf>
    <xf numFmtId="0" fontId="7" fillId="0" borderId="29" xfId="0" applyFont="1" applyBorder="1" applyAlignment="1">
      <alignment horizontal="left" vertical="center"/>
    </xf>
    <xf numFmtId="0" fontId="2" fillId="0" borderId="75" xfId="0" applyFont="1" applyBorder="1" applyAlignment="1">
      <alignment horizontal="right" vertical="center"/>
    </xf>
    <xf numFmtId="4" fontId="3" fillId="0" borderId="52" xfId="0" applyNumberFormat="1" applyFont="1" applyBorder="1" applyAlignment="1">
      <alignment horizontal="right" vertical="center"/>
    </xf>
    <xf numFmtId="0" fontId="3" fillId="0" borderId="52" xfId="0" applyFont="1" applyBorder="1" applyAlignment="1">
      <alignment horizontal="left" vertical="center"/>
    </xf>
    <xf numFmtId="4" fontId="3" fillId="0" borderId="79" xfId="0" applyNumberFormat="1" applyFont="1" applyBorder="1" applyAlignment="1">
      <alignment horizontal="right" vertical="center"/>
    </xf>
    <xf numFmtId="0" fontId="3" fillId="0" borderId="79" xfId="0" applyFont="1" applyBorder="1" applyAlignment="1">
      <alignment horizontal="left" vertical="center"/>
    </xf>
    <xf numFmtId="0" fontId="2" fillId="0" borderId="83" xfId="0" applyFont="1" applyBorder="1" applyAlignment="1">
      <alignment horizontal="left" vertical="center"/>
    </xf>
    <xf numFmtId="0" fontId="2" fillId="0" borderId="83" xfId="0" applyFont="1" applyBorder="1" applyAlignment="1">
      <alignment horizontal="right" vertical="center"/>
    </xf>
    <xf numFmtId="4" fontId="2" fillId="0" borderId="83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2" fillId="0" borderId="34" xfId="0" applyFont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2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left" vertical="center"/>
    </xf>
    <xf numFmtId="0" fontId="2" fillId="3" borderId="0" xfId="0" applyFont="1" applyFill="1" applyAlignment="1">
      <alignment horizontal="left" vertical="center" wrapText="1"/>
    </xf>
    <xf numFmtId="0" fontId="2" fillId="3" borderId="0" xfId="0" applyFont="1" applyFill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2" fillId="0" borderId="22" xfId="0" applyFont="1" applyBorder="1" applyAlignment="1">
      <alignment horizontal="left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3" borderId="29" xfId="0" applyFont="1" applyFill="1" applyBorder="1" applyAlignment="1">
      <alignment horizontal="left" vertical="center" wrapText="1"/>
    </xf>
    <xf numFmtId="0" fontId="2" fillId="3" borderId="29" xfId="0" applyFont="1" applyFill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4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32" xfId="0" applyFont="1" applyBorder="1" applyAlignment="1">
      <alignment horizontal="left" vertical="center"/>
    </xf>
    <xf numFmtId="0" fontId="2" fillId="0" borderId="42" xfId="0" applyFont="1" applyBorder="1" applyAlignment="1">
      <alignment horizontal="left" vertical="center"/>
    </xf>
    <xf numFmtId="0" fontId="2" fillId="0" borderId="43" xfId="0" applyFont="1" applyBorder="1" applyAlignment="1">
      <alignment horizontal="left" vertical="center"/>
    </xf>
    <xf numFmtId="0" fontId="12" fillId="0" borderId="67" xfId="0" applyFont="1" applyBorder="1" applyAlignment="1">
      <alignment horizontal="left" vertical="center"/>
    </xf>
    <xf numFmtId="0" fontId="12" fillId="0" borderId="65" xfId="0" applyFont="1" applyBorder="1" applyAlignment="1">
      <alignment horizontal="left" vertical="center"/>
    </xf>
    <xf numFmtId="0" fontId="12" fillId="0" borderId="66" xfId="0" applyFont="1" applyBorder="1" applyAlignment="1">
      <alignment horizontal="left" vertical="center"/>
    </xf>
    <xf numFmtId="0" fontId="12" fillId="0" borderId="70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69" xfId="0" applyFont="1" applyBorder="1" applyAlignment="1">
      <alignment horizontal="left" vertical="center"/>
    </xf>
    <xf numFmtId="0" fontId="12" fillId="0" borderId="74" xfId="0" applyFont="1" applyBorder="1" applyAlignment="1">
      <alignment horizontal="left" vertical="center"/>
    </xf>
    <xf numFmtId="0" fontId="12" fillId="0" borderId="72" xfId="0" applyFont="1" applyBorder="1" applyAlignment="1">
      <alignment horizontal="left" vertical="center"/>
    </xf>
    <xf numFmtId="0" fontId="12" fillId="0" borderId="73" xfId="0" applyFont="1" applyBorder="1" applyAlignment="1">
      <alignment horizontal="left" vertical="center"/>
    </xf>
    <xf numFmtId="0" fontId="12" fillId="0" borderId="64" xfId="0" applyFont="1" applyBorder="1" applyAlignment="1">
      <alignment horizontal="left" vertical="center"/>
    </xf>
    <xf numFmtId="0" fontId="12" fillId="0" borderId="68" xfId="0" applyFont="1" applyBorder="1" applyAlignment="1">
      <alignment horizontal="left" vertical="center"/>
    </xf>
    <xf numFmtId="0" fontId="12" fillId="0" borderId="71" xfId="0" applyFont="1" applyBorder="1" applyAlignment="1">
      <alignment horizontal="left" vertical="center"/>
    </xf>
    <xf numFmtId="0" fontId="11" fillId="0" borderId="56" xfId="0" applyFont="1" applyBorder="1" applyAlignment="1">
      <alignment horizontal="left" vertical="center"/>
    </xf>
    <xf numFmtId="0" fontId="11" fillId="0" borderId="54" xfId="0" applyFont="1" applyBorder="1" applyAlignment="1">
      <alignment horizontal="left" vertical="center"/>
    </xf>
    <xf numFmtId="0" fontId="11" fillId="2" borderId="61" xfId="0" applyFont="1" applyFill="1" applyBorder="1" applyAlignment="1">
      <alignment horizontal="left" vertical="center"/>
    </xf>
    <xf numFmtId="0" fontId="11" fillId="2" borderId="62" xfId="0" applyFont="1" applyFill="1" applyBorder="1" applyAlignment="1">
      <alignment horizontal="left" vertical="center"/>
    </xf>
    <xf numFmtId="0" fontId="11" fillId="2" borderId="56" xfId="0" applyFont="1" applyFill="1" applyBorder="1" applyAlignment="1">
      <alignment horizontal="left" vertical="center"/>
    </xf>
    <xf numFmtId="0" fontId="11" fillId="2" borderId="63" xfId="0" applyFont="1" applyFill="1" applyBorder="1" applyAlignment="1">
      <alignment horizontal="left" vertical="center"/>
    </xf>
    <xf numFmtId="0" fontId="11" fillId="2" borderId="48" xfId="0" applyFont="1" applyFill="1" applyBorder="1" applyAlignment="1">
      <alignment horizontal="left" vertical="center"/>
    </xf>
    <xf numFmtId="0" fontId="11" fillId="2" borderId="53" xfId="0" applyFont="1" applyFill="1" applyBorder="1" applyAlignment="1">
      <alignment horizontal="left" vertical="center"/>
    </xf>
    <xf numFmtId="0" fontId="12" fillId="0" borderId="53" xfId="0" applyFont="1" applyBorder="1" applyAlignment="1">
      <alignment horizontal="left" vertical="center"/>
    </xf>
    <xf numFmtId="0" fontId="12" fillId="0" borderId="54" xfId="0" applyFont="1" applyBorder="1" applyAlignment="1">
      <alignment horizontal="left" vertical="center"/>
    </xf>
    <xf numFmtId="0" fontId="12" fillId="0" borderId="60" xfId="0" applyFont="1" applyBorder="1" applyAlignment="1">
      <alignment horizontal="left" vertical="center"/>
    </xf>
    <xf numFmtId="0" fontId="12" fillId="0" borderId="58" xfId="0" applyFont="1" applyBorder="1" applyAlignment="1">
      <alignment horizontal="left" vertical="center"/>
    </xf>
    <xf numFmtId="0" fontId="11" fillId="0" borderId="48" xfId="0" applyFont="1" applyBorder="1" applyAlignment="1">
      <alignment horizontal="left" vertical="center"/>
    </xf>
    <xf numFmtId="0" fontId="11" fillId="0" borderId="49" xfId="0" applyFont="1" applyBorder="1" applyAlignment="1">
      <alignment horizontal="left" vertical="center"/>
    </xf>
    <xf numFmtId="0" fontId="11" fillId="0" borderId="53" xfId="0" applyFont="1" applyBorder="1" applyAlignment="1">
      <alignment horizontal="left" vertical="center"/>
    </xf>
    <xf numFmtId="0" fontId="11" fillId="0" borderId="57" xfId="0" applyFont="1" applyBorder="1" applyAlignment="1">
      <alignment horizontal="left" vertical="center"/>
    </xf>
    <xf numFmtId="0" fontId="11" fillId="0" borderId="58" xfId="0" applyFont="1" applyBorder="1" applyAlignment="1">
      <alignment horizontal="left" vertical="center"/>
    </xf>
    <xf numFmtId="0" fontId="11" fillId="0" borderId="61" xfId="0" applyFont="1" applyBorder="1" applyAlignment="1">
      <alignment horizontal="left" vertical="center"/>
    </xf>
    <xf numFmtId="0" fontId="3" fillId="0" borderId="33" xfId="0" applyFont="1" applyBorder="1" applyAlignment="1">
      <alignment horizontal="left" vertical="center"/>
    </xf>
    <xf numFmtId="0" fontId="8" fillId="0" borderId="46" xfId="0" applyFont="1" applyBorder="1" applyAlignment="1">
      <alignment horizontal="center" vertical="center"/>
    </xf>
    <xf numFmtId="0" fontId="10" fillId="0" borderId="48" xfId="0" applyFont="1" applyBorder="1" applyAlignment="1">
      <alignment horizontal="left" vertical="center"/>
    </xf>
    <xf numFmtId="0" fontId="10" fillId="0" borderId="49" xfId="0" applyFont="1" applyBorder="1" applyAlignment="1">
      <alignment horizontal="left" vertical="center"/>
    </xf>
    <xf numFmtId="0" fontId="3" fillId="0" borderId="3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left" vertical="center"/>
    </xf>
    <xf numFmtId="0" fontId="3" fillId="0" borderId="56" xfId="0" applyFont="1" applyBorder="1" applyAlignment="1">
      <alignment horizontal="left" vertical="center"/>
    </xf>
    <xf numFmtId="0" fontId="3" fillId="0" borderId="63" xfId="0" applyFont="1" applyBorder="1" applyAlignment="1">
      <alignment horizontal="left" vertical="center"/>
    </xf>
    <xf numFmtId="0" fontId="3" fillId="0" borderId="54" xfId="0" applyFont="1" applyBorder="1" applyAlignment="1">
      <alignment horizontal="left" vertical="center"/>
    </xf>
    <xf numFmtId="0" fontId="3" fillId="0" borderId="76" xfId="0" applyFont="1" applyBorder="1" applyAlignment="1">
      <alignment horizontal="left" vertical="center"/>
    </xf>
    <xf numFmtId="0" fontId="3" fillId="0" borderId="77" xfId="0" applyFont="1" applyBorder="1" applyAlignment="1">
      <alignment horizontal="left" vertical="center"/>
    </xf>
    <xf numFmtId="0" fontId="3" fillId="0" borderId="78" xfId="0" applyFont="1" applyBorder="1" applyAlignment="1">
      <alignment horizontal="left" vertical="center"/>
    </xf>
    <xf numFmtId="0" fontId="2" fillId="0" borderId="80" xfId="0" applyFont="1" applyBorder="1" applyAlignment="1">
      <alignment horizontal="left" vertical="center"/>
    </xf>
    <xf numFmtId="0" fontId="2" fillId="0" borderId="81" xfId="0" applyFont="1" applyBorder="1" applyAlignment="1">
      <alignment horizontal="left" vertical="center"/>
    </xf>
    <xf numFmtId="0" fontId="2" fillId="0" borderId="82" xfId="0" applyFont="1" applyBorder="1" applyAlignment="1">
      <alignment horizontal="left" vertical="center"/>
    </xf>
    <xf numFmtId="0" fontId="11" fillId="0" borderId="80" xfId="0" applyFont="1" applyBorder="1" applyAlignment="1">
      <alignment horizontal="left" vertical="center"/>
    </xf>
    <xf numFmtId="0" fontId="11" fillId="0" borderId="81" xfId="0" applyFont="1" applyBorder="1" applyAlignment="1">
      <alignment horizontal="left" vertical="center"/>
    </xf>
    <xf numFmtId="0" fontId="11" fillId="0" borderId="82" xfId="0" applyFont="1" applyBorder="1" applyAlignment="1">
      <alignment horizontal="left" vertical="center"/>
    </xf>
    <xf numFmtId="4" fontId="11" fillId="0" borderId="84" xfId="0" applyNumberFormat="1" applyFont="1" applyBorder="1" applyAlignment="1">
      <alignment horizontal="right" vertical="center"/>
    </xf>
    <xf numFmtId="0" fontId="11" fillId="0" borderId="81" xfId="0" applyFont="1" applyBorder="1" applyAlignment="1">
      <alignment horizontal="right" vertical="center"/>
    </xf>
    <xf numFmtId="0" fontId="11" fillId="0" borderId="82" xfId="0" applyFont="1" applyBorder="1" applyAlignment="1">
      <alignment horizontal="right" vertical="center"/>
    </xf>
    <xf numFmtId="0" fontId="11" fillId="0" borderId="8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666750" cy="666750"/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66750" cy="666750"/>
        </a:xfrm>
        <a:prstGeom prst="rect">
          <a:avLst/>
        </a:prstGeom>
        <a:noFill/>
        <a:ln w="9525">
          <a:noFill/>
        </a:ln>
      </xdr:spPr>
    </xdr:pic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666750" cy="666750"/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66750" cy="666750"/>
        </a:xfrm>
        <a:prstGeom prst="rect">
          <a:avLst/>
        </a:prstGeom>
        <a:noFill/>
        <a:ln w="9525">
          <a:noFill/>
        </a:ln>
      </xdr:spPr>
    </xdr:pic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666750" cy="666750"/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66750" cy="666750"/>
        </a:xfrm>
        <a:prstGeom prst="rect">
          <a:avLst/>
        </a:prstGeom>
        <a:noFill/>
        <a:ln w="9525">
          <a:noFill/>
        </a:ln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666750" cy="666750"/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66750" cy="666750"/>
        </a:xfrm>
        <a:prstGeom prst="rect">
          <a:avLst/>
        </a:prstGeom>
        <a:noFill/>
        <a:ln w="9525">
          <a:noFill/>
        </a:ln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666750" cy="666750"/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66750" cy="666750"/>
        </a:xfrm>
        <a:prstGeom prst="rect">
          <a:avLst/>
        </a:prstGeom>
        <a:noFill/>
        <a:ln w="9525">
          <a:noFill/>
        </a:ln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666750" cy="666750"/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66750" cy="666750"/>
        </a:xfrm>
        <a:prstGeom prst="rect">
          <a:avLst/>
        </a:prstGeom>
        <a:noFill/>
        <a:ln w="9525">
          <a:noFill/>
        </a:ln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666750" cy="666750"/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66750" cy="666750"/>
        </a:xfrm>
        <a:prstGeom prst="rect">
          <a:avLst/>
        </a:prstGeom>
        <a:noFill/>
        <a:ln w="9525">
          <a:noFill/>
        </a:ln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666750" cy="666750"/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66750" cy="666750"/>
        </a:xfrm>
        <a:prstGeom prst="rect">
          <a:avLst/>
        </a:prstGeom>
        <a:noFill/>
        <a:ln w="9525">
          <a:noFill/>
        </a:ln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666750" cy="666750"/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66750" cy="666750"/>
        </a:xfrm>
        <a:prstGeom prst="rect">
          <a:avLst/>
        </a:prstGeom>
        <a:noFill/>
        <a:ln w="9525">
          <a:noFill/>
        </a:ln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666750" cy="666750"/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66750" cy="666750"/>
        </a:xfrm>
        <a:prstGeom prst="rect">
          <a:avLst/>
        </a:prstGeom>
        <a:noFill/>
        <a:ln w="9525">
          <a:noFill/>
        </a:ln>
      </xdr:spPr>
    </xdr:pic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666750" cy="666750"/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66750" cy="666750"/>
        </a:xfrm>
        <a:prstGeom prst="rect">
          <a:avLst/>
        </a:prstGeom>
        <a:noFill/>
        <a:ln w="9525">
          <a:noFill/>
        </a:ln>
      </xdr:spPr>
    </xdr:pic>
    <xdr:clientData/>
  </xdr:absolute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Z109"/>
  <sheetViews>
    <sheetView tabSelected="1" workbookViewId="0">
      <pane ySplit="11" topLeftCell="A12" activePane="bottomLeft" state="frozen"/>
      <selection pane="bottomLeft" activeCell="K55" sqref="K55"/>
    </sheetView>
  </sheetViews>
  <sheetFormatPr defaultColWidth="12.1796875" defaultRowHeight="15" customHeight="1" x14ac:dyDescent="0.35"/>
  <cols>
    <col min="1" max="1" width="4" customWidth="1"/>
    <col min="2" max="2" width="17.81640625" customWidth="1"/>
    <col min="3" max="3" width="42.81640625" customWidth="1"/>
    <col min="4" max="4" width="35.7265625" customWidth="1"/>
    <col min="5" max="5" width="9.81640625" customWidth="1"/>
    <col min="6" max="6" width="12.81640625" customWidth="1"/>
    <col min="7" max="7" width="12" customWidth="1"/>
    <col min="8" max="10" width="15.7265625" customWidth="1"/>
    <col min="11" max="11" width="17" customWidth="1"/>
    <col min="25" max="75" width="12.1796875" hidden="1"/>
    <col min="76" max="76" width="78.54296875" hidden="1" customWidth="1"/>
    <col min="77" max="78" width="12.1796875" hidden="1"/>
  </cols>
  <sheetData>
    <row r="1" spans="1:76" ht="54.75" customHeight="1" x14ac:dyDescent="0.35">
      <c r="A1" s="114" t="s">
        <v>0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AS1" s="1">
        <f>SUM(AJ1:AJ2)</f>
        <v>0</v>
      </c>
      <c r="AT1" s="1">
        <f>SUM(AK1:AK2)</f>
        <v>0</v>
      </c>
      <c r="AU1" s="1">
        <f>SUM(AL1:AL2)</f>
        <v>0</v>
      </c>
    </row>
    <row r="2" spans="1:76" ht="14.5" x14ac:dyDescent="0.35">
      <c r="A2" s="115" t="s">
        <v>1</v>
      </c>
      <c r="B2" s="107"/>
      <c r="C2" s="120" t="s">
        <v>305</v>
      </c>
      <c r="D2" s="121"/>
      <c r="E2" s="107" t="s">
        <v>2</v>
      </c>
      <c r="F2" s="107"/>
      <c r="G2" s="107" t="s">
        <v>3</v>
      </c>
      <c r="H2" s="119" t="s">
        <v>4</v>
      </c>
      <c r="I2" s="107" t="s">
        <v>5</v>
      </c>
      <c r="J2" s="107"/>
      <c r="K2" s="108"/>
    </row>
    <row r="3" spans="1:76" ht="14.5" x14ac:dyDescent="0.35">
      <c r="A3" s="116"/>
      <c r="B3" s="92"/>
      <c r="C3" s="122"/>
      <c r="D3" s="122"/>
      <c r="E3" s="92"/>
      <c r="F3" s="92"/>
      <c r="G3" s="92"/>
      <c r="H3" s="92"/>
      <c r="I3" s="92"/>
      <c r="J3" s="92"/>
      <c r="K3" s="109"/>
    </row>
    <row r="4" spans="1:76" ht="14.5" x14ac:dyDescent="0.35">
      <c r="A4" s="117" t="s">
        <v>6</v>
      </c>
      <c r="B4" s="92"/>
      <c r="C4" s="91" t="s">
        <v>7</v>
      </c>
      <c r="D4" s="92"/>
      <c r="E4" s="92" t="s">
        <v>8</v>
      </c>
      <c r="F4" s="92"/>
      <c r="G4" s="92" t="s">
        <v>9</v>
      </c>
      <c r="H4" s="91" t="s">
        <v>10</v>
      </c>
      <c r="I4" s="92" t="s">
        <v>5</v>
      </c>
      <c r="J4" s="92"/>
      <c r="K4" s="109"/>
    </row>
    <row r="5" spans="1:76" ht="14.5" x14ac:dyDescent="0.35">
      <c r="A5" s="116"/>
      <c r="B5" s="92"/>
      <c r="C5" s="92"/>
      <c r="D5" s="92"/>
      <c r="E5" s="92"/>
      <c r="F5" s="92"/>
      <c r="G5" s="92"/>
      <c r="H5" s="92"/>
      <c r="I5" s="92"/>
      <c r="J5" s="92"/>
      <c r="K5" s="109"/>
    </row>
    <row r="6" spans="1:76" ht="14.5" x14ac:dyDescent="0.35">
      <c r="A6" s="117" t="s">
        <v>11</v>
      </c>
      <c r="B6" s="92"/>
      <c r="C6" s="91" t="s">
        <v>12</v>
      </c>
      <c r="D6" s="92"/>
      <c r="E6" s="92" t="s">
        <v>13</v>
      </c>
      <c r="F6" s="92"/>
      <c r="G6" s="92" t="s">
        <v>3</v>
      </c>
      <c r="H6" s="91" t="s">
        <v>14</v>
      </c>
      <c r="I6" s="92" t="s">
        <v>5</v>
      </c>
      <c r="J6" s="92"/>
      <c r="K6" s="109"/>
    </row>
    <row r="7" spans="1:76" ht="14.5" x14ac:dyDescent="0.35">
      <c r="A7" s="116"/>
      <c r="B7" s="92"/>
      <c r="C7" s="92"/>
      <c r="D7" s="92"/>
      <c r="E7" s="92"/>
      <c r="F7" s="92"/>
      <c r="G7" s="92"/>
      <c r="H7" s="92"/>
      <c r="I7" s="92"/>
      <c r="J7" s="92"/>
      <c r="K7" s="109"/>
    </row>
    <row r="8" spans="1:76" ht="14.5" x14ac:dyDescent="0.35">
      <c r="A8" s="117" t="s">
        <v>15</v>
      </c>
      <c r="B8" s="92"/>
      <c r="C8" s="91" t="s">
        <v>3</v>
      </c>
      <c r="D8" s="92"/>
      <c r="E8" s="92" t="s">
        <v>16</v>
      </c>
      <c r="F8" s="92"/>
      <c r="G8" s="92" t="s">
        <v>9</v>
      </c>
      <c r="H8" s="91" t="s">
        <v>17</v>
      </c>
      <c r="I8" s="92" t="s">
        <v>5</v>
      </c>
      <c r="J8" s="92"/>
      <c r="K8" s="109"/>
    </row>
    <row r="9" spans="1:76" ht="14.5" x14ac:dyDescent="0.35">
      <c r="A9" s="118"/>
      <c r="B9" s="110"/>
      <c r="C9" s="110"/>
      <c r="D9" s="110"/>
      <c r="E9" s="110"/>
      <c r="F9" s="110"/>
      <c r="G9" s="110"/>
      <c r="H9" s="110"/>
      <c r="I9" s="110"/>
      <c r="J9" s="110"/>
      <c r="K9" s="111"/>
    </row>
    <row r="10" spans="1:76" ht="14.5" x14ac:dyDescent="0.35">
      <c r="A10" s="5" t="s">
        <v>18</v>
      </c>
      <c r="B10" s="6" t="s">
        <v>19</v>
      </c>
      <c r="C10" s="112" t="s">
        <v>20</v>
      </c>
      <c r="D10" s="113"/>
      <c r="E10" s="6" t="s">
        <v>21</v>
      </c>
      <c r="F10" s="7" t="s">
        <v>22</v>
      </c>
      <c r="G10" s="8" t="s">
        <v>23</v>
      </c>
      <c r="H10" s="102" t="s">
        <v>24</v>
      </c>
      <c r="I10" s="103"/>
      <c r="J10" s="104"/>
      <c r="K10" s="9" t="s">
        <v>25</v>
      </c>
      <c r="BK10" s="10" t="s">
        <v>26</v>
      </c>
      <c r="BL10" s="11" t="s">
        <v>27</v>
      </c>
      <c r="BW10" s="11" t="s">
        <v>28</v>
      </c>
    </row>
    <row r="11" spans="1:76" ht="14.5" x14ac:dyDescent="0.35">
      <c r="A11" s="12" t="s">
        <v>3</v>
      </c>
      <c r="B11" s="13" t="s">
        <v>3</v>
      </c>
      <c r="C11" s="100" t="s">
        <v>29</v>
      </c>
      <c r="D11" s="101"/>
      <c r="E11" s="13" t="s">
        <v>3</v>
      </c>
      <c r="F11" s="13" t="s">
        <v>3</v>
      </c>
      <c r="G11" s="14" t="s">
        <v>30</v>
      </c>
      <c r="H11" s="15" t="s">
        <v>31</v>
      </c>
      <c r="I11" s="16" t="s">
        <v>32</v>
      </c>
      <c r="J11" s="17" t="s">
        <v>33</v>
      </c>
      <c r="K11" s="18" t="s">
        <v>34</v>
      </c>
      <c r="Z11" s="10" t="s">
        <v>35</v>
      </c>
      <c r="AA11" s="10" t="s">
        <v>36</v>
      </c>
      <c r="AB11" s="10" t="s">
        <v>37</v>
      </c>
      <c r="AC11" s="10" t="s">
        <v>38</v>
      </c>
      <c r="AD11" s="10" t="s">
        <v>39</v>
      </c>
      <c r="AE11" s="10" t="s">
        <v>40</v>
      </c>
      <c r="AF11" s="10" t="s">
        <v>41</v>
      </c>
      <c r="AG11" s="10" t="s">
        <v>42</v>
      </c>
      <c r="AH11" s="10" t="s">
        <v>43</v>
      </c>
      <c r="BH11" s="10" t="s">
        <v>44</v>
      </c>
      <c r="BI11" s="10" t="s">
        <v>45</v>
      </c>
      <c r="BJ11" s="10" t="s">
        <v>46</v>
      </c>
    </row>
    <row r="12" spans="1:76" ht="14.5" x14ac:dyDescent="0.35">
      <c r="A12" s="19" t="s">
        <v>47</v>
      </c>
      <c r="B12" s="20" t="s">
        <v>47</v>
      </c>
      <c r="C12" s="105" t="s">
        <v>48</v>
      </c>
      <c r="D12" s="106"/>
      <c r="E12" s="21" t="s">
        <v>3</v>
      </c>
      <c r="F12" s="21" t="s">
        <v>3</v>
      </c>
      <c r="G12" s="21" t="s">
        <v>3</v>
      </c>
      <c r="H12" s="22">
        <f>H13+H18+H21+H30+H33+H38+H41+H45+H48+H61+H64</f>
        <v>0</v>
      </c>
      <c r="I12" s="22">
        <f>I13+I18+I21+I30+I33+I38+I41+I45+I48+I61+I64</f>
        <v>0</v>
      </c>
      <c r="J12" s="22">
        <f>J13+J18+J21+J30+J33+J38+J41+J45+J48+J61+J64</f>
        <v>0</v>
      </c>
      <c r="K12" s="23" t="s">
        <v>47</v>
      </c>
    </row>
    <row r="13" spans="1:76" ht="14.5" x14ac:dyDescent="0.35">
      <c r="A13" s="24" t="s">
        <v>47</v>
      </c>
      <c r="B13" s="25" t="s">
        <v>49</v>
      </c>
      <c r="C13" s="96" t="s">
        <v>50</v>
      </c>
      <c r="D13" s="97"/>
      <c r="E13" s="26" t="s">
        <v>3</v>
      </c>
      <c r="F13" s="26" t="s">
        <v>3</v>
      </c>
      <c r="G13" s="26" t="s">
        <v>3</v>
      </c>
      <c r="H13" s="1">
        <f>SUM(H14:H16)</f>
        <v>0</v>
      </c>
      <c r="I13" s="1">
        <f>SUM(I14:I16)</f>
        <v>0</v>
      </c>
      <c r="J13" s="1">
        <f>SUM(J14:J16)</f>
        <v>0</v>
      </c>
      <c r="K13" s="27" t="s">
        <v>47</v>
      </c>
      <c r="AI13" s="10" t="s">
        <v>51</v>
      </c>
      <c r="AS13" s="1">
        <f>SUM(AJ14:AJ16)</f>
        <v>0</v>
      </c>
      <c r="AT13" s="1">
        <f>SUM(AK14:AK16)</f>
        <v>0</v>
      </c>
      <c r="AU13" s="1">
        <f>SUM(AL14:AL16)</f>
        <v>0</v>
      </c>
    </row>
    <row r="14" spans="1:76" ht="14.5" x14ac:dyDescent="0.35">
      <c r="A14" s="28" t="s">
        <v>51</v>
      </c>
      <c r="B14" s="29" t="s">
        <v>52</v>
      </c>
      <c r="C14" s="88" t="s">
        <v>53</v>
      </c>
      <c r="D14" s="89"/>
      <c r="E14" s="29" t="s">
        <v>54</v>
      </c>
      <c r="F14" s="31">
        <v>200</v>
      </c>
      <c r="G14" s="31">
        <v>0</v>
      </c>
      <c r="H14" s="31">
        <f>ROUND(F14*AO14,2)</f>
        <v>0</v>
      </c>
      <c r="I14" s="31">
        <f>ROUND(F14*AP14,2)</f>
        <v>0</v>
      </c>
      <c r="J14" s="31">
        <f>ROUND(F14*G14,2)</f>
        <v>0</v>
      </c>
      <c r="K14" s="32" t="s">
        <v>306</v>
      </c>
      <c r="Z14" s="33">
        <f>ROUND(IF(AQ14="5",BJ14,0),2)</f>
        <v>0</v>
      </c>
      <c r="AB14" s="33">
        <f>ROUND(IF(AQ14="1",BH14,0),2)</f>
        <v>0</v>
      </c>
      <c r="AC14" s="33">
        <f>ROUND(IF(AQ14="1",BI14,0),2)</f>
        <v>0</v>
      </c>
      <c r="AD14" s="33">
        <f>ROUND(IF(AQ14="7",BH14,0),2)</f>
        <v>0</v>
      </c>
      <c r="AE14" s="33">
        <f>ROUND(IF(AQ14="7",BI14,0),2)</f>
        <v>0</v>
      </c>
      <c r="AF14" s="33">
        <f>ROUND(IF(AQ14="2",BH14,0),2)</f>
        <v>0</v>
      </c>
      <c r="AG14" s="33">
        <f>ROUND(IF(AQ14="2",BI14,0),2)</f>
        <v>0</v>
      </c>
      <c r="AH14" s="33">
        <f>ROUND(IF(AQ14="0",BJ14,0),2)</f>
        <v>0</v>
      </c>
      <c r="AI14" s="10" t="s">
        <v>51</v>
      </c>
      <c r="AJ14" s="31">
        <f>IF(AN14=0,J14,0)</f>
        <v>0</v>
      </c>
      <c r="AK14" s="31">
        <f>IF(AN14=12,J14,0)</f>
        <v>0</v>
      </c>
      <c r="AL14" s="31">
        <f>IF(AN14=21,J14,0)</f>
        <v>0</v>
      </c>
      <c r="AN14" s="33">
        <v>21</v>
      </c>
      <c r="AO14" s="33">
        <f>G14*0</f>
        <v>0</v>
      </c>
      <c r="AP14" s="33">
        <f>G14*(1-0)</f>
        <v>0</v>
      </c>
      <c r="AQ14" s="34" t="s">
        <v>51</v>
      </c>
      <c r="AV14" s="33">
        <f>ROUND(AW14+AX14,2)</f>
        <v>0</v>
      </c>
      <c r="AW14" s="33">
        <f>ROUND(F14*AO14,2)</f>
        <v>0</v>
      </c>
      <c r="AX14" s="33">
        <f>ROUND(F14*AP14,2)</f>
        <v>0</v>
      </c>
      <c r="AY14" s="35" t="s">
        <v>55</v>
      </c>
      <c r="AZ14" s="35" t="s">
        <v>56</v>
      </c>
      <c r="BA14" s="10" t="s">
        <v>57</v>
      </c>
      <c r="BC14" s="33">
        <f>AW14+AX14</f>
        <v>0</v>
      </c>
      <c r="BD14" s="33">
        <f>G14/(100-BE14)*100</f>
        <v>0</v>
      </c>
      <c r="BE14" s="33">
        <v>0</v>
      </c>
      <c r="BF14" s="33">
        <f>14</f>
        <v>14</v>
      </c>
      <c r="BH14" s="31">
        <f>F14*AO14</f>
        <v>0</v>
      </c>
      <c r="BI14" s="31">
        <f>F14*AP14</f>
        <v>0</v>
      </c>
      <c r="BJ14" s="31">
        <f>F14*G14</f>
        <v>0</v>
      </c>
      <c r="BK14" s="34" t="s">
        <v>58</v>
      </c>
      <c r="BL14" s="33">
        <v>11</v>
      </c>
      <c r="BW14" s="33">
        <v>21</v>
      </c>
      <c r="BX14" s="30" t="s">
        <v>53</v>
      </c>
    </row>
    <row r="15" spans="1:76" ht="14.5" x14ac:dyDescent="0.35">
      <c r="A15" s="36"/>
      <c r="C15" s="37" t="s">
        <v>59</v>
      </c>
      <c r="D15" s="38" t="s">
        <v>47</v>
      </c>
      <c r="F15" s="39">
        <v>200</v>
      </c>
      <c r="K15" s="40"/>
    </row>
    <row r="16" spans="1:76" ht="14.5" x14ac:dyDescent="0.35">
      <c r="A16" s="28" t="s">
        <v>60</v>
      </c>
      <c r="B16" s="29" t="s">
        <v>61</v>
      </c>
      <c r="C16" s="88" t="s">
        <v>62</v>
      </c>
      <c r="D16" s="89"/>
      <c r="E16" s="29" t="s">
        <v>54</v>
      </c>
      <c r="F16" s="31">
        <v>25</v>
      </c>
      <c r="G16" s="31">
        <v>0</v>
      </c>
      <c r="H16" s="31">
        <f>ROUND(F16*AO16,2)</f>
        <v>0</v>
      </c>
      <c r="I16" s="31">
        <f>ROUND(F16*AP16,2)</f>
        <v>0</v>
      </c>
      <c r="J16" s="31">
        <f>ROUND(F16*G16,2)</f>
        <v>0</v>
      </c>
      <c r="K16" s="32" t="s">
        <v>306</v>
      </c>
      <c r="Z16" s="33">
        <f>ROUND(IF(AQ16="5",BJ16,0),2)</f>
        <v>0</v>
      </c>
      <c r="AB16" s="33">
        <f>ROUND(IF(AQ16="1",BH16,0),2)</f>
        <v>0</v>
      </c>
      <c r="AC16" s="33">
        <f>ROUND(IF(AQ16="1",BI16,0),2)</f>
        <v>0</v>
      </c>
      <c r="AD16" s="33">
        <f>ROUND(IF(AQ16="7",BH16,0),2)</f>
        <v>0</v>
      </c>
      <c r="AE16" s="33">
        <f>ROUND(IF(AQ16="7",BI16,0),2)</f>
        <v>0</v>
      </c>
      <c r="AF16" s="33">
        <f>ROUND(IF(AQ16="2",BH16,0),2)</f>
        <v>0</v>
      </c>
      <c r="AG16" s="33">
        <f>ROUND(IF(AQ16="2",BI16,0),2)</f>
        <v>0</v>
      </c>
      <c r="AH16" s="33">
        <f>ROUND(IF(AQ16="0",BJ16,0),2)</f>
        <v>0</v>
      </c>
      <c r="AI16" s="10" t="s">
        <v>51</v>
      </c>
      <c r="AJ16" s="31">
        <f>IF(AN16=0,J16,0)</f>
        <v>0</v>
      </c>
      <c r="AK16" s="31">
        <f>IF(AN16=12,J16,0)</f>
        <v>0</v>
      </c>
      <c r="AL16" s="31">
        <f>IF(AN16=21,J16,0)</f>
        <v>0</v>
      </c>
      <c r="AN16" s="33">
        <v>21</v>
      </c>
      <c r="AO16" s="33">
        <f>G16*0</f>
        <v>0</v>
      </c>
      <c r="AP16" s="33">
        <f>G16*(1-0)</f>
        <v>0</v>
      </c>
      <c r="AQ16" s="34" t="s">
        <v>51</v>
      </c>
      <c r="AV16" s="33">
        <f>ROUND(AW16+AX16,2)</f>
        <v>0</v>
      </c>
      <c r="AW16" s="33">
        <f>ROUND(F16*AO16,2)</f>
        <v>0</v>
      </c>
      <c r="AX16" s="33">
        <f>ROUND(F16*AP16,2)</f>
        <v>0</v>
      </c>
      <c r="AY16" s="35" t="s">
        <v>55</v>
      </c>
      <c r="AZ16" s="35" t="s">
        <v>56</v>
      </c>
      <c r="BA16" s="10" t="s">
        <v>57</v>
      </c>
      <c r="BC16" s="33">
        <f>AW16+AX16</f>
        <v>0</v>
      </c>
      <c r="BD16" s="33">
        <f>G16/(100-BE16)*100</f>
        <v>0</v>
      </c>
      <c r="BE16" s="33">
        <v>0</v>
      </c>
      <c r="BF16" s="33">
        <f>16</f>
        <v>16</v>
      </c>
      <c r="BH16" s="31">
        <f>F16*AO16</f>
        <v>0</v>
      </c>
      <c r="BI16" s="31">
        <f>F16*AP16</f>
        <v>0</v>
      </c>
      <c r="BJ16" s="31">
        <f>F16*G16</f>
        <v>0</v>
      </c>
      <c r="BK16" s="34" t="s">
        <v>58</v>
      </c>
      <c r="BL16" s="33">
        <v>11</v>
      </c>
      <c r="BW16" s="33">
        <v>21</v>
      </c>
      <c r="BX16" s="30" t="s">
        <v>62</v>
      </c>
    </row>
    <row r="17" spans="1:76" ht="14.5" x14ac:dyDescent="0.35">
      <c r="A17" s="36"/>
      <c r="C17" s="37" t="s">
        <v>63</v>
      </c>
      <c r="D17" s="38" t="s">
        <v>300</v>
      </c>
      <c r="F17" s="39">
        <v>25</v>
      </c>
      <c r="K17" s="40"/>
    </row>
    <row r="18" spans="1:76" ht="14.5" x14ac:dyDescent="0.35">
      <c r="A18" s="24" t="s">
        <v>47</v>
      </c>
      <c r="B18" s="25" t="s">
        <v>64</v>
      </c>
      <c r="C18" s="96" t="s">
        <v>65</v>
      </c>
      <c r="D18" s="97"/>
      <c r="E18" s="26" t="s">
        <v>3</v>
      </c>
      <c r="F18" s="26" t="s">
        <v>3</v>
      </c>
      <c r="G18" s="26" t="s">
        <v>3</v>
      </c>
      <c r="H18" s="1">
        <f>SUM(H19:H19)</f>
        <v>0</v>
      </c>
      <c r="I18" s="1">
        <f>SUM(I19:I19)</f>
        <v>0</v>
      </c>
      <c r="J18" s="1">
        <f>SUM(J19:J19)</f>
        <v>0</v>
      </c>
      <c r="K18" s="27" t="s">
        <v>47</v>
      </c>
      <c r="AI18" s="10" t="s">
        <v>51</v>
      </c>
      <c r="AS18" s="1">
        <f>SUM(AJ19:AJ19)</f>
        <v>0</v>
      </c>
      <c r="AT18" s="1">
        <f>SUM(AK19:AK19)</f>
        <v>0</v>
      </c>
      <c r="AU18" s="1">
        <f>SUM(AL19:AL19)</f>
        <v>0</v>
      </c>
    </row>
    <row r="19" spans="1:76" ht="14.5" x14ac:dyDescent="0.35">
      <c r="A19" s="28" t="s">
        <v>66</v>
      </c>
      <c r="B19" s="29" t="s">
        <v>67</v>
      </c>
      <c r="C19" s="88" t="s">
        <v>68</v>
      </c>
      <c r="D19" s="89"/>
      <c r="E19" s="29" t="s">
        <v>69</v>
      </c>
      <c r="F19" s="31">
        <v>7.5</v>
      </c>
      <c r="G19" s="31">
        <v>0</v>
      </c>
      <c r="H19" s="31">
        <f>ROUND(F19*AO19,2)</f>
        <v>0</v>
      </c>
      <c r="I19" s="31">
        <f>ROUND(F19*AP19,2)</f>
        <v>0</v>
      </c>
      <c r="J19" s="31">
        <f>ROUND(F19*G19,2)</f>
        <v>0</v>
      </c>
      <c r="K19" s="32" t="s">
        <v>306</v>
      </c>
      <c r="Z19" s="33">
        <f>ROUND(IF(AQ19="5",BJ19,0),2)</f>
        <v>0</v>
      </c>
      <c r="AB19" s="33">
        <f>ROUND(IF(AQ19="1",BH19,0),2)</f>
        <v>0</v>
      </c>
      <c r="AC19" s="33">
        <f>ROUND(IF(AQ19="1",BI19,0),2)</f>
        <v>0</v>
      </c>
      <c r="AD19" s="33">
        <f>ROUND(IF(AQ19="7",BH19,0),2)</f>
        <v>0</v>
      </c>
      <c r="AE19" s="33">
        <f>ROUND(IF(AQ19="7",BI19,0),2)</f>
        <v>0</v>
      </c>
      <c r="AF19" s="33">
        <f>ROUND(IF(AQ19="2",BH19,0),2)</f>
        <v>0</v>
      </c>
      <c r="AG19" s="33">
        <f>ROUND(IF(AQ19="2",BI19,0),2)</f>
        <v>0</v>
      </c>
      <c r="AH19" s="33">
        <f>ROUND(IF(AQ19="0",BJ19,0),2)</f>
        <v>0</v>
      </c>
      <c r="AI19" s="10" t="s">
        <v>51</v>
      </c>
      <c r="AJ19" s="31">
        <f>IF(AN19=0,J19,0)</f>
        <v>0</v>
      </c>
      <c r="AK19" s="31">
        <f>IF(AN19=12,J19,0)</f>
        <v>0</v>
      </c>
      <c r="AL19" s="31">
        <f>IF(AN19=21,J19,0)</f>
        <v>0</v>
      </c>
      <c r="AN19" s="33">
        <v>21</v>
      </c>
      <c r="AO19" s="33">
        <f>G19*0</f>
        <v>0</v>
      </c>
      <c r="AP19" s="33">
        <f>G19*(1-0)</f>
        <v>0</v>
      </c>
      <c r="AQ19" s="34" t="s">
        <v>51</v>
      </c>
      <c r="AV19" s="33">
        <f>ROUND(AW19+AX19,2)</f>
        <v>0</v>
      </c>
      <c r="AW19" s="33">
        <f>ROUND(F19*AO19,2)</f>
        <v>0</v>
      </c>
      <c r="AX19" s="33">
        <f>ROUND(F19*AP19,2)</f>
        <v>0</v>
      </c>
      <c r="AY19" s="35" t="s">
        <v>70</v>
      </c>
      <c r="AZ19" s="35" t="s">
        <v>56</v>
      </c>
      <c r="BA19" s="10" t="s">
        <v>57</v>
      </c>
      <c r="BC19" s="33">
        <f>AW19+AX19</f>
        <v>0</v>
      </c>
      <c r="BD19" s="33">
        <f>G19/(100-BE19)*100</f>
        <v>0</v>
      </c>
      <c r="BE19" s="33">
        <v>0</v>
      </c>
      <c r="BF19" s="33">
        <f>19</f>
        <v>19</v>
      </c>
      <c r="BH19" s="31">
        <f>F19*AO19</f>
        <v>0</v>
      </c>
      <c r="BI19" s="31">
        <f>F19*AP19</f>
        <v>0</v>
      </c>
      <c r="BJ19" s="31">
        <f>F19*G19</f>
        <v>0</v>
      </c>
      <c r="BK19" s="34" t="s">
        <v>58</v>
      </c>
      <c r="BL19" s="33">
        <v>12</v>
      </c>
      <c r="BW19" s="33">
        <v>21</v>
      </c>
      <c r="BX19" s="30" t="s">
        <v>68</v>
      </c>
    </row>
    <row r="20" spans="1:76" ht="14.5" x14ac:dyDescent="0.35">
      <c r="A20" s="36"/>
      <c r="C20" s="37" t="s">
        <v>71</v>
      </c>
      <c r="D20" s="38" t="s">
        <v>301</v>
      </c>
      <c r="F20" s="39">
        <v>7.5</v>
      </c>
      <c r="K20" s="40"/>
    </row>
    <row r="21" spans="1:76" ht="14.5" x14ac:dyDescent="0.35">
      <c r="A21" s="24" t="s">
        <v>47</v>
      </c>
      <c r="B21" s="25" t="s">
        <v>72</v>
      </c>
      <c r="C21" s="96" t="s">
        <v>73</v>
      </c>
      <c r="D21" s="97"/>
      <c r="E21" s="26" t="s">
        <v>3</v>
      </c>
      <c r="F21" s="26" t="s">
        <v>3</v>
      </c>
      <c r="G21" s="26" t="s">
        <v>3</v>
      </c>
      <c r="H21" s="1">
        <f>SUM(H22:H28)</f>
        <v>0</v>
      </c>
      <c r="I21" s="1">
        <f>SUM(I22:I28)</f>
        <v>0</v>
      </c>
      <c r="J21" s="1">
        <f>SUM(J22:J28)</f>
        <v>0</v>
      </c>
      <c r="K21" s="27" t="s">
        <v>47</v>
      </c>
      <c r="AI21" s="10" t="s">
        <v>51</v>
      </c>
      <c r="AS21" s="1">
        <f>SUM(AJ22:AJ28)</f>
        <v>0</v>
      </c>
      <c r="AT21" s="1">
        <f>SUM(AK22:AK28)</f>
        <v>0</v>
      </c>
      <c r="AU21" s="1">
        <f>SUM(AL22:AL28)</f>
        <v>0</v>
      </c>
    </row>
    <row r="22" spans="1:76" ht="14.5" x14ac:dyDescent="0.35">
      <c r="A22" s="28" t="s">
        <v>74</v>
      </c>
      <c r="B22" s="29" t="s">
        <v>75</v>
      </c>
      <c r="C22" s="88" t="s">
        <v>76</v>
      </c>
      <c r="D22" s="89"/>
      <c r="E22" s="29" t="s">
        <v>69</v>
      </c>
      <c r="F22" s="31">
        <v>6.5</v>
      </c>
      <c r="G22" s="31">
        <v>0</v>
      </c>
      <c r="H22" s="31">
        <f>ROUND(F22*AO22,2)</f>
        <v>0</v>
      </c>
      <c r="I22" s="31">
        <f>ROUND(F22*AP22,2)</f>
        <v>0</v>
      </c>
      <c r="J22" s="31">
        <f>ROUND(F22*G22,2)</f>
        <v>0</v>
      </c>
      <c r="K22" s="32" t="s">
        <v>306</v>
      </c>
      <c r="Z22" s="33">
        <f>ROUND(IF(AQ22="5",BJ22,0),2)</f>
        <v>0</v>
      </c>
      <c r="AB22" s="33">
        <f>ROUND(IF(AQ22="1",BH22,0),2)</f>
        <v>0</v>
      </c>
      <c r="AC22" s="33">
        <f>ROUND(IF(AQ22="1",BI22,0),2)</f>
        <v>0</v>
      </c>
      <c r="AD22" s="33">
        <f>ROUND(IF(AQ22="7",BH22,0),2)</f>
        <v>0</v>
      </c>
      <c r="AE22" s="33">
        <f>ROUND(IF(AQ22="7",BI22,0),2)</f>
        <v>0</v>
      </c>
      <c r="AF22" s="33">
        <f>ROUND(IF(AQ22="2",BH22,0),2)</f>
        <v>0</v>
      </c>
      <c r="AG22" s="33">
        <f>ROUND(IF(AQ22="2",BI22,0),2)</f>
        <v>0</v>
      </c>
      <c r="AH22" s="33">
        <f>ROUND(IF(AQ22="0",BJ22,0),2)</f>
        <v>0</v>
      </c>
      <c r="AI22" s="10" t="s">
        <v>51</v>
      </c>
      <c r="AJ22" s="31">
        <f>IF(AN22=0,J22,0)</f>
        <v>0</v>
      </c>
      <c r="AK22" s="31">
        <f>IF(AN22=12,J22,0)</f>
        <v>0</v>
      </c>
      <c r="AL22" s="31">
        <f>IF(AN22=21,J22,0)</f>
        <v>0</v>
      </c>
      <c r="AN22" s="33">
        <v>21</v>
      </c>
      <c r="AO22" s="33">
        <f>G22*0</f>
        <v>0</v>
      </c>
      <c r="AP22" s="33">
        <f>G22*(1-0)</f>
        <v>0</v>
      </c>
      <c r="AQ22" s="34" t="s">
        <v>51</v>
      </c>
      <c r="AV22" s="33">
        <f>ROUND(AW22+AX22,2)</f>
        <v>0</v>
      </c>
      <c r="AW22" s="33">
        <f>ROUND(F22*AO22,2)</f>
        <v>0</v>
      </c>
      <c r="AX22" s="33">
        <f>ROUND(F22*AP22,2)</f>
        <v>0</v>
      </c>
      <c r="AY22" s="35" t="s">
        <v>77</v>
      </c>
      <c r="AZ22" s="35" t="s">
        <v>56</v>
      </c>
      <c r="BA22" s="10" t="s">
        <v>57</v>
      </c>
      <c r="BC22" s="33">
        <f>AW22+AX22</f>
        <v>0</v>
      </c>
      <c r="BD22" s="33">
        <f>G22/(100-BE22)*100</f>
        <v>0</v>
      </c>
      <c r="BE22" s="33">
        <v>0</v>
      </c>
      <c r="BF22" s="33">
        <f>22</f>
        <v>22</v>
      </c>
      <c r="BH22" s="31">
        <f>F22*AO22</f>
        <v>0</v>
      </c>
      <c r="BI22" s="31">
        <f>F22*AP22</f>
        <v>0</v>
      </c>
      <c r="BJ22" s="31">
        <f>F22*G22</f>
        <v>0</v>
      </c>
      <c r="BK22" s="34" t="s">
        <v>58</v>
      </c>
      <c r="BL22" s="33">
        <v>13</v>
      </c>
      <c r="BW22" s="33">
        <v>21</v>
      </c>
      <c r="BX22" s="30" t="s">
        <v>76</v>
      </c>
    </row>
    <row r="23" spans="1:76" ht="14.5" x14ac:dyDescent="0.35">
      <c r="A23" s="36"/>
      <c r="C23" s="37" t="s">
        <v>78</v>
      </c>
      <c r="D23" s="38" t="s">
        <v>79</v>
      </c>
      <c r="F23" s="39">
        <v>6.5</v>
      </c>
      <c r="K23" s="40"/>
    </row>
    <row r="24" spans="1:76" ht="14.5" x14ac:dyDescent="0.35">
      <c r="A24" s="28" t="s">
        <v>80</v>
      </c>
      <c r="B24" s="29" t="s">
        <v>81</v>
      </c>
      <c r="C24" s="88" t="s">
        <v>82</v>
      </c>
      <c r="D24" s="89"/>
      <c r="E24" s="29" t="s">
        <v>69</v>
      </c>
      <c r="F24" s="31">
        <v>3.25</v>
      </c>
      <c r="G24" s="31">
        <v>0</v>
      </c>
      <c r="H24" s="31">
        <f>ROUND(F24*AO24,2)</f>
        <v>0</v>
      </c>
      <c r="I24" s="31">
        <f>ROUND(F24*AP24,2)</f>
        <v>0</v>
      </c>
      <c r="J24" s="31">
        <f>ROUND(F24*G24,2)</f>
        <v>0</v>
      </c>
      <c r="K24" s="32" t="s">
        <v>306</v>
      </c>
      <c r="Z24" s="33">
        <f>ROUND(IF(AQ24="5",BJ24,0),2)</f>
        <v>0</v>
      </c>
      <c r="AB24" s="33">
        <f>ROUND(IF(AQ24="1",BH24,0),2)</f>
        <v>0</v>
      </c>
      <c r="AC24" s="33">
        <f>ROUND(IF(AQ24="1",BI24,0),2)</f>
        <v>0</v>
      </c>
      <c r="AD24" s="33">
        <f>ROUND(IF(AQ24="7",BH24,0),2)</f>
        <v>0</v>
      </c>
      <c r="AE24" s="33">
        <f>ROUND(IF(AQ24="7",BI24,0),2)</f>
        <v>0</v>
      </c>
      <c r="AF24" s="33">
        <f>ROUND(IF(AQ24="2",BH24,0),2)</f>
        <v>0</v>
      </c>
      <c r="AG24" s="33">
        <f>ROUND(IF(AQ24="2",BI24,0),2)</f>
        <v>0</v>
      </c>
      <c r="AH24" s="33">
        <f>ROUND(IF(AQ24="0",BJ24,0),2)</f>
        <v>0</v>
      </c>
      <c r="AI24" s="10" t="s">
        <v>51</v>
      </c>
      <c r="AJ24" s="31">
        <f>IF(AN24=0,J24,0)</f>
        <v>0</v>
      </c>
      <c r="AK24" s="31">
        <f>IF(AN24=12,J24,0)</f>
        <v>0</v>
      </c>
      <c r="AL24" s="31">
        <f>IF(AN24=21,J24,0)</f>
        <v>0</v>
      </c>
      <c r="AN24" s="33">
        <v>21</v>
      </c>
      <c r="AO24" s="33">
        <f>G24*0</f>
        <v>0</v>
      </c>
      <c r="AP24" s="33">
        <f>G24*(1-0)</f>
        <v>0</v>
      </c>
      <c r="AQ24" s="34" t="s">
        <v>51</v>
      </c>
      <c r="AV24" s="33">
        <f>ROUND(AW24+AX24,2)</f>
        <v>0</v>
      </c>
      <c r="AW24" s="33">
        <f>ROUND(F24*AO24,2)</f>
        <v>0</v>
      </c>
      <c r="AX24" s="33">
        <f>ROUND(F24*AP24,2)</f>
        <v>0</v>
      </c>
      <c r="AY24" s="35" t="s">
        <v>77</v>
      </c>
      <c r="AZ24" s="35" t="s">
        <v>56</v>
      </c>
      <c r="BA24" s="10" t="s">
        <v>57</v>
      </c>
      <c r="BC24" s="33">
        <f>AW24+AX24</f>
        <v>0</v>
      </c>
      <c r="BD24" s="33">
        <f>G24/(100-BE24)*100</f>
        <v>0</v>
      </c>
      <c r="BE24" s="33">
        <v>0</v>
      </c>
      <c r="BF24" s="33">
        <f>24</f>
        <v>24</v>
      </c>
      <c r="BH24" s="31">
        <f>F24*AO24</f>
        <v>0</v>
      </c>
      <c r="BI24" s="31">
        <f>F24*AP24</f>
        <v>0</v>
      </c>
      <c r="BJ24" s="31">
        <f>F24*G24</f>
        <v>0</v>
      </c>
      <c r="BK24" s="34" t="s">
        <v>58</v>
      </c>
      <c r="BL24" s="33">
        <v>13</v>
      </c>
      <c r="BW24" s="33">
        <v>21</v>
      </c>
      <c r="BX24" s="30" t="s">
        <v>82</v>
      </c>
    </row>
    <row r="25" spans="1:76" ht="14.5" x14ac:dyDescent="0.35">
      <c r="A25" s="36"/>
      <c r="C25" s="37" t="s">
        <v>83</v>
      </c>
      <c r="D25" s="38" t="s">
        <v>47</v>
      </c>
      <c r="F25" s="39">
        <v>3.25</v>
      </c>
      <c r="K25" s="40"/>
    </row>
    <row r="26" spans="1:76" ht="14.5" x14ac:dyDescent="0.35">
      <c r="A26" s="28" t="s">
        <v>84</v>
      </c>
      <c r="B26" s="29" t="s">
        <v>85</v>
      </c>
      <c r="C26" s="88" t="s">
        <v>86</v>
      </c>
      <c r="D26" s="89"/>
      <c r="E26" s="29" t="s">
        <v>69</v>
      </c>
      <c r="F26" s="31">
        <v>2.1190000000000002</v>
      </c>
      <c r="G26" s="31">
        <v>0</v>
      </c>
      <c r="H26" s="31">
        <f>ROUND(F26*AO26,2)</f>
        <v>0</v>
      </c>
      <c r="I26" s="31">
        <f>ROUND(F26*AP26,2)</f>
        <v>0</v>
      </c>
      <c r="J26" s="31">
        <f>ROUND(F26*G26,2)</f>
        <v>0</v>
      </c>
      <c r="K26" s="32" t="s">
        <v>306</v>
      </c>
      <c r="Z26" s="33">
        <f>ROUND(IF(AQ26="5",BJ26,0),2)</f>
        <v>0</v>
      </c>
      <c r="AB26" s="33">
        <f>ROUND(IF(AQ26="1",BH26,0),2)</f>
        <v>0</v>
      </c>
      <c r="AC26" s="33">
        <f>ROUND(IF(AQ26="1",BI26,0),2)</f>
        <v>0</v>
      </c>
      <c r="AD26" s="33">
        <f>ROUND(IF(AQ26="7",BH26,0),2)</f>
        <v>0</v>
      </c>
      <c r="AE26" s="33">
        <f>ROUND(IF(AQ26="7",BI26,0),2)</f>
        <v>0</v>
      </c>
      <c r="AF26" s="33">
        <f>ROUND(IF(AQ26="2",BH26,0),2)</f>
        <v>0</v>
      </c>
      <c r="AG26" s="33">
        <f>ROUND(IF(AQ26="2",BI26,0),2)</f>
        <v>0</v>
      </c>
      <c r="AH26" s="33">
        <f>ROUND(IF(AQ26="0",BJ26,0),2)</f>
        <v>0</v>
      </c>
      <c r="AI26" s="10" t="s">
        <v>51</v>
      </c>
      <c r="AJ26" s="31">
        <f>IF(AN26=0,J26,0)</f>
        <v>0</v>
      </c>
      <c r="AK26" s="31">
        <f>IF(AN26=12,J26,0)</f>
        <v>0</v>
      </c>
      <c r="AL26" s="31">
        <f>IF(AN26=21,J26,0)</f>
        <v>0</v>
      </c>
      <c r="AN26" s="33">
        <v>21</v>
      </c>
      <c r="AO26" s="33">
        <f>G26*0</f>
        <v>0</v>
      </c>
      <c r="AP26" s="33">
        <f>G26*(1-0)</f>
        <v>0</v>
      </c>
      <c r="AQ26" s="34" t="s">
        <v>51</v>
      </c>
      <c r="AV26" s="33">
        <f>ROUND(AW26+AX26,2)</f>
        <v>0</v>
      </c>
      <c r="AW26" s="33">
        <f>ROUND(F26*AO26,2)</f>
        <v>0</v>
      </c>
      <c r="AX26" s="33">
        <f>ROUND(F26*AP26,2)</f>
        <v>0</v>
      </c>
      <c r="AY26" s="35" t="s">
        <v>77</v>
      </c>
      <c r="AZ26" s="35" t="s">
        <v>56</v>
      </c>
      <c r="BA26" s="10" t="s">
        <v>57</v>
      </c>
      <c r="BC26" s="33">
        <f>AW26+AX26</f>
        <v>0</v>
      </c>
      <c r="BD26" s="33">
        <f>G26/(100-BE26)*100</f>
        <v>0</v>
      </c>
      <c r="BE26" s="33">
        <v>0</v>
      </c>
      <c r="BF26" s="33">
        <f>26</f>
        <v>26</v>
      </c>
      <c r="BH26" s="31">
        <f>F26*AO26</f>
        <v>0</v>
      </c>
      <c r="BI26" s="31">
        <f>F26*AP26</f>
        <v>0</v>
      </c>
      <c r="BJ26" s="31">
        <f>F26*G26</f>
        <v>0</v>
      </c>
      <c r="BK26" s="34" t="s">
        <v>58</v>
      </c>
      <c r="BL26" s="33">
        <v>13</v>
      </c>
      <c r="BW26" s="33">
        <v>21</v>
      </c>
      <c r="BX26" s="30" t="s">
        <v>86</v>
      </c>
    </row>
    <row r="27" spans="1:76" ht="14.5" x14ac:dyDescent="0.35">
      <c r="A27" s="36"/>
      <c r="C27" s="37" t="s">
        <v>87</v>
      </c>
      <c r="D27" s="38" t="s">
        <v>88</v>
      </c>
      <c r="F27" s="39">
        <v>2.1190000000000002</v>
      </c>
      <c r="K27" s="40"/>
    </row>
    <row r="28" spans="1:76" ht="14.5" x14ac:dyDescent="0.35">
      <c r="A28" s="28" t="s">
        <v>89</v>
      </c>
      <c r="B28" s="29" t="s">
        <v>90</v>
      </c>
      <c r="C28" s="88" t="s">
        <v>91</v>
      </c>
      <c r="D28" s="89"/>
      <c r="E28" s="29" t="s">
        <v>69</v>
      </c>
      <c r="F28" s="31">
        <v>1.06</v>
      </c>
      <c r="G28" s="31">
        <v>0</v>
      </c>
      <c r="H28" s="31">
        <f>ROUND(F28*AO28,2)</f>
        <v>0</v>
      </c>
      <c r="I28" s="31">
        <f>ROUND(F28*AP28,2)</f>
        <v>0</v>
      </c>
      <c r="J28" s="31">
        <f>ROUND(F28*G28,2)</f>
        <v>0</v>
      </c>
      <c r="K28" s="32" t="s">
        <v>306</v>
      </c>
      <c r="Z28" s="33">
        <f>ROUND(IF(AQ28="5",BJ28,0),2)</f>
        <v>0</v>
      </c>
      <c r="AB28" s="33">
        <f>ROUND(IF(AQ28="1",BH28,0),2)</f>
        <v>0</v>
      </c>
      <c r="AC28" s="33">
        <f>ROUND(IF(AQ28="1",BI28,0),2)</f>
        <v>0</v>
      </c>
      <c r="AD28" s="33">
        <f>ROUND(IF(AQ28="7",BH28,0),2)</f>
        <v>0</v>
      </c>
      <c r="AE28" s="33">
        <f>ROUND(IF(AQ28="7",BI28,0),2)</f>
        <v>0</v>
      </c>
      <c r="AF28" s="33">
        <f>ROUND(IF(AQ28="2",BH28,0),2)</f>
        <v>0</v>
      </c>
      <c r="AG28" s="33">
        <f>ROUND(IF(AQ28="2",BI28,0),2)</f>
        <v>0</v>
      </c>
      <c r="AH28" s="33">
        <f>ROUND(IF(AQ28="0",BJ28,0),2)</f>
        <v>0</v>
      </c>
      <c r="AI28" s="10" t="s">
        <v>51</v>
      </c>
      <c r="AJ28" s="31">
        <f>IF(AN28=0,J28,0)</f>
        <v>0</v>
      </c>
      <c r="AK28" s="31">
        <f>IF(AN28=12,J28,0)</f>
        <v>0</v>
      </c>
      <c r="AL28" s="31">
        <f>IF(AN28=21,J28,0)</f>
        <v>0</v>
      </c>
      <c r="AN28" s="33">
        <v>21</v>
      </c>
      <c r="AO28" s="33">
        <f>G28*0</f>
        <v>0</v>
      </c>
      <c r="AP28" s="33">
        <f>G28*(1-0)</f>
        <v>0</v>
      </c>
      <c r="AQ28" s="34" t="s">
        <v>51</v>
      </c>
      <c r="AV28" s="33">
        <f>ROUND(AW28+AX28,2)</f>
        <v>0</v>
      </c>
      <c r="AW28" s="33">
        <f>ROUND(F28*AO28,2)</f>
        <v>0</v>
      </c>
      <c r="AX28" s="33">
        <f>ROUND(F28*AP28,2)</f>
        <v>0</v>
      </c>
      <c r="AY28" s="35" t="s">
        <v>77</v>
      </c>
      <c r="AZ28" s="35" t="s">
        <v>56</v>
      </c>
      <c r="BA28" s="10" t="s">
        <v>57</v>
      </c>
      <c r="BC28" s="33">
        <f>AW28+AX28</f>
        <v>0</v>
      </c>
      <c r="BD28" s="33">
        <f>G28/(100-BE28)*100</f>
        <v>0</v>
      </c>
      <c r="BE28" s="33">
        <v>0</v>
      </c>
      <c r="BF28" s="33">
        <f>28</f>
        <v>28</v>
      </c>
      <c r="BH28" s="31">
        <f>F28*AO28</f>
        <v>0</v>
      </c>
      <c r="BI28" s="31">
        <f>F28*AP28</f>
        <v>0</v>
      </c>
      <c r="BJ28" s="31">
        <f>F28*G28</f>
        <v>0</v>
      </c>
      <c r="BK28" s="34" t="s">
        <v>58</v>
      </c>
      <c r="BL28" s="33">
        <v>13</v>
      </c>
      <c r="BW28" s="33">
        <v>21</v>
      </c>
      <c r="BX28" s="30" t="s">
        <v>91</v>
      </c>
    </row>
    <row r="29" spans="1:76" ht="14.5" x14ac:dyDescent="0.35">
      <c r="A29" s="36"/>
      <c r="C29" s="37" t="s">
        <v>92</v>
      </c>
      <c r="D29" s="38" t="s">
        <v>47</v>
      </c>
      <c r="F29" s="39">
        <v>1.06</v>
      </c>
      <c r="K29" s="40"/>
    </row>
    <row r="30" spans="1:76" ht="14.5" x14ac:dyDescent="0.35">
      <c r="A30" s="24" t="s">
        <v>47</v>
      </c>
      <c r="B30" s="25" t="s">
        <v>93</v>
      </c>
      <c r="C30" s="96" t="s">
        <v>94</v>
      </c>
      <c r="D30" s="97"/>
      <c r="E30" s="26" t="s">
        <v>3</v>
      </c>
      <c r="F30" s="26" t="s">
        <v>3</v>
      </c>
      <c r="G30" s="26" t="s">
        <v>3</v>
      </c>
      <c r="H30" s="1">
        <f>SUM(H31:H31)</f>
        <v>0</v>
      </c>
      <c r="I30" s="1">
        <f>SUM(I31:I31)</f>
        <v>0</v>
      </c>
      <c r="J30" s="1">
        <f>SUM(J31:J31)</f>
        <v>0</v>
      </c>
      <c r="K30" s="27" t="s">
        <v>47</v>
      </c>
      <c r="AI30" s="10" t="s">
        <v>51</v>
      </c>
      <c r="AS30" s="1">
        <f>SUM(AJ31:AJ31)</f>
        <v>0</v>
      </c>
      <c r="AT30" s="1">
        <f>SUM(AK31:AK31)</f>
        <v>0</v>
      </c>
      <c r="AU30" s="1">
        <f>SUM(AL31:AL31)</f>
        <v>0</v>
      </c>
    </row>
    <row r="31" spans="1:76" ht="14.5" x14ac:dyDescent="0.35">
      <c r="A31" s="28" t="s">
        <v>95</v>
      </c>
      <c r="B31" s="29" t="s">
        <v>96</v>
      </c>
      <c r="C31" s="88" t="s">
        <v>97</v>
      </c>
      <c r="D31" s="89"/>
      <c r="E31" s="29" t="s">
        <v>69</v>
      </c>
      <c r="F31" s="31">
        <v>17.238</v>
      </c>
      <c r="G31" s="31">
        <v>0</v>
      </c>
      <c r="H31" s="31">
        <f>ROUND(F31*AO31,2)</f>
        <v>0</v>
      </c>
      <c r="I31" s="31">
        <f>ROUND(F31*AP31,2)</f>
        <v>0</v>
      </c>
      <c r="J31" s="31">
        <f>ROUND(F31*G31,2)</f>
        <v>0</v>
      </c>
      <c r="K31" s="32" t="s">
        <v>306</v>
      </c>
      <c r="Z31" s="33">
        <f>ROUND(IF(AQ31="5",BJ31,0),2)</f>
        <v>0</v>
      </c>
      <c r="AB31" s="33">
        <f>ROUND(IF(AQ31="1",BH31,0),2)</f>
        <v>0</v>
      </c>
      <c r="AC31" s="33">
        <f>ROUND(IF(AQ31="1",BI31,0),2)</f>
        <v>0</v>
      </c>
      <c r="AD31" s="33">
        <f>ROUND(IF(AQ31="7",BH31,0),2)</f>
        <v>0</v>
      </c>
      <c r="AE31" s="33">
        <f>ROUND(IF(AQ31="7",BI31,0),2)</f>
        <v>0</v>
      </c>
      <c r="AF31" s="33">
        <f>ROUND(IF(AQ31="2",BH31,0),2)</f>
        <v>0</v>
      </c>
      <c r="AG31" s="33">
        <f>ROUND(IF(AQ31="2",BI31,0),2)</f>
        <v>0</v>
      </c>
      <c r="AH31" s="33">
        <f>ROUND(IF(AQ31="0",BJ31,0),2)</f>
        <v>0</v>
      </c>
      <c r="AI31" s="10" t="s">
        <v>51</v>
      </c>
      <c r="AJ31" s="31">
        <f>IF(AN31=0,J31,0)</f>
        <v>0</v>
      </c>
      <c r="AK31" s="31">
        <f>IF(AN31=12,J31,0)</f>
        <v>0</v>
      </c>
      <c r="AL31" s="31">
        <f>IF(AN31=21,J31,0)</f>
        <v>0</v>
      </c>
      <c r="AN31" s="33">
        <v>21</v>
      </c>
      <c r="AO31" s="33">
        <f>G31*0</f>
        <v>0</v>
      </c>
      <c r="AP31" s="33">
        <f>G31*(1-0)</f>
        <v>0</v>
      </c>
      <c r="AQ31" s="34" t="s">
        <v>51</v>
      </c>
      <c r="AV31" s="33">
        <f>ROUND(AW31+AX31,2)</f>
        <v>0</v>
      </c>
      <c r="AW31" s="33">
        <f>ROUND(F31*AO31,2)</f>
        <v>0</v>
      </c>
      <c r="AX31" s="33">
        <f>ROUND(F31*AP31,2)</f>
        <v>0</v>
      </c>
      <c r="AY31" s="35" t="s">
        <v>98</v>
      </c>
      <c r="AZ31" s="35" t="s">
        <v>56</v>
      </c>
      <c r="BA31" s="10" t="s">
        <v>57</v>
      </c>
      <c r="BC31" s="33">
        <f>AW31+AX31</f>
        <v>0</v>
      </c>
      <c r="BD31" s="33">
        <f>G31/(100-BE31)*100</f>
        <v>0</v>
      </c>
      <c r="BE31" s="33">
        <v>0</v>
      </c>
      <c r="BF31" s="33">
        <f>31</f>
        <v>31</v>
      </c>
      <c r="BH31" s="31">
        <f>F31*AO31</f>
        <v>0</v>
      </c>
      <c r="BI31" s="31">
        <f>F31*AP31</f>
        <v>0</v>
      </c>
      <c r="BJ31" s="31">
        <f>F31*G31</f>
        <v>0</v>
      </c>
      <c r="BK31" s="34" t="s">
        <v>58</v>
      </c>
      <c r="BL31" s="33">
        <v>16</v>
      </c>
      <c r="BW31" s="33">
        <v>21</v>
      </c>
      <c r="BX31" s="30" t="s">
        <v>97</v>
      </c>
    </row>
    <row r="32" spans="1:76" ht="14.5" x14ac:dyDescent="0.35">
      <c r="A32" s="36"/>
      <c r="C32" s="37" t="s">
        <v>99</v>
      </c>
      <c r="D32" s="38" t="s">
        <v>100</v>
      </c>
      <c r="F32" s="39">
        <v>17.238</v>
      </c>
      <c r="K32" s="40"/>
    </row>
    <row r="33" spans="1:76" ht="14.5" x14ac:dyDescent="0.35">
      <c r="A33" s="24" t="s">
        <v>47</v>
      </c>
      <c r="B33" s="25" t="s">
        <v>101</v>
      </c>
      <c r="C33" s="96" t="s">
        <v>102</v>
      </c>
      <c r="D33" s="97"/>
      <c r="E33" s="26" t="s">
        <v>3</v>
      </c>
      <c r="F33" s="26" t="s">
        <v>3</v>
      </c>
      <c r="G33" s="26" t="s">
        <v>3</v>
      </c>
      <c r="H33" s="1">
        <f>SUM(H34:H36)</f>
        <v>0</v>
      </c>
      <c r="I33" s="1">
        <f>SUM(I34:I36)</f>
        <v>0</v>
      </c>
      <c r="J33" s="1">
        <f>SUM(J34:J36)</f>
        <v>0</v>
      </c>
      <c r="K33" s="27" t="s">
        <v>47</v>
      </c>
      <c r="AI33" s="10" t="s">
        <v>51</v>
      </c>
      <c r="AS33" s="1">
        <f>SUM(AJ34:AJ36)</f>
        <v>0</v>
      </c>
      <c r="AT33" s="1">
        <f>SUM(AK34:AK36)</f>
        <v>0</v>
      </c>
      <c r="AU33" s="1">
        <f>SUM(AL34:AL36)</f>
        <v>0</v>
      </c>
    </row>
    <row r="34" spans="1:76" ht="14.5" x14ac:dyDescent="0.35">
      <c r="A34" s="28" t="s">
        <v>103</v>
      </c>
      <c r="B34" s="29" t="s">
        <v>104</v>
      </c>
      <c r="C34" s="88" t="s">
        <v>105</v>
      </c>
      <c r="D34" s="89"/>
      <c r="E34" s="29" t="s">
        <v>54</v>
      </c>
      <c r="F34" s="31">
        <v>150</v>
      </c>
      <c r="G34" s="31">
        <v>0</v>
      </c>
      <c r="H34" s="31">
        <f>ROUND(F34*AO34,2)</f>
        <v>0</v>
      </c>
      <c r="I34" s="31">
        <f>ROUND(F34*AP34,2)</f>
        <v>0</v>
      </c>
      <c r="J34" s="31">
        <f>ROUND(F34*G34,2)</f>
        <v>0</v>
      </c>
      <c r="K34" s="32" t="s">
        <v>306</v>
      </c>
      <c r="Z34" s="33">
        <f>ROUND(IF(AQ34="5",BJ34,0),2)</f>
        <v>0</v>
      </c>
      <c r="AB34" s="33">
        <f>ROUND(IF(AQ34="1",BH34,0),2)</f>
        <v>0</v>
      </c>
      <c r="AC34" s="33">
        <f>ROUND(IF(AQ34="1",BI34,0),2)</f>
        <v>0</v>
      </c>
      <c r="AD34" s="33">
        <f>ROUND(IF(AQ34="7",BH34,0),2)</f>
        <v>0</v>
      </c>
      <c r="AE34" s="33">
        <f>ROUND(IF(AQ34="7",BI34,0),2)</f>
        <v>0</v>
      </c>
      <c r="AF34" s="33">
        <f>ROUND(IF(AQ34="2",BH34,0),2)</f>
        <v>0</v>
      </c>
      <c r="AG34" s="33">
        <f>ROUND(IF(AQ34="2",BI34,0),2)</f>
        <v>0</v>
      </c>
      <c r="AH34" s="33">
        <f>ROUND(IF(AQ34="0",BJ34,0),2)</f>
        <v>0</v>
      </c>
      <c r="AI34" s="10" t="s">
        <v>51</v>
      </c>
      <c r="AJ34" s="31">
        <f>IF(AN34=0,J34,0)</f>
        <v>0</v>
      </c>
      <c r="AK34" s="31">
        <f>IF(AN34=12,J34,0)</f>
        <v>0</v>
      </c>
      <c r="AL34" s="31">
        <f>IF(AN34=21,J34,0)</f>
        <v>0</v>
      </c>
      <c r="AN34" s="33">
        <v>21</v>
      </c>
      <c r="AO34" s="33">
        <f>G34*0.178571429</f>
        <v>0</v>
      </c>
      <c r="AP34" s="33">
        <f>G34*(1-0.178571429)</f>
        <v>0</v>
      </c>
      <c r="AQ34" s="34" t="s">
        <v>51</v>
      </c>
      <c r="AV34" s="33">
        <f>ROUND(AW34+AX34,2)</f>
        <v>0</v>
      </c>
      <c r="AW34" s="33">
        <f>ROUND(F34*AO34,2)</f>
        <v>0</v>
      </c>
      <c r="AX34" s="33">
        <f>ROUND(F34*AP34,2)</f>
        <v>0</v>
      </c>
      <c r="AY34" s="35" t="s">
        <v>106</v>
      </c>
      <c r="AZ34" s="35" t="s">
        <v>56</v>
      </c>
      <c r="BA34" s="10" t="s">
        <v>57</v>
      </c>
      <c r="BC34" s="33">
        <f>AW34+AX34</f>
        <v>0</v>
      </c>
      <c r="BD34" s="33">
        <f>G34/(100-BE34)*100</f>
        <v>0</v>
      </c>
      <c r="BE34" s="33">
        <v>0</v>
      </c>
      <c r="BF34" s="33">
        <f>34</f>
        <v>34</v>
      </c>
      <c r="BH34" s="31">
        <f>F34*AO34</f>
        <v>0</v>
      </c>
      <c r="BI34" s="31">
        <f>F34*AP34</f>
        <v>0</v>
      </c>
      <c r="BJ34" s="31">
        <f>F34*G34</f>
        <v>0</v>
      </c>
      <c r="BK34" s="34" t="s">
        <v>58</v>
      </c>
      <c r="BL34" s="33">
        <v>18</v>
      </c>
      <c r="BW34" s="33">
        <v>21</v>
      </c>
      <c r="BX34" s="30" t="s">
        <v>105</v>
      </c>
    </row>
    <row r="35" spans="1:76" ht="14.5" x14ac:dyDescent="0.35">
      <c r="A35" s="36"/>
      <c r="C35" s="37" t="s">
        <v>107</v>
      </c>
      <c r="D35" s="38" t="s">
        <v>47</v>
      </c>
      <c r="F35" s="39">
        <v>150</v>
      </c>
      <c r="K35" s="40"/>
    </row>
    <row r="36" spans="1:76" ht="14.5" x14ac:dyDescent="0.35">
      <c r="A36" s="28" t="s">
        <v>108</v>
      </c>
      <c r="B36" s="29" t="s">
        <v>109</v>
      </c>
      <c r="C36" s="88" t="s">
        <v>110</v>
      </c>
      <c r="D36" s="89"/>
      <c r="E36" s="29" t="s">
        <v>54</v>
      </c>
      <c r="F36" s="31">
        <v>150</v>
      </c>
      <c r="G36" s="31">
        <v>0</v>
      </c>
      <c r="H36" s="31">
        <f>ROUND(F36*AO36,2)</f>
        <v>0</v>
      </c>
      <c r="I36" s="31">
        <f>ROUND(F36*AP36,2)</f>
        <v>0</v>
      </c>
      <c r="J36" s="31">
        <f>ROUND(F36*G36,2)</f>
        <v>0</v>
      </c>
      <c r="K36" s="32" t="s">
        <v>306</v>
      </c>
      <c r="Z36" s="33">
        <f>ROUND(IF(AQ36="5",BJ36,0),2)</f>
        <v>0</v>
      </c>
      <c r="AB36" s="33">
        <f>ROUND(IF(AQ36="1",BH36,0),2)</f>
        <v>0</v>
      </c>
      <c r="AC36" s="33">
        <f>ROUND(IF(AQ36="1",BI36,0),2)</f>
        <v>0</v>
      </c>
      <c r="AD36" s="33">
        <f>ROUND(IF(AQ36="7",BH36,0),2)</f>
        <v>0</v>
      </c>
      <c r="AE36" s="33">
        <f>ROUND(IF(AQ36="7",BI36,0),2)</f>
        <v>0</v>
      </c>
      <c r="AF36" s="33">
        <f>ROUND(IF(AQ36="2",BH36,0),2)</f>
        <v>0</v>
      </c>
      <c r="AG36" s="33">
        <f>ROUND(IF(AQ36="2",BI36,0),2)</f>
        <v>0</v>
      </c>
      <c r="AH36" s="33">
        <f>ROUND(IF(AQ36="0",BJ36,0),2)</f>
        <v>0</v>
      </c>
      <c r="AI36" s="10" t="s">
        <v>51</v>
      </c>
      <c r="AJ36" s="31">
        <f>IF(AN36=0,J36,0)</f>
        <v>0</v>
      </c>
      <c r="AK36" s="31">
        <f>IF(AN36=12,J36,0)</f>
        <v>0</v>
      </c>
      <c r="AL36" s="31">
        <f>IF(AN36=21,J36,0)</f>
        <v>0</v>
      </c>
      <c r="AN36" s="33">
        <v>21</v>
      </c>
      <c r="AO36" s="33">
        <f>G36*0</f>
        <v>0</v>
      </c>
      <c r="AP36" s="33">
        <f>G36*(1-0)</f>
        <v>0</v>
      </c>
      <c r="AQ36" s="34" t="s">
        <v>51</v>
      </c>
      <c r="AV36" s="33">
        <f>ROUND(AW36+AX36,2)</f>
        <v>0</v>
      </c>
      <c r="AW36" s="33">
        <f>ROUND(F36*AO36,2)</f>
        <v>0</v>
      </c>
      <c r="AX36" s="33">
        <f>ROUND(F36*AP36,2)</f>
        <v>0</v>
      </c>
      <c r="AY36" s="35" t="s">
        <v>106</v>
      </c>
      <c r="AZ36" s="35" t="s">
        <v>56</v>
      </c>
      <c r="BA36" s="10" t="s">
        <v>57</v>
      </c>
      <c r="BC36" s="33">
        <f>AW36+AX36</f>
        <v>0</v>
      </c>
      <c r="BD36" s="33">
        <f>G36/(100-BE36)*100</f>
        <v>0</v>
      </c>
      <c r="BE36" s="33">
        <v>0</v>
      </c>
      <c r="BF36" s="33">
        <f>36</f>
        <v>36</v>
      </c>
      <c r="BH36" s="31">
        <f>F36*AO36</f>
        <v>0</v>
      </c>
      <c r="BI36" s="31">
        <f>F36*AP36</f>
        <v>0</v>
      </c>
      <c r="BJ36" s="31">
        <f>F36*G36</f>
        <v>0</v>
      </c>
      <c r="BK36" s="34" t="s">
        <v>58</v>
      </c>
      <c r="BL36" s="33">
        <v>18</v>
      </c>
      <c r="BW36" s="33">
        <v>21</v>
      </c>
      <c r="BX36" s="30" t="s">
        <v>110</v>
      </c>
    </row>
    <row r="37" spans="1:76" ht="14.5" x14ac:dyDescent="0.35">
      <c r="A37" s="36"/>
      <c r="C37" s="37" t="s">
        <v>107</v>
      </c>
      <c r="D37" s="38" t="s">
        <v>47</v>
      </c>
      <c r="F37" s="39">
        <v>150</v>
      </c>
      <c r="K37" s="40"/>
    </row>
    <row r="38" spans="1:76" ht="14.5" x14ac:dyDescent="0.35">
      <c r="A38" s="24" t="s">
        <v>47</v>
      </c>
      <c r="B38" s="25" t="s">
        <v>111</v>
      </c>
      <c r="C38" s="96" t="s">
        <v>112</v>
      </c>
      <c r="D38" s="97"/>
      <c r="E38" s="26" t="s">
        <v>3</v>
      </c>
      <c r="F38" s="26" t="s">
        <v>3</v>
      </c>
      <c r="G38" s="26" t="s">
        <v>3</v>
      </c>
      <c r="H38" s="1">
        <f>SUM(H39:H39)</f>
        <v>0</v>
      </c>
      <c r="I38" s="1">
        <f>SUM(I39:I39)</f>
        <v>0</v>
      </c>
      <c r="J38" s="1">
        <f>SUM(J39:J39)</f>
        <v>0</v>
      </c>
      <c r="K38" s="27" t="s">
        <v>47</v>
      </c>
      <c r="AI38" s="10" t="s">
        <v>51</v>
      </c>
      <c r="AS38" s="1">
        <f>SUM(AJ39:AJ39)</f>
        <v>0</v>
      </c>
      <c r="AT38" s="1">
        <f>SUM(AK39:AK39)</f>
        <v>0</v>
      </c>
      <c r="AU38" s="1">
        <f>SUM(AL39:AL39)</f>
        <v>0</v>
      </c>
    </row>
    <row r="39" spans="1:76" ht="14.5" x14ac:dyDescent="0.35">
      <c r="A39" s="28" t="s">
        <v>49</v>
      </c>
      <c r="B39" s="29" t="s">
        <v>113</v>
      </c>
      <c r="C39" s="88" t="s">
        <v>114</v>
      </c>
      <c r="D39" s="89"/>
      <c r="E39" s="29" t="s">
        <v>69</v>
      </c>
      <c r="F39" s="31">
        <v>6.9</v>
      </c>
      <c r="G39" s="31">
        <v>0</v>
      </c>
      <c r="H39" s="31">
        <f>ROUND(F39*AO39,2)</f>
        <v>0</v>
      </c>
      <c r="I39" s="31">
        <f>ROUND(F39*AP39,2)</f>
        <v>0</v>
      </c>
      <c r="J39" s="31">
        <f>ROUND(F39*G39,2)</f>
        <v>0</v>
      </c>
      <c r="K39" s="32" t="s">
        <v>306</v>
      </c>
      <c r="Z39" s="33">
        <f>ROUND(IF(AQ39="5",BJ39,0),2)</f>
        <v>0</v>
      </c>
      <c r="AB39" s="33">
        <f>ROUND(IF(AQ39="1",BH39,0),2)</f>
        <v>0</v>
      </c>
      <c r="AC39" s="33">
        <f>ROUND(IF(AQ39="1",BI39,0),2)</f>
        <v>0</v>
      </c>
      <c r="AD39" s="33">
        <f>ROUND(IF(AQ39="7",BH39,0),2)</f>
        <v>0</v>
      </c>
      <c r="AE39" s="33">
        <f>ROUND(IF(AQ39="7",BI39,0),2)</f>
        <v>0</v>
      </c>
      <c r="AF39" s="33">
        <f>ROUND(IF(AQ39="2",BH39,0),2)</f>
        <v>0</v>
      </c>
      <c r="AG39" s="33">
        <f>ROUND(IF(AQ39="2",BI39,0),2)</f>
        <v>0</v>
      </c>
      <c r="AH39" s="33">
        <f>ROUND(IF(AQ39="0",BJ39,0),2)</f>
        <v>0</v>
      </c>
      <c r="AI39" s="10" t="s">
        <v>51</v>
      </c>
      <c r="AJ39" s="31">
        <f>IF(AN39=0,J39,0)</f>
        <v>0</v>
      </c>
      <c r="AK39" s="31">
        <f>IF(AN39=12,J39,0)</f>
        <v>0</v>
      </c>
      <c r="AL39" s="31">
        <f>IF(AN39=21,J39,0)</f>
        <v>0</v>
      </c>
      <c r="AN39" s="33">
        <v>21</v>
      </c>
      <c r="AO39" s="33">
        <f>G39*0.424652816</f>
        <v>0</v>
      </c>
      <c r="AP39" s="33">
        <f>G39*(1-0.424652816)</f>
        <v>0</v>
      </c>
      <c r="AQ39" s="34" t="s">
        <v>51</v>
      </c>
      <c r="AV39" s="33">
        <f>ROUND(AW39+AX39,2)</f>
        <v>0</v>
      </c>
      <c r="AW39" s="33">
        <f>ROUND(F39*AO39,2)</f>
        <v>0</v>
      </c>
      <c r="AX39" s="33">
        <f>ROUND(F39*AP39,2)</f>
        <v>0</v>
      </c>
      <c r="AY39" s="35" t="s">
        <v>115</v>
      </c>
      <c r="AZ39" s="35" t="s">
        <v>116</v>
      </c>
      <c r="BA39" s="10" t="s">
        <v>57</v>
      </c>
      <c r="BC39" s="33">
        <f>AW39+AX39</f>
        <v>0</v>
      </c>
      <c r="BD39" s="33">
        <f>G39/(100-BE39)*100</f>
        <v>0</v>
      </c>
      <c r="BE39" s="33">
        <v>0</v>
      </c>
      <c r="BF39" s="33">
        <f>39</f>
        <v>39</v>
      </c>
      <c r="BH39" s="31">
        <f>F39*AO39</f>
        <v>0</v>
      </c>
      <c r="BI39" s="31">
        <f>F39*AP39</f>
        <v>0</v>
      </c>
      <c r="BJ39" s="31">
        <f>F39*G39</f>
        <v>0</v>
      </c>
      <c r="BK39" s="34" t="s">
        <v>58</v>
      </c>
      <c r="BL39" s="33">
        <v>27</v>
      </c>
      <c r="BW39" s="33">
        <v>21</v>
      </c>
      <c r="BX39" s="30" t="s">
        <v>114</v>
      </c>
    </row>
    <row r="40" spans="1:76" ht="14.5" x14ac:dyDescent="0.35">
      <c r="A40" s="36"/>
      <c r="C40" s="37" t="s">
        <v>117</v>
      </c>
      <c r="D40" s="38" t="s">
        <v>47</v>
      </c>
      <c r="F40" s="39">
        <v>6.9</v>
      </c>
      <c r="K40" s="40"/>
    </row>
    <row r="41" spans="1:76" ht="14.5" x14ac:dyDescent="0.35">
      <c r="A41" s="24" t="s">
        <v>47</v>
      </c>
      <c r="B41" s="25" t="s">
        <v>118</v>
      </c>
      <c r="C41" s="96" t="s">
        <v>119</v>
      </c>
      <c r="D41" s="97"/>
      <c r="E41" s="26" t="s">
        <v>3</v>
      </c>
      <c r="F41" s="26" t="s">
        <v>3</v>
      </c>
      <c r="G41" s="26" t="s">
        <v>3</v>
      </c>
      <c r="H41" s="1">
        <f>SUM(H42:H42)</f>
        <v>0</v>
      </c>
      <c r="I41" s="1">
        <f>SUM(I42:I42)</f>
        <v>0</v>
      </c>
      <c r="J41" s="1">
        <f>SUM(J42:J42)</f>
        <v>0</v>
      </c>
      <c r="K41" s="27" t="s">
        <v>47</v>
      </c>
      <c r="AI41" s="10" t="s">
        <v>51</v>
      </c>
      <c r="AS41" s="1">
        <f>SUM(AJ42:AJ42)</f>
        <v>0</v>
      </c>
      <c r="AT41" s="1">
        <f>SUM(AK42:AK42)</f>
        <v>0</v>
      </c>
      <c r="AU41" s="1">
        <f>SUM(AL42:AL42)</f>
        <v>0</v>
      </c>
    </row>
    <row r="42" spans="1:76" ht="14.5" x14ac:dyDescent="0.35">
      <c r="A42" s="28" t="s">
        <v>64</v>
      </c>
      <c r="B42" s="29" t="s">
        <v>120</v>
      </c>
      <c r="C42" s="88" t="s">
        <v>121</v>
      </c>
      <c r="D42" s="89"/>
      <c r="E42" s="29" t="s">
        <v>54</v>
      </c>
      <c r="F42" s="31">
        <v>8</v>
      </c>
      <c r="G42" s="31">
        <v>0</v>
      </c>
      <c r="H42" s="31">
        <f>ROUND(F42*AO42,2)</f>
        <v>0</v>
      </c>
      <c r="I42" s="31">
        <f>ROUND(F42*AP42,2)</f>
        <v>0</v>
      </c>
      <c r="J42" s="31">
        <f>ROUND(F42*G42,2)</f>
        <v>0</v>
      </c>
      <c r="K42" s="32" t="s">
        <v>307</v>
      </c>
      <c r="Z42" s="33">
        <f>ROUND(IF(AQ42="5",BJ42,0),2)</f>
        <v>0</v>
      </c>
      <c r="AB42" s="33">
        <f>ROUND(IF(AQ42="1",BH42,0),2)</f>
        <v>0</v>
      </c>
      <c r="AC42" s="33">
        <f>ROUND(IF(AQ42="1",BI42,0),2)</f>
        <v>0</v>
      </c>
      <c r="AD42" s="33">
        <f>ROUND(IF(AQ42="7",BH42,0),2)</f>
        <v>0</v>
      </c>
      <c r="AE42" s="33">
        <f>ROUND(IF(AQ42="7",BI42,0),2)</f>
        <v>0</v>
      </c>
      <c r="AF42" s="33">
        <f>ROUND(IF(AQ42="2",BH42,0),2)</f>
        <v>0</v>
      </c>
      <c r="AG42" s="33">
        <f>ROUND(IF(AQ42="2",BI42,0),2)</f>
        <v>0</v>
      </c>
      <c r="AH42" s="33">
        <f>ROUND(IF(AQ42="0",BJ42,0),2)</f>
        <v>0</v>
      </c>
      <c r="AI42" s="10" t="s">
        <v>51</v>
      </c>
      <c r="AJ42" s="31">
        <f>IF(AN42=0,J42,0)</f>
        <v>0</v>
      </c>
      <c r="AK42" s="31">
        <f>IF(AN42=12,J42,0)</f>
        <v>0</v>
      </c>
      <c r="AL42" s="31">
        <f>IF(AN42=21,J42,0)</f>
        <v>0</v>
      </c>
      <c r="AN42" s="33">
        <v>21</v>
      </c>
      <c r="AO42" s="33">
        <f>G42*0</f>
        <v>0</v>
      </c>
      <c r="AP42" s="33">
        <f>G42*(1-0)</f>
        <v>0</v>
      </c>
      <c r="AQ42" s="34" t="s">
        <v>51</v>
      </c>
      <c r="AV42" s="33">
        <f>ROUND(AW42+AX42,2)</f>
        <v>0</v>
      </c>
      <c r="AW42" s="33">
        <f>ROUND(F42*AO42,2)</f>
        <v>0</v>
      </c>
      <c r="AX42" s="33">
        <f>ROUND(F42*AP42,2)</f>
        <v>0</v>
      </c>
      <c r="AY42" s="35" t="s">
        <v>122</v>
      </c>
      <c r="AZ42" s="35" t="s">
        <v>123</v>
      </c>
      <c r="BA42" s="10" t="s">
        <v>57</v>
      </c>
      <c r="BC42" s="33">
        <f>AW42+AX42</f>
        <v>0</v>
      </c>
      <c r="BD42" s="33">
        <f>G42/(100-BE42)*100</f>
        <v>0</v>
      </c>
      <c r="BE42" s="33">
        <v>0</v>
      </c>
      <c r="BF42" s="33">
        <f>42</f>
        <v>42</v>
      </c>
      <c r="BH42" s="31">
        <f>F42*AO42</f>
        <v>0</v>
      </c>
      <c r="BI42" s="31">
        <f>F42*AP42</f>
        <v>0</v>
      </c>
      <c r="BJ42" s="31">
        <f>F42*G42</f>
        <v>0</v>
      </c>
      <c r="BK42" s="34" t="s">
        <v>58</v>
      </c>
      <c r="BL42" s="33">
        <v>564</v>
      </c>
      <c r="BW42" s="33">
        <v>21</v>
      </c>
      <c r="BX42" s="30" t="s">
        <v>121</v>
      </c>
    </row>
    <row r="43" spans="1:76" ht="13.5" customHeight="1" x14ac:dyDescent="0.35">
      <c r="A43" s="36"/>
      <c r="C43" s="93" t="s">
        <v>302</v>
      </c>
      <c r="D43" s="94"/>
      <c r="E43" s="94"/>
      <c r="F43" s="94"/>
      <c r="G43" s="94"/>
      <c r="H43" s="94"/>
      <c r="I43" s="94"/>
      <c r="J43" s="94"/>
      <c r="K43" s="95"/>
    </row>
    <row r="44" spans="1:76" ht="14.5" x14ac:dyDescent="0.35">
      <c r="A44" s="36"/>
      <c r="C44" s="37" t="s">
        <v>95</v>
      </c>
      <c r="D44" s="38" t="s">
        <v>47</v>
      </c>
      <c r="F44" s="39">
        <v>8</v>
      </c>
      <c r="K44" s="40"/>
    </row>
    <row r="45" spans="1:76" ht="14.5" x14ac:dyDescent="0.35">
      <c r="A45" s="24" t="s">
        <v>47</v>
      </c>
      <c r="B45" s="25" t="s">
        <v>124</v>
      </c>
      <c r="C45" s="96" t="s">
        <v>125</v>
      </c>
      <c r="D45" s="97"/>
      <c r="E45" s="26" t="s">
        <v>3</v>
      </c>
      <c r="F45" s="26" t="s">
        <v>3</v>
      </c>
      <c r="G45" s="26" t="s">
        <v>3</v>
      </c>
      <c r="H45" s="1">
        <f>SUM(H46:H46)</f>
        <v>0</v>
      </c>
      <c r="I45" s="1">
        <f>SUM(I46:I46)</f>
        <v>0</v>
      </c>
      <c r="J45" s="1">
        <f>SUM(J46:J46)</f>
        <v>0</v>
      </c>
      <c r="K45" s="27" t="s">
        <v>47</v>
      </c>
      <c r="AI45" s="10" t="s">
        <v>51</v>
      </c>
      <c r="AS45" s="1">
        <f>SUM(AJ46:AJ46)</f>
        <v>0</v>
      </c>
      <c r="AT45" s="1">
        <f>SUM(AK46:AK46)</f>
        <v>0</v>
      </c>
      <c r="AU45" s="1">
        <f>SUM(AL46:AL46)</f>
        <v>0</v>
      </c>
    </row>
    <row r="46" spans="1:76" ht="14.5" x14ac:dyDescent="0.35">
      <c r="A46" s="28" t="s">
        <v>72</v>
      </c>
      <c r="B46" s="29" t="s">
        <v>126</v>
      </c>
      <c r="C46" s="88" t="s">
        <v>127</v>
      </c>
      <c r="D46" s="89"/>
      <c r="E46" s="29" t="s">
        <v>54</v>
      </c>
      <c r="F46" s="31">
        <v>5</v>
      </c>
      <c r="G46" s="31">
        <v>0</v>
      </c>
      <c r="H46" s="31">
        <f>ROUND(F46*AO46,2)</f>
        <v>0</v>
      </c>
      <c r="I46" s="31">
        <f>ROUND(F46*AP46,2)</f>
        <v>0</v>
      </c>
      <c r="J46" s="31">
        <f>ROUND(F46*G46,2)</f>
        <v>0</v>
      </c>
      <c r="K46" s="32" t="s">
        <v>306</v>
      </c>
      <c r="Z46" s="33">
        <f>ROUND(IF(AQ46="5",BJ46,0),2)</f>
        <v>0</v>
      </c>
      <c r="AB46" s="33">
        <f>ROUND(IF(AQ46="1",BH46,0),2)</f>
        <v>0</v>
      </c>
      <c r="AC46" s="33">
        <f>ROUND(IF(AQ46="1",BI46,0),2)</f>
        <v>0</v>
      </c>
      <c r="AD46" s="33">
        <f>ROUND(IF(AQ46="7",BH46,0),2)</f>
        <v>0</v>
      </c>
      <c r="AE46" s="33">
        <f>ROUND(IF(AQ46="7",BI46,0),2)</f>
        <v>0</v>
      </c>
      <c r="AF46" s="33">
        <f>ROUND(IF(AQ46="2",BH46,0),2)</f>
        <v>0</v>
      </c>
      <c r="AG46" s="33">
        <f>ROUND(IF(AQ46="2",BI46,0),2)</f>
        <v>0</v>
      </c>
      <c r="AH46" s="33">
        <f>ROUND(IF(AQ46="0",BJ46,0),2)</f>
        <v>0</v>
      </c>
      <c r="AI46" s="10" t="s">
        <v>51</v>
      </c>
      <c r="AJ46" s="31">
        <f>IF(AN46=0,J46,0)</f>
        <v>0</v>
      </c>
      <c r="AK46" s="31">
        <f>IF(AN46=12,J46,0)</f>
        <v>0</v>
      </c>
      <c r="AL46" s="31">
        <f>IF(AN46=21,J46,0)</f>
        <v>0</v>
      </c>
      <c r="AN46" s="33">
        <v>21</v>
      </c>
      <c r="AO46" s="33">
        <f>G46*0.309860944</f>
        <v>0</v>
      </c>
      <c r="AP46" s="33">
        <f>G46*(1-0.309860944)</f>
        <v>0</v>
      </c>
      <c r="AQ46" s="34" t="s">
        <v>51</v>
      </c>
      <c r="AV46" s="33">
        <f>ROUND(AW46+AX46,2)</f>
        <v>0</v>
      </c>
      <c r="AW46" s="33">
        <f>ROUND(F46*AO46,2)</f>
        <v>0</v>
      </c>
      <c r="AX46" s="33">
        <f>ROUND(F46*AP46,2)</f>
        <v>0</v>
      </c>
      <c r="AY46" s="35" t="s">
        <v>128</v>
      </c>
      <c r="AZ46" s="35" t="s">
        <v>129</v>
      </c>
      <c r="BA46" s="10" t="s">
        <v>57</v>
      </c>
      <c r="BC46" s="33">
        <f>AW46+AX46</f>
        <v>0</v>
      </c>
      <c r="BD46" s="33">
        <f>G46/(100-BE46)*100</f>
        <v>0</v>
      </c>
      <c r="BE46" s="33">
        <v>0</v>
      </c>
      <c r="BF46" s="33">
        <f>46</f>
        <v>46</v>
      </c>
      <c r="BH46" s="31">
        <f>F46*AO46</f>
        <v>0</v>
      </c>
      <c r="BI46" s="31">
        <f>F46*AP46</f>
        <v>0</v>
      </c>
      <c r="BJ46" s="31">
        <f>F46*G46</f>
        <v>0</v>
      </c>
      <c r="BK46" s="34" t="s">
        <v>58</v>
      </c>
      <c r="BL46" s="33">
        <v>94</v>
      </c>
      <c r="BW46" s="33">
        <v>21</v>
      </c>
      <c r="BX46" s="30" t="s">
        <v>127</v>
      </c>
    </row>
    <row r="47" spans="1:76" ht="14.5" x14ac:dyDescent="0.35">
      <c r="A47" s="36"/>
      <c r="C47" s="37" t="s">
        <v>80</v>
      </c>
      <c r="D47" s="38" t="s">
        <v>47</v>
      </c>
      <c r="F47" s="39">
        <v>5</v>
      </c>
      <c r="K47" s="40"/>
    </row>
    <row r="48" spans="1:76" ht="14.5" x14ac:dyDescent="0.35">
      <c r="A48" s="24" t="s">
        <v>47</v>
      </c>
      <c r="B48" s="25" t="s">
        <v>130</v>
      </c>
      <c r="C48" s="96" t="s">
        <v>131</v>
      </c>
      <c r="D48" s="97"/>
      <c r="E48" s="26" t="s">
        <v>3</v>
      </c>
      <c r="F48" s="26" t="s">
        <v>3</v>
      </c>
      <c r="G48" s="26" t="s">
        <v>3</v>
      </c>
      <c r="H48" s="1">
        <f>SUM(H49:H58)</f>
        <v>0</v>
      </c>
      <c r="I48" s="1">
        <f>SUM(I49:I58)</f>
        <v>0</v>
      </c>
      <c r="J48" s="1">
        <f>SUM(J49:J58)</f>
        <v>0</v>
      </c>
      <c r="K48" s="27" t="s">
        <v>47</v>
      </c>
      <c r="AI48" s="10" t="s">
        <v>51</v>
      </c>
      <c r="AS48" s="1">
        <f>SUM(AJ49:AJ58)</f>
        <v>0</v>
      </c>
      <c r="AT48" s="1">
        <f>SUM(AK49:AK58)</f>
        <v>0</v>
      </c>
      <c r="AU48" s="1">
        <f>SUM(AL49:AL58)</f>
        <v>0</v>
      </c>
    </row>
    <row r="49" spans="1:76" ht="14.5" x14ac:dyDescent="0.35">
      <c r="A49" s="28" t="s">
        <v>132</v>
      </c>
      <c r="B49" s="29" t="s">
        <v>133</v>
      </c>
      <c r="C49" s="88" t="s">
        <v>134</v>
      </c>
      <c r="D49" s="89"/>
      <c r="E49" s="29" t="s">
        <v>135</v>
      </c>
      <c r="F49" s="31">
        <v>1</v>
      </c>
      <c r="G49" s="31">
        <v>0</v>
      </c>
      <c r="H49" s="31">
        <f>ROUND(F49*AO49,2)</f>
        <v>0</v>
      </c>
      <c r="I49" s="31">
        <f>ROUND(F49*AP49,2)</f>
        <v>0</v>
      </c>
      <c r="J49" s="31">
        <f>ROUND(F49*G49,2)</f>
        <v>0</v>
      </c>
      <c r="K49" s="32" t="s">
        <v>307</v>
      </c>
      <c r="Z49" s="33">
        <f>ROUND(IF(AQ49="5",BJ49,0),2)</f>
        <v>0</v>
      </c>
      <c r="AB49" s="33">
        <f>ROUND(IF(AQ49="1",BH49,0),2)</f>
        <v>0</v>
      </c>
      <c r="AC49" s="33">
        <f>ROUND(IF(AQ49="1",BI49,0),2)</f>
        <v>0</v>
      </c>
      <c r="AD49" s="33">
        <f>ROUND(IF(AQ49="7",BH49,0),2)</f>
        <v>0</v>
      </c>
      <c r="AE49" s="33">
        <f>ROUND(IF(AQ49="7",BI49,0),2)</f>
        <v>0</v>
      </c>
      <c r="AF49" s="33">
        <f>ROUND(IF(AQ49="2",BH49,0),2)</f>
        <v>0</v>
      </c>
      <c r="AG49" s="33">
        <f>ROUND(IF(AQ49="2",BI49,0),2)</f>
        <v>0</v>
      </c>
      <c r="AH49" s="33">
        <f>ROUND(IF(AQ49="0",BJ49,0),2)</f>
        <v>0</v>
      </c>
      <c r="AI49" s="10" t="s">
        <v>51</v>
      </c>
      <c r="AJ49" s="31">
        <f>IF(AN49=0,J49,0)</f>
        <v>0</v>
      </c>
      <c r="AK49" s="31">
        <f>IF(AN49=12,J49,0)</f>
        <v>0</v>
      </c>
      <c r="AL49" s="31">
        <f>IF(AN49=21,J49,0)</f>
        <v>0</v>
      </c>
      <c r="AN49" s="33">
        <v>21</v>
      </c>
      <c r="AO49" s="33">
        <f>G49*0</f>
        <v>0</v>
      </c>
      <c r="AP49" s="33">
        <f>G49*(1-0)</f>
        <v>0</v>
      </c>
      <c r="AQ49" s="34" t="s">
        <v>89</v>
      </c>
      <c r="AV49" s="33">
        <f>ROUND(AW49+AX49,2)</f>
        <v>0</v>
      </c>
      <c r="AW49" s="33">
        <f>ROUND(F49*AO49,2)</f>
        <v>0</v>
      </c>
      <c r="AX49" s="33">
        <f>ROUND(F49*AP49,2)</f>
        <v>0</v>
      </c>
      <c r="AY49" s="35" t="s">
        <v>136</v>
      </c>
      <c r="AZ49" s="35" t="s">
        <v>137</v>
      </c>
      <c r="BA49" s="10" t="s">
        <v>57</v>
      </c>
      <c r="BC49" s="33">
        <f>AW49+AX49</f>
        <v>0</v>
      </c>
      <c r="BD49" s="33">
        <f>G49/(100-BE49)*100</f>
        <v>0</v>
      </c>
      <c r="BE49" s="33">
        <v>0</v>
      </c>
      <c r="BF49" s="33">
        <f>49</f>
        <v>49</v>
      </c>
      <c r="BH49" s="31">
        <f>F49*AO49</f>
        <v>0</v>
      </c>
      <c r="BI49" s="31">
        <f>F49*AP49</f>
        <v>0</v>
      </c>
      <c r="BJ49" s="31">
        <f>F49*G49</f>
        <v>0</v>
      </c>
      <c r="BK49" s="34" t="s">
        <v>58</v>
      </c>
      <c r="BL49" s="33">
        <v>762</v>
      </c>
      <c r="BW49" s="33">
        <v>21</v>
      </c>
      <c r="BX49" s="30" t="s">
        <v>134</v>
      </c>
    </row>
    <row r="50" spans="1:76" ht="13.5" customHeight="1" x14ac:dyDescent="0.35">
      <c r="A50" s="36"/>
      <c r="C50" s="93" t="s">
        <v>138</v>
      </c>
      <c r="D50" s="94"/>
      <c r="E50" s="94"/>
      <c r="F50" s="94"/>
      <c r="G50" s="94"/>
      <c r="H50" s="94"/>
      <c r="I50" s="94"/>
      <c r="J50" s="94"/>
      <c r="K50" s="95"/>
    </row>
    <row r="51" spans="1:76" ht="14.5" x14ac:dyDescent="0.35">
      <c r="A51" s="36"/>
      <c r="C51" s="37" t="s">
        <v>51</v>
      </c>
      <c r="D51" s="38" t="s">
        <v>47</v>
      </c>
      <c r="F51" s="39">
        <v>1</v>
      </c>
      <c r="K51" s="40"/>
    </row>
    <row r="52" spans="1:76" ht="14.5" x14ac:dyDescent="0.35">
      <c r="A52" s="28" t="s">
        <v>139</v>
      </c>
      <c r="B52" s="29" t="s">
        <v>140</v>
      </c>
      <c r="C52" s="88" t="s">
        <v>141</v>
      </c>
      <c r="D52" s="89"/>
      <c r="E52" s="29" t="s">
        <v>135</v>
      </c>
      <c r="F52" s="31">
        <v>1</v>
      </c>
      <c r="G52" s="31">
        <v>0</v>
      </c>
      <c r="H52" s="31">
        <f>ROUND(F52*AO52,2)</f>
        <v>0</v>
      </c>
      <c r="I52" s="31">
        <f>ROUND(F52*AP52,2)</f>
        <v>0</v>
      </c>
      <c r="J52" s="31">
        <f>ROUND(F52*G52,2)</f>
        <v>0</v>
      </c>
      <c r="K52" s="32" t="s">
        <v>307</v>
      </c>
      <c r="Z52" s="33">
        <f>ROUND(IF(AQ52="5",BJ52,0),2)</f>
        <v>0</v>
      </c>
      <c r="AB52" s="33">
        <f>ROUND(IF(AQ52="1",BH52,0),2)</f>
        <v>0</v>
      </c>
      <c r="AC52" s="33">
        <f>ROUND(IF(AQ52="1",BI52,0),2)</f>
        <v>0</v>
      </c>
      <c r="AD52" s="33">
        <f>ROUND(IF(AQ52="7",BH52,0),2)</f>
        <v>0</v>
      </c>
      <c r="AE52" s="33">
        <f>ROUND(IF(AQ52="7",BI52,0),2)</f>
        <v>0</v>
      </c>
      <c r="AF52" s="33">
        <f>ROUND(IF(AQ52="2",BH52,0),2)</f>
        <v>0</v>
      </c>
      <c r="AG52" s="33">
        <f>ROUND(IF(AQ52="2",BI52,0),2)</f>
        <v>0</v>
      </c>
      <c r="AH52" s="33">
        <f>ROUND(IF(AQ52="0",BJ52,0),2)</f>
        <v>0</v>
      </c>
      <c r="AI52" s="10" t="s">
        <v>51</v>
      </c>
      <c r="AJ52" s="31">
        <f>IF(AN52=0,J52,0)</f>
        <v>0</v>
      </c>
      <c r="AK52" s="31">
        <f>IF(AN52=12,J52,0)</f>
        <v>0</v>
      </c>
      <c r="AL52" s="31">
        <f>IF(AN52=21,J52,0)</f>
        <v>0</v>
      </c>
      <c r="AN52" s="33">
        <v>21</v>
      </c>
      <c r="AO52" s="33">
        <f>G52*0</f>
        <v>0</v>
      </c>
      <c r="AP52" s="33">
        <f>G52*(1-0)</f>
        <v>0</v>
      </c>
      <c r="AQ52" s="34" t="s">
        <v>89</v>
      </c>
      <c r="AV52" s="33">
        <f>ROUND(AW52+AX52,2)</f>
        <v>0</v>
      </c>
      <c r="AW52" s="33">
        <f>ROUND(F52*AO52,2)</f>
        <v>0</v>
      </c>
      <c r="AX52" s="33">
        <f>ROUND(F52*AP52,2)</f>
        <v>0</v>
      </c>
      <c r="AY52" s="35" t="s">
        <v>136</v>
      </c>
      <c r="AZ52" s="35" t="s">
        <v>137</v>
      </c>
      <c r="BA52" s="10" t="s">
        <v>57</v>
      </c>
      <c r="BC52" s="33">
        <f>AW52+AX52</f>
        <v>0</v>
      </c>
      <c r="BD52" s="33">
        <f>G52/(100-BE52)*100</f>
        <v>0</v>
      </c>
      <c r="BE52" s="33">
        <v>0</v>
      </c>
      <c r="BF52" s="33">
        <f>52</f>
        <v>52</v>
      </c>
      <c r="BH52" s="31">
        <f>F52*AO52</f>
        <v>0</v>
      </c>
      <c r="BI52" s="31">
        <f>F52*AP52</f>
        <v>0</v>
      </c>
      <c r="BJ52" s="31">
        <f>F52*G52</f>
        <v>0</v>
      </c>
      <c r="BK52" s="34" t="s">
        <v>58</v>
      </c>
      <c r="BL52" s="33">
        <v>762</v>
      </c>
      <c r="BW52" s="33">
        <v>21</v>
      </c>
      <c r="BX52" s="30" t="s">
        <v>141</v>
      </c>
    </row>
    <row r="53" spans="1:76" ht="13.5" customHeight="1" x14ac:dyDescent="0.35">
      <c r="A53" s="36"/>
      <c r="C53" s="93" t="s">
        <v>142</v>
      </c>
      <c r="D53" s="94"/>
      <c r="E53" s="94"/>
      <c r="F53" s="94"/>
      <c r="G53" s="94"/>
      <c r="H53" s="94"/>
      <c r="I53" s="94"/>
      <c r="J53" s="94"/>
      <c r="K53" s="95"/>
    </row>
    <row r="54" spans="1:76" ht="14.5" x14ac:dyDescent="0.35">
      <c r="A54" s="36"/>
      <c r="C54" s="37" t="s">
        <v>51</v>
      </c>
      <c r="D54" s="38" t="s">
        <v>47</v>
      </c>
      <c r="F54" s="39">
        <v>1</v>
      </c>
      <c r="K54" s="40"/>
    </row>
    <row r="55" spans="1:76" ht="14.5" x14ac:dyDescent="0.35">
      <c r="A55" s="28" t="s">
        <v>93</v>
      </c>
      <c r="B55" s="29" t="s">
        <v>143</v>
      </c>
      <c r="C55" s="88" t="s">
        <v>144</v>
      </c>
      <c r="D55" s="89"/>
      <c r="E55" s="29" t="s">
        <v>135</v>
      </c>
      <c r="F55" s="31">
        <v>1</v>
      </c>
      <c r="G55" s="31">
        <v>0</v>
      </c>
      <c r="H55" s="31">
        <f>ROUND(F55*AO55,2)</f>
        <v>0</v>
      </c>
      <c r="I55" s="31">
        <f>ROUND(F55*AP55,2)</f>
        <v>0</v>
      </c>
      <c r="J55" s="31">
        <f>ROUND(F55*G55,2)</f>
        <v>0</v>
      </c>
      <c r="K55" s="32" t="s">
        <v>307</v>
      </c>
      <c r="Z55" s="33">
        <f>ROUND(IF(AQ55="5",BJ55,0),2)</f>
        <v>0</v>
      </c>
      <c r="AB55" s="33">
        <f>ROUND(IF(AQ55="1",BH55,0),2)</f>
        <v>0</v>
      </c>
      <c r="AC55" s="33">
        <f>ROUND(IF(AQ55="1",BI55,0),2)</f>
        <v>0</v>
      </c>
      <c r="AD55" s="33">
        <f>ROUND(IF(AQ55="7",BH55,0),2)</f>
        <v>0</v>
      </c>
      <c r="AE55" s="33">
        <f>ROUND(IF(AQ55="7",BI55,0),2)</f>
        <v>0</v>
      </c>
      <c r="AF55" s="33">
        <f>ROUND(IF(AQ55="2",BH55,0),2)</f>
        <v>0</v>
      </c>
      <c r="AG55" s="33">
        <f>ROUND(IF(AQ55="2",BI55,0),2)</f>
        <v>0</v>
      </c>
      <c r="AH55" s="33">
        <f>ROUND(IF(AQ55="0",BJ55,0),2)</f>
        <v>0</v>
      </c>
      <c r="AI55" s="10" t="s">
        <v>51</v>
      </c>
      <c r="AJ55" s="31">
        <f>IF(AN55=0,J55,0)</f>
        <v>0</v>
      </c>
      <c r="AK55" s="31">
        <f>IF(AN55=12,J55,0)</f>
        <v>0</v>
      </c>
      <c r="AL55" s="31">
        <f>IF(AN55=21,J55,0)</f>
        <v>0</v>
      </c>
      <c r="AN55" s="33">
        <v>21</v>
      </c>
      <c r="AO55" s="33">
        <f>G55*0</f>
        <v>0</v>
      </c>
      <c r="AP55" s="33">
        <f>G55*(1-0)</f>
        <v>0</v>
      </c>
      <c r="AQ55" s="34" t="s">
        <v>89</v>
      </c>
      <c r="AV55" s="33">
        <f>ROUND(AW55+AX55,2)</f>
        <v>0</v>
      </c>
      <c r="AW55" s="33">
        <f>ROUND(F55*AO55,2)</f>
        <v>0</v>
      </c>
      <c r="AX55" s="33">
        <f>ROUND(F55*AP55,2)</f>
        <v>0</v>
      </c>
      <c r="AY55" s="35" t="s">
        <v>136</v>
      </c>
      <c r="AZ55" s="35" t="s">
        <v>137</v>
      </c>
      <c r="BA55" s="10" t="s">
        <v>57</v>
      </c>
      <c r="BC55" s="33">
        <f>AW55+AX55</f>
        <v>0</v>
      </c>
      <c r="BD55" s="33">
        <f>G55/(100-BE55)*100</f>
        <v>0</v>
      </c>
      <c r="BE55" s="33">
        <v>0</v>
      </c>
      <c r="BF55" s="33">
        <f>55</f>
        <v>55</v>
      </c>
      <c r="BH55" s="31">
        <f>F55*AO55</f>
        <v>0</v>
      </c>
      <c r="BI55" s="31">
        <f>F55*AP55</f>
        <v>0</v>
      </c>
      <c r="BJ55" s="31">
        <f>F55*G55</f>
        <v>0</v>
      </c>
      <c r="BK55" s="34" t="s">
        <v>58</v>
      </c>
      <c r="BL55" s="33">
        <v>762</v>
      </c>
      <c r="BW55" s="33">
        <v>21</v>
      </c>
      <c r="BX55" s="30" t="s">
        <v>144</v>
      </c>
    </row>
    <row r="56" spans="1:76" ht="13.5" customHeight="1" x14ac:dyDescent="0.35">
      <c r="A56" s="36"/>
      <c r="C56" s="93" t="s">
        <v>145</v>
      </c>
      <c r="D56" s="94"/>
      <c r="E56" s="94"/>
      <c r="F56" s="94"/>
      <c r="G56" s="94"/>
      <c r="H56" s="94"/>
      <c r="I56" s="94"/>
      <c r="J56" s="94"/>
      <c r="K56" s="95"/>
    </row>
    <row r="57" spans="1:76" ht="14.5" x14ac:dyDescent="0.35">
      <c r="A57" s="36"/>
      <c r="C57" s="37" t="s">
        <v>51</v>
      </c>
      <c r="D57" s="38" t="s">
        <v>47</v>
      </c>
      <c r="F57" s="39">
        <v>1</v>
      </c>
      <c r="K57" s="40"/>
    </row>
    <row r="58" spans="1:76" ht="14.5" x14ac:dyDescent="0.35">
      <c r="A58" s="28" t="s">
        <v>146</v>
      </c>
      <c r="B58" s="29" t="s">
        <v>147</v>
      </c>
      <c r="C58" s="88" t="s">
        <v>148</v>
      </c>
      <c r="D58" s="89"/>
      <c r="E58" s="29" t="s">
        <v>149</v>
      </c>
      <c r="F58" s="31">
        <v>10</v>
      </c>
      <c r="G58" s="31">
        <v>0</v>
      </c>
      <c r="H58" s="31">
        <f>ROUND(F58*AO58,2)</f>
        <v>0</v>
      </c>
      <c r="I58" s="31">
        <f>ROUND(F58*AP58,2)</f>
        <v>0</v>
      </c>
      <c r="J58" s="31">
        <f>ROUND(F58*G58,2)</f>
        <v>0</v>
      </c>
      <c r="K58" s="32" t="s">
        <v>306</v>
      </c>
      <c r="Z58" s="33">
        <f>ROUND(IF(AQ58="5",BJ58,0),2)</f>
        <v>0</v>
      </c>
      <c r="AB58" s="33">
        <f>ROUND(IF(AQ58="1",BH58,0),2)</f>
        <v>0</v>
      </c>
      <c r="AC58" s="33">
        <f>ROUND(IF(AQ58="1",BI58,0),2)</f>
        <v>0</v>
      </c>
      <c r="AD58" s="33">
        <f>ROUND(IF(AQ58="7",BH58,0),2)</f>
        <v>0</v>
      </c>
      <c r="AE58" s="33">
        <f>ROUND(IF(AQ58="7",BI58,0),2)</f>
        <v>0</v>
      </c>
      <c r="AF58" s="33">
        <f>ROUND(IF(AQ58="2",BH58,0),2)</f>
        <v>0</v>
      </c>
      <c r="AG58" s="33">
        <f>ROUND(IF(AQ58="2",BI58,0),2)</f>
        <v>0</v>
      </c>
      <c r="AH58" s="33">
        <f>ROUND(IF(AQ58="0",BJ58,0),2)</f>
        <v>0</v>
      </c>
      <c r="AI58" s="10" t="s">
        <v>51</v>
      </c>
      <c r="AJ58" s="31">
        <f>IF(AN58=0,J58,0)</f>
        <v>0</v>
      </c>
      <c r="AK58" s="31">
        <f>IF(AN58=12,J58,0)</f>
        <v>0</v>
      </c>
      <c r="AL58" s="31">
        <f>IF(AN58=21,J58,0)</f>
        <v>0</v>
      </c>
      <c r="AN58" s="33">
        <v>21</v>
      </c>
      <c r="AO58" s="33">
        <f>G58*0</f>
        <v>0</v>
      </c>
      <c r="AP58" s="33">
        <f>G58*(1-0)</f>
        <v>0</v>
      </c>
      <c r="AQ58" s="34" t="s">
        <v>80</v>
      </c>
      <c r="AV58" s="33">
        <f>ROUND(AW58+AX58,2)</f>
        <v>0</v>
      </c>
      <c r="AW58" s="33">
        <f>ROUND(F58*AO58,2)</f>
        <v>0</v>
      </c>
      <c r="AX58" s="33">
        <f>ROUND(F58*AP58,2)</f>
        <v>0</v>
      </c>
      <c r="AY58" s="35" t="s">
        <v>136</v>
      </c>
      <c r="AZ58" s="35" t="s">
        <v>137</v>
      </c>
      <c r="BA58" s="10" t="s">
        <v>57</v>
      </c>
      <c r="BC58" s="33">
        <f>AW58+AX58</f>
        <v>0</v>
      </c>
      <c r="BD58" s="33">
        <f>G58/(100-BE58)*100</f>
        <v>0</v>
      </c>
      <c r="BE58" s="33">
        <v>0</v>
      </c>
      <c r="BF58" s="33">
        <f>58</f>
        <v>58</v>
      </c>
      <c r="BH58" s="31">
        <f>F58*AO58</f>
        <v>0</v>
      </c>
      <c r="BI58" s="31">
        <f>F58*AP58</f>
        <v>0</v>
      </c>
      <c r="BJ58" s="31">
        <f>F58*G58</f>
        <v>0</v>
      </c>
      <c r="BK58" s="34" t="s">
        <v>58</v>
      </c>
      <c r="BL58" s="33">
        <v>762</v>
      </c>
      <c r="BW58" s="33">
        <v>21</v>
      </c>
      <c r="BX58" s="30" t="s">
        <v>148</v>
      </c>
    </row>
    <row r="59" spans="1:76" ht="14.5" x14ac:dyDescent="0.35">
      <c r="A59" s="36"/>
      <c r="C59" s="37" t="s">
        <v>108</v>
      </c>
      <c r="D59" s="38" t="s">
        <v>150</v>
      </c>
      <c r="F59" s="39">
        <v>10</v>
      </c>
      <c r="K59" s="40"/>
    </row>
    <row r="60" spans="1:76" ht="14.5" x14ac:dyDescent="0.35">
      <c r="A60" s="24" t="s">
        <v>47</v>
      </c>
      <c r="B60" s="25" t="s">
        <v>151</v>
      </c>
      <c r="C60" s="96" t="s">
        <v>152</v>
      </c>
      <c r="D60" s="97"/>
      <c r="E60" s="26" t="s">
        <v>3</v>
      </c>
      <c r="F60" s="26" t="s">
        <v>3</v>
      </c>
      <c r="G60" s="26" t="s">
        <v>3</v>
      </c>
      <c r="H60" s="1">
        <f>H61+H64</f>
        <v>0</v>
      </c>
      <c r="I60" s="1">
        <f>I61+I64</f>
        <v>0</v>
      </c>
      <c r="J60" s="1">
        <f>J61+J64</f>
        <v>0</v>
      </c>
      <c r="K60" s="27" t="s">
        <v>47</v>
      </c>
      <c r="AI60" s="10" t="s">
        <v>51</v>
      </c>
    </row>
    <row r="61" spans="1:76" ht="14.5" x14ac:dyDescent="0.35">
      <c r="A61" s="24" t="s">
        <v>47</v>
      </c>
      <c r="B61" s="25" t="s">
        <v>153</v>
      </c>
      <c r="C61" s="96" t="s">
        <v>154</v>
      </c>
      <c r="D61" s="97"/>
      <c r="E61" s="26" t="s">
        <v>3</v>
      </c>
      <c r="F61" s="26" t="s">
        <v>3</v>
      </c>
      <c r="G61" s="26" t="s">
        <v>3</v>
      </c>
      <c r="H61" s="1">
        <f>SUM(H62:H62)</f>
        <v>0</v>
      </c>
      <c r="I61" s="1">
        <f>SUM(I62:I62)</f>
        <v>0</v>
      </c>
      <c r="J61" s="1">
        <f>SUM(J62:J62)</f>
        <v>0</v>
      </c>
      <c r="K61" s="27" t="s">
        <v>47</v>
      </c>
      <c r="AI61" s="10" t="s">
        <v>51</v>
      </c>
      <c r="AS61" s="1">
        <f>SUM(AJ62:AJ62)</f>
        <v>0</v>
      </c>
      <c r="AT61" s="1">
        <f>SUM(AK62:AK62)</f>
        <v>0</v>
      </c>
      <c r="AU61" s="1">
        <f>SUM(AL62:AL62)</f>
        <v>0</v>
      </c>
    </row>
    <row r="62" spans="1:76" ht="14.5" x14ac:dyDescent="0.35">
      <c r="A62" s="28" t="s">
        <v>101</v>
      </c>
      <c r="B62" s="29" t="s">
        <v>155</v>
      </c>
      <c r="C62" s="88" t="s">
        <v>156</v>
      </c>
      <c r="D62" s="89"/>
      <c r="E62" s="29" t="s">
        <v>157</v>
      </c>
      <c r="F62" s="31">
        <v>1</v>
      </c>
      <c r="G62" s="31">
        <v>0</v>
      </c>
      <c r="H62" s="31">
        <f>ROUND(F62*AO62,2)</f>
        <v>0</v>
      </c>
      <c r="I62" s="31">
        <f>ROUND(F62*AP62,2)</f>
        <v>0</v>
      </c>
      <c r="J62" s="31">
        <f>ROUND(F62*G62,2)</f>
        <v>0</v>
      </c>
      <c r="K62" s="32" t="s">
        <v>306</v>
      </c>
      <c r="Z62" s="33">
        <f>ROUND(IF(AQ62="5",BJ62,0),2)</f>
        <v>0</v>
      </c>
      <c r="AB62" s="33">
        <f>ROUND(IF(AQ62="1",BH62,0),2)</f>
        <v>0</v>
      </c>
      <c r="AC62" s="33">
        <f>ROUND(IF(AQ62="1",BI62,0),2)</f>
        <v>0</v>
      </c>
      <c r="AD62" s="33">
        <f>ROUND(IF(AQ62="7",BH62,0),2)</f>
        <v>0</v>
      </c>
      <c r="AE62" s="33">
        <f>ROUND(IF(AQ62="7",BI62,0),2)</f>
        <v>0</v>
      </c>
      <c r="AF62" s="33">
        <f>ROUND(IF(AQ62="2",BH62,0),2)</f>
        <v>0</v>
      </c>
      <c r="AG62" s="33">
        <f>ROUND(IF(AQ62="2",BI62,0),2)</f>
        <v>0</v>
      </c>
      <c r="AH62" s="33">
        <f>ROUND(IF(AQ62="0",BJ62,0),2)</f>
        <v>0</v>
      </c>
      <c r="AI62" s="10" t="s">
        <v>51</v>
      </c>
      <c r="AJ62" s="31">
        <f>IF(AN62=0,J62,0)</f>
        <v>0</v>
      </c>
      <c r="AK62" s="31">
        <f>IF(AN62=12,J62,0)</f>
        <v>0</v>
      </c>
      <c r="AL62" s="31">
        <f>IF(AN62=21,J62,0)</f>
        <v>0</v>
      </c>
      <c r="AN62" s="33">
        <v>21</v>
      </c>
      <c r="AO62" s="33">
        <f>G62*0</f>
        <v>0</v>
      </c>
      <c r="AP62" s="33">
        <f>G62*(1-0)</f>
        <v>0</v>
      </c>
      <c r="AQ62" s="34" t="s">
        <v>158</v>
      </c>
      <c r="AV62" s="33">
        <f>ROUND(AW62+AX62,2)</f>
        <v>0</v>
      </c>
      <c r="AW62" s="33">
        <f>ROUND(F62*AO62,2)</f>
        <v>0</v>
      </c>
      <c r="AX62" s="33">
        <f>ROUND(F62*AP62,2)</f>
        <v>0</v>
      </c>
      <c r="AY62" s="35" t="s">
        <v>159</v>
      </c>
      <c r="AZ62" s="35" t="s">
        <v>160</v>
      </c>
      <c r="BA62" s="10" t="s">
        <v>57</v>
      </c>
      <c r="BC62" s="33">
        <f>AW62+AX62</f>
        <v>0</v>
      </c>
      <c r="BD62" s="33">
        <f>G62/(100-BE62)*100</f>
        <v>0</v>
      </c>
      <c r="BE62" s="33">
        <v>0</v>
      </c>
      <c r="BF62" s="33">
        <f>62</f>
        <v>62</v>
      </c>
      <c r="BH62" s="31">
        <f>F62*AO62</f>
        <v>0</v>
      </c>
      <c r="BI62" s="31">
        <f>F62*AP62</f>
        <v>0</v>
      </c>
      <c r="BJ62" s="31">
        <f>F62*G62</f>
        <v>0</v>
      </c>
      <c r="BK62" s="34" t="s">
        <v>58</v>
      </c>
      <c r="BL62" s="33"/>
      <c r="BM62" s="33">
        <f>F62*G62</f>
        <v>0</v>
      </c>
      <c r="BW62" s="33">
        <v>21</v>
      </c>
      <c r="BX62" s="30" t="s">
        <v>156</v>
      </c>
    </row>
    <row r="63" spans="1:76" ht="14.5" x14ac:dyDescent="0.35">
      <c r="A63" s="36"/>
      <c r="C63" s="37" t="s">
        <v>51</v>
      </c>
      <c r="D63" s="38" t="s">
        <v>47</v>
      </c>
      <c r="F63" s="39">
        <v>1</v>
      </c>
      <c r="K63" s="40"/>
    </row>
    <row r="64" spans="1:76" ht="14.5" x14ac:dyDescent="0.35">
      <c r="A64" s="24" t="s">
        <v>47</v>
      </c>
      <c r="B64" s="25" t="s">
        <v>161</v>
      </c>
      <c r="C64" s="96" t="s">
        <v>162</v>
      </c>
      <c r="D64" s="97"/>
      <c r="E64" s="26" t="s">
        <v>3</v>
      </c>
      <c r="F64" s="26" t="s">
        <v>3</v>
      </c>
      <c r="G64" s="26" t="s">
        <v>3</v>
      </c>
      <c r="H64" s="1">
        <f>SUM(H65:H65)</f>
        <v>0</v>
      </c>
      <c r="I64" s="1">
        <f>SUM(I65:I65)</f>
        <v>0</v>
      </c>
      <c r="J64" s="1">
        <f>SUM(J65:J65)</f>
        <v>0</v>
      </c>
      <c r="K64" s="27" t="s">
        <v>47</v>
      </c>
      <c r="AI64" s="10" t="s">
        <v>51</v>
      </c>
      <c r="AS64" s="1">
        <f>SUM(AJ65:AJ65)</f>
        <v>0</v>
      </c>
      <c r="AT64" s="1">
        <f>SUM(AK65:AK65)</f>
        <v>0</v>
      </c>
      <c r="AU64" s="1">
        <f>SUM(AL65:AL65)</f>
        <v>0</v>
      </c>
    </row>
    <row r="65" spans="1:76" ht="14.5" x14ac:dyDescent="0.35">
      <c r="A65" s="28" t="s">
        <v>163</v>
      </c>
      <c r="B65" s="29" t="s">
        <v>164</v>
      </c>
      <c r="C65" s="88" t="s">
        <v>165</v>
      </c>
      <c r="D65" s="89"/>
      <c r="E65" s="29" t="s">
        <v>157</v>
      </c>
      <c r="F65" s="31">
        <v>1</v>
      </c>
      <c r="G65" s="31">
        <v>0</v>
      </c>
      <c r="H65" s="31">
        <f>ROUND(F65*AO65,2)</f>
        <v>0</v>
      </c>
      <c r="I65" s="31">
        <f>ROUND(F65*AP65,2)</f>
        <v>0</v>
      </c>
      <c r="J65" s="31">
        <f>ROUND(F65*G65,2)</f>
        <v>0</v>
      </c>
      <c r="K65" s="32" t="s">
        <v>306</v>
      </c>
      <c r="Z65" s="33">
        <f>ROUND(IF(AQ65="5",BJ65,0),2)</f>
        <v>0</v>
      </c>
      <c r="AB65" s="33">
        <f>ROUND(IF(AQ65="1",BH65,0),2)</f>
        <v>0</v>
      </c>
      <c r="AC65" s="33">
        <f>ROUND(IF(AQ65="1",BI65,0),2)</f>
        <v>0</v>
      </c>
      <c r="AD65" s="33">
        <f>ROUND(IF(AQ65="7",BH65,0),2)</f>
        <v>0</v>
      </c>
      <c r="AE65" s="33">
        <f>ROUND(IF(AQ65="7",BI65,0),2)</f>
        <v>0</v>
      </c>
      <c r="AF65" s="33">
        <f>ROUND(IF(AQ65="2",BH65,0),2)</f>
        <v>0</v>
      </c>
      <c r="AG65" s="33">
        <f>ROUND(IF(AQ65="2",BI65,0),2)</f>
        <v>0</v>
      </c>
      <c r="AH65" s="33">
        <f>ROUND(IF(AQ65="0",BJ65,0),2)</f>
        <v>0</v>
      </c>
      <c r="AI65" s="10" t="s">
        <v>51</v>
      </c>
      <c r="AJ65" s="31">
        <f>IF(AN65=0,J65,0)</f>
        <v>0</v>
      </c>
      <c r="AK65" s="31">
        <f>IF(AN65=12,J65,0)</f>
        <v>0</v>
      </c>
      <c r="AL65" s="31">
        <f>IF(AN65=21,J65,0)</f>
        <v>0</v>
      </c>
      <c r="AN65" s="33">
        <v>21</v>
      </c>
      <c r="AO65" s="33">
        <f>G65*0</f>
        <v>0</v>
      </c>
      <c r="AP65" s="33">
        <f>G65*(1-0)</f>
        <v>0</v>
      </c>
      <c r="AQ65" s="34" t="s">
        <v>158</v>
      </c>
      <c r="AV65" s="33">
        <f>ROUND(AW65+AX65,2)</f>
        <v>0</v>
      </c>
      <c r="AW65" s="33">
        <f>ROUND(F65*AO65,2)</f>
        <v>0</v>
      </c>
      <c r="AX65" s="33">
        <f>ROUND(F65*AP65,2)</f>
        <v>0</v>
      </c>
      <c r="AY65" s="35" t="s">
        <v>166</v>
      </c>
      <c r="AZ65" s="35" t="s">
        <v>160</v>
      </c>
      <c r="BA65" s="10" t="s">
        <v>57</v>
      </c>
      <c r="BC65" s="33">
        <f>AW65+AX65</f>
        <v>0</v>
      </c>
      <c r="BD65" s="33">
        <f>G65/(100-BE65)*100</f>
        <v>0</v>
      </c>
      <c r="BE65" s="33">
        <v>0</v>
      </c>
      <c r="BF65" s="33">
        <f>65</f>
        <v>65</v>
      </c>
      <c r="BH65" s="31">
        <f>F65*AO65</f>
        <v>0</v>
      </c>
      <c r="BI65" s="31">
        <f>F65*AP65</f>
        <v>0</v>
      </c>
      <c r="BJ65" s="31">
        <f>F65*G65</f>
        <v>0</v>
      </c>
      <c r="BK65" s="34" t="s">
        <v>58</v>
      </c>
      <c r="BL65" s="33"/>
      <c r="BT65" s="33">
        <f>F65*G65</f>
        <v>0</v>
      </c>
      <c r="BW65" s="33">
        <v>21</v>
      </c>
      <c r="BX65" s="30" t="s">
        <v>165</v>
      </c>
    </row>
    <row r="66" spans="1:76" ht="14.5" x14ac:dyDescent="0.35">
      <c r="A66" s="36"/>
      <c r="C66" s="37" t="s">
        <v>51</v>
      </c>
      <c r="D66" s="38" t="s">
        <v>167</v>
      </c>
      <c r="F66" s="39">
        <v>1</v>
      </c>
      <c r="K66" s="40"/>
    </row>
    <row r="67" spans="1:76" ht="14.5" x14ac:dyDescent="0.35">
      <c r="A67" s="41" t="s">
        <v>47</v>
      </c>
      <c r="B67" s="42" t="s">
        <v>47</v>
      </c>
      <c r="C67" s="98" t="s">
        <v>168</v>
      </c>
      <c r="D67" s="99"/>
      <c r="E67" s="43" t="s">
        <v>3</v>
      </c>
      <c r="F67" s="43" t="s">
        <v>3</v>
      </c>
      <c r="G67" s="43" t="s">
        <v>3</v>
      </c>
      <c r="H67" s="44">
        <f>H68+H72</f>
        <v>0</v>
      </c>
      <c r="I67" s="44">
        <f>I68+I72</f>
        <v>0</v>
      </c>
      <c r="J67" s="44">
        <f>J68+J72</f>
        <v>0</v>
      </c>
      <c r="K67" s="45" t="s">
        <v>47</v>
      </c>
    </row>
    <row r="68" spans="1:76" ht="14.5" x14ac:dyDescent="0.35">
      <c r="A68" s="24" t="s">
        <v>47</v>
      </c>
      <c r="B68" s="25" t="s">
        <v>169</v>
      </c>
      <c r="C68" s="96" t="s">
        <v>170</v>
      </c>
      <c r="D68" s="97"/>
      <c r="E68" s="26" t="s">
        <v>3</v>
      </c>
      <c r="F68" s="26" t="s">
        <v>3</v>
      </c>
      <c r="G68" s="26" t="s">
        <v>3</v>
      </c>
      <c r="H68" s="1">
        <f>SUM(H69:H69)</f>
        <v>0</v>
      </c>
      <c r="I68" s="1">
        <f>SUM(I69:I69)</f>
        <v>0</v>
      </c>
      <c r="J68" s="1">
        <f>SUM(J69:J69)</f>
        <v>0</v>
      </c>
      <c r="K68" s="27" t="s">
        <v>47</v>
      </c>
      <c r="AI68" s="10" t="s">
        <v>60</v>
      </c>
      <c r="AS68" s="1">
        <f>SUM(AJ69:AJ69)</f>
        <v>0</v>
      </c>
      <c r="AT68" s="1">
        <f>SUM(AK69:AK69)</f>
        <v>0</v>
      </c>
      <c r="AU68" s="1">
        <f>SUM(AL69:AL69)</f>
        <v>0</v>
      </c>
    </row>
    <row r="69" spans="1:76" ht="14.5" x14ac:dyDescent="0.35">
      <c r="A69" s="28" t="s">
        <v>171</v>
      </c>
      <c r="B69" s="29" t="s">
        <v>172</v>
      </c>
      <c r="C69" s="88" t="s">
        <v>173</v>
      </c>
      <c r="D69" s="89"/>
      <c r="E69" s="29" t="s">
        <v>135</v>
      </c>
      <c r="F69" s="31">
        <v>1</v>
      </c>
      <c r="G69" s="31">
        <v>0</v>
      </c>
      <c r="H69" s="31">
        <f>ROUND(F69*AO69,2)</f>
        <v>0</v>
      </c>
      <c r="I69" s="31">
        <f>ROUND(F69*AP69,2)</f>
        <v>0</v>
      </c>
      <c r="J69" s="31">
        <f>ROUND(F69*G69,2)</f>
        <v>0</v>
      </c>
      <c r="K69" s="32" t="s">
        <v>307</v>
      </c>
      <c r="Z69" s="33">
        <f>ROUND(IF(AQ69="5",BJ69,0),2)</f>
        <v>0</v>
      </c>
      <c r="AB69" s="33">
        <f>ROUND(IF(AQ69="1",BH69,0),2)</f>
        <v>0</v>
      </c>
      <c r="AC69" s="33">
        <f>ROUND(IF(AQ69="1",BI69,0),2)</f>
        <v>0</v>
      </c>
      <c r="AD69" s="33">
        <f>ROUND(IF(AQ69="7",BH69,0),2)</f>
        <v>0</v>
      </c>
      <c r="AE69" s="33">
        <f>ROUND(IF(AQ69="7",BI69,0),2)</f>
        <v>0</v>
      </c>
      <c r="AF69" s="33">
        <f>ROUND(IF(AQ69="2",BH69,0),2)</f>
        <v>0</v>
      </c>
      <c r="AG69" s="33">
        <f>ROUND(IF(AQ69="2",BI69,0),2)</f>
        <v>0</v>
      </c>
      <c r="AH69" s="33">
        <f>ROUND(IF(AQ69="0",BJ69,0),2)</f>
        <v>0</v>
      </c>
      <c r="AI69" s="10" t="s">
        <v>60</v>
      </c>
      <c r="AJ69" s="31">
        <f>IF(AN69=0,J69,0)</f>
        <v>0</v>
      </c>
      <c r="AK69" s="31">
        <f>IF(AN69=12,J69,0)</f>
        <v>0</v>
      </c>
      <c r="AL69" s="31">
        <f>IF(AN69=21,J69,0)</f>
        <v>0</v>
      </c>
      <c r="AN69" s="33">
        <v>21</v>
      </c>
      <c r="AO69" s="33">
        <f>G69*0</f>
        <v>0</v>
      </c>
      <c r="AP69" s="33">
        <f>G69*(1-0)</f>
        <v>0</v>
      </c>
      <c r="AQ69" s="34" t="s">
        <v>51</v>
      </c>
      <c r="AV69" s="33">
        <f>ROUND(AW69+AX69,2)</f>
        <v>0</v>
      </c>
      <c r="AW69" s="33">
        <f>ROUND(F69*AO69,2)</f>
        <v>0</v>
      </c>
      <c r="AX69" s="33">
        <f>ROUND(F69*AP69,2)</f>
        <v>0</v>
      </c>
      <c r="AY69" s="35" t="s">
        <v>174</v>
      </c>
      <c r="AZ69" s="35" t="s">
        <v>175</v>
      </c>
      <c r="BA69" s="10" t="s">
        <v>176</v>
      </c>
      <c r="BC69" s="33">
        <f>AW69+AX69</f>
        <v>0</v>
      </c>
      <c r="BD69" s="33">
        <f>G69/(100-BE69)*100</f>
        <v>0</v>
      </c>
      <c r="BE69" s="33">
        <v>0</v>
      </c>
      <c r="BF69" s="33">
        <f>69</f>
        <v>69</v>
      </c>
      <c r="BH69" s="31">
        <f>F69*AO69</f>
        <v>0</v>
      </c>
      <c r="BI69" s="31">
        <f>F69*AP69</f>
        <v>0</v>
      </c>
      <c r="BJ69" s="31">
        <f>F69*G69</f>
        <v>0</v>
      </c>
      <c r="BK69" s="34" t="s">
        <v>58</v>
      </c>
      <c r="BL69" s="33">
        <v>171</v>
      </c>
      <c r="BW69" s="33">
        <v>21</v>
      </c>
      <c r="BX69" s="30" t="s">
        <v>173</v>
      </c>
    </row>
    <row r="70" spans="1:76" ht="13.5" customHeight="1" x14ac:dyDescent="0.35">
      <c r="A70" s="36"/>
      <c r="C70" s="93" t="s">
        <v>303</v>
      </c>
      <c r="D70" s="94"/>
      <c r="E70" s="94"/>
      <c r="F70" s="94"/>
      <c r="G70" s="94"/>
      <c r="H70" s="94"/>
      <c r="I70" s="94"/>
      <c r="J70" s="94"/>
      <c r="K70" s="95"/>
    </row>
    <row r="71" spans="1:76" ht="14.5" x14ac:dyDescent="0.35">
      <c r="A71" s="36"/>
      <c r="C71" s="37" t="s">
        <v>51</v>
      </c>
      <c r="D71" s="38" t="s">
        <v>47</v>
      </c>
      <c r="F71" s="39">
        <v>1</v>
      </c>
      <c r="K71" s="40"/>
    </row>
    <row r="72" spans="1:76" ht="14.5" x14ac:dyDescent="0.35">
      <c r="A72" s="24" t="s">
        <v>47</v>
      </c>
      <c r="B72" s="25" t="s">
        <v>118</v>
      </c>
      <c r="C72" s="96" t="s">
        <v>119</v>
      </c>
      <c r="D72" s="97"/>
      <c r="E72" s="26" t="s">
        <v>3</v>
      </c>
      <c r="F72" s="26" t="s">
        <v>3</v>
      </c>
      <c r="G72" s="26" t="s">
        <v>3</v>
      </c>
      <c r="H72" s="1">
        <f>SUM(H73:H73)</f>
        <v>0</v>
      </c>
      <c r="I72" s="1">
        <f>SUM(I73:I73)</f>
        <v>0</v>
      </c>
      <c r="J72" s="1">
        <f>SUM(J73:J73)</f>
        <v>0</v>
      </c>
      <c r="K72" s="27" t="s">
        <v>47</v>
      </c>
      <c r="AI72" s="10" t="s">
        <v>60</v>
      </c>
      <c r="AS72" s="1">
        <f>SUM(AJ73:AJ73)</f>
        <v>0</v>
      </c>
      <c r="AT72" s="1">
        <f>SUM(AK73:AK73)</f>
        <v>0</v>
      </c>
      <c r="AU72" s="1">
        <f>SUM(AL73:AL73)</f>
        <v>0</v>
      </c>
    </row>
    <row r="73" spans="1:76" ht="14.5" x14ac:dyDescent="0.35">
      <c r="A73" s="28" t="s">
        <v>177</v>
      </c>
      <c r="B73" s="29" t="s">
        <v>120</v>
      </c>
      <c r="C73" s="88" t="s">
        <v>121</v>
      </c>
      <c r="D73" s="89"/>
      <c r="E73" s="29" t="s">
        <v>54</v>
      </c>
      <c r="F73" s="31">
        <v>12</v>
      </c>
      <c r="G73" s="31">
        <v>0</v>
      </c>
      <c r="H73" s="31">
        <f>ROUND(F73*AO73,2)</f>
        <v>0</v>
      </c>
      <c r="I73" s="31">
        <f>ROUND(F73*AP73,2)</f>
        <v>0</v>
      </c>
      <c r="J73" s="31">
        <f>ROUND(F73*G73,2)</f>
        <v>0</v>
      </c>
      <c r="K73" s="32" t="s">
        <v>307</v>
      </c>
      <c r="Z73" s="33">
        <f>ROUND(IF(AQ73="5",BJ73,0),2)</f>
        <v>0</v>
      </c>
      <c r="AB73" s="33">
        <f>ROUND(IF(AQ73="1",BH73,0),2)</f>
        <v>0</v>
      </c>
      <c r="AC73" s="33">
        <f>ROUND(IF(AQ73="1",BI73,0),2)</f>
        <v>0</v>
      </c>
      <c r="AD73" s="33">
        <f>ROUND(IF(AQ73="7",BH73,0),2)</f>
        <v>0</v>
      </c>
      <c r="AE73" s="33">
        <f>ROUND(IF(AQ73="7",BI73,0),2)</f>
        <v>0</v>
      </c>
      <c r="AF73" s="33">
        <f>ROUND(IF(AQ73="2",BH73,0),2)</f>
        <v>0</v>
      </c>
      <c r="AG73" s="33">
        <f>ROUND(IF(AQ73="2",BI73,0),2)</f>
        <v>0</v>
      </c>
      <c r="AH73" s="33">
        <f>ROUND(IF(AQ73="0",BJ73,0),2)</f>
        <v>0</v>
      </c>
      <c r="AI73" s="10" t="s">
        <v>60</v>
      </c>
      <c r="AJ73" s="31">
        <f>IF(AN73=0,J73,0)</f>
        <v>0</v>
      </c>
      <c r="AK73" s="31">
        <f>IF(AN73=12,J73,0)</f>
        <v>0</v>
      </c>
      <c r="AL73" s="31">
        <f>IF(AN73=21,J73,0)</f>
        <v>0</v>
      </c>
      <c r="AN73" s="33">
        <v>21</v>
      </c>
      <c r="AO73" s="33">
        <f>G73*0</f>
        <v>0</v>
      </c>
      <c r="AP73" s="33">
        <f>G73*(1-0)</f>
        <v>0</v>
      </c>
      <c r="AQ73" s="34" t="s">
        <v>51</v>
      </c>
      <c r="AV73" s="33">
        <f>ROUND(AW73+AX73,2)</f>
        <v>0</v>
      </c>
      <c r="AW73" s="33">
        <f>ROUND(F73*AO73,2)</f>
        <v>0</v>
      </c>
      <c r="AX73" s="33">
        <f>ROUND(F73*AP73,2)</f>
        <v>0</v>
      </c>
      <c r="AY73" s="35" t="s">
        <v>122</v>
      </c>
      <c r="AZ73" s="35" t="s">
        <v>178</v>
      </c>
      <c r="BA73" s="10" t="s">
        <v>176</v>
      </c>
      <c r="BC73" s="33">
        <f>AW73+AX73</f>
        <v>0</v>
      </c>
      <c r="BD73" s="33">
        <f>G73/(100-BE73)*100</f>
        <v>0</v>
      </c>
      <c r="BE73" s="33">
        <v>0</v>
      </c>
      <c r="BF73" s="33">
        <f>73</f>
        <v>73</v>
      </c>
      <c r="BH73" s="31">
        <f>F73*AO73</f>
        <v>0</v>
      </c>
      <c r="BI73" s="31">
        <f>F73*AP73</f>
        <v>0</v>
      </c>
      <c r="BJ73" s="31">
        <f>F73*G73</f>
        <v>0</v>
      </c>
      <c r="BK73" s="34" t="s">
        <v>58</v>
      </c>
      <c r="BL73" s="33">
        <v>564</v>
      </c>
      <c r="BW73" s="33">
        <v>21</v>
      </c>
      <c r="BX73" s="30" t="s">
        <v>121</v>
      </c>
    </row>
    <row r="74" spans="1:76" ht="13.5" customHeight="1" x14ac:dyDescent="0.35">
      <c r="A74" s="36"/>
      <c r="C74" s="93" t="s">
        <v>302</v>
      </c>
      <c r="D74" s="94"/>
      <c r="E74" s="94"/>
      <c r="F74" s="94"/>
      <c r="G74" s="94"/>
      <c r="H74" s="94"/>
      <c r="I74" s="94"/>
      <c r="J74" s="94"/>
      <c r="K74" s="95"/>
    </row>
    <row r="75" spans="1:76" ht="14.5" x14ac:dyDescent="0.35">
      <c r="A75" s="36"/>
      <c r="C75" s="37" t="s">
        <v>64</v>
      </c>
      <c r="D75" s="38" t="s">
        <v>47</v>
      </c>
      <c r="F75" s="39">
        <v>12</v>
      </c>
      <c r="K75" s="40"/>
    </row>
    <row r="76" spans="1:76" ht="14.5" x14ac:dyDescent="0.35">
      <c r="A76" s="41" t="s">
        <v>47</v>
      </c>
      <c r="B76" s="42" t="s">
        <v>47</v>
      </c>
      <c r="C76" s="98" t="s">
        <v>179</v>
      </c>
      <c r="D76" s="99"/>
      <c r="E76" s="43" t="s">
        <v>3</v>
      </c>
      <c r="F76" s="43" t="s">
        <v>3</v>
      </c>
      <c r="G76" s="43" t="s">
        <v>3</v>
      </c>
      <c r="H76" s="44">
        <f>H77+H101</f>
        <v>0</v>
      </c>
      <c r="I76" s="44">
        <f>I77+I101</f>
        <v>0</v>
      </c>
      <c r="J76" s="44">
        <f>J77+J101</f>
        <v>0</v>
      </c>
      <c r="K76" s="45" t="s">
        <v>47</v>
      </c>
    </row>
    <row r="77" spans="1:76" ht="14.5" x14ac:dyDescent="0.35">
      <c r="A77" s="24" t="s">
        <v>47</v>
      </c>
      <c r="B77" s="25" t="s">
        <v>130</v>
      </c>
      <c r="C77" s="96" t="s">
        <v>131</v>
      </c>
      <c r="D77" s="97"/>
      <c r="E77" s="26" t="s">
        <v>3</v>
      </c>
      <c r="F77" s="26" t="s">
        <v>3</v>
      </c>
      <c r="G77" s="26" t="s">
        <v>3</v>
      </c>
      <c r="H77" s="1">
        <f>SUM(H78:H99)</f>
        <v>0</v>
      </c>
      <c r="I77" s="1">
        <f>SUM(I78:I99)</f>
        <v>0</v>
      </c>
      <c r="J77" s="1">
        <f>SUM(J78:J99)</f>
        <v>0</v>
      </c>
      <c r="K77" s="27" t="s">
        <v>47</v>
      </c>
      <c r="AI77" s="10" t="s">
        <v>66</v>
      </c>
      <c r="AS77" s="1">
        <f>SUM(AJ78:AJ99)</f>
        <v>0</v>
      </c>
      <c r="AT77" s="1">
        <f>SUM(AK78:AK99)</f>
        <v>0</v>
      </c>
      <c r="AU77" s="1">
        <f>SUM(AL78:AL99)</f>
        <v>0</v>
      </c>
    </row>
    <row r="78" spans="1:76" ht="14.5" x14ac:dyDescent="0.35">
      <c r="A78" s="28" t="s">
        <v>180</v>
      </c>
      <c r="B78" s="29" t="s">
        <v>181</v>
      </c>
      <c r="C78" s="88" t="s">
        <v>182</v>
      </c>
      <c r="D78" s="89"/>
      <c r="E78" s="29" t="s">
        <v>183</v>
      </c>
      <c r="F78" s="31">
        <v>1</v>
      </c>
      <c r="G78" s="31">
        <v>0</v>
      </c>
      <c r="H78" s="31">
        <f>ROUND(F78*AO78,2)</f>
        <v>0</v>
      </c>
      <c r="I78" s="31">
        <f>ROUND(F78*AP78,2)</f>
        <v>0</v>
      </c>
      <c r="J78" s="31">
        <f>ROUND(F78*G78,2)</f>
        <v>0</v>
      </c>
      <c r="K78" s="32" t="s">
        <v>307</v>
      </c>
      <c r="Z78" s="33">
        <f>ROUND(IF(AQ78="5",BJ78,0),2)</f>
        <v>0</v>
      </c>
      <c r="AB78" s="33">
        <f>ROUND(IF(AQ78="1",BH78,0),2)</f>
        <v>0</v>
      </c>
      <c r="AC78" s="33">
        <f>ROUND(IF(AQ78="1",BI78,0),2)</f>
        <v>0</v>
      </c>
      <c r="AD78" s="33">
        <f>ROUND(IF(AQ78="7",BH78,0),2)</f>
        <v>0</v>
      </c>
      <c r="AE78" s="33">
        <f>ROUND(IF(AQ78="7",BI78,0),2)</f>
        <v>0</v>
      </c>
      <c r="AF78" s="33">
        <f>ROUND(IF(AQ78="2",BH78,0),2)</f>
        <v>0</v>
      </c>
      <c r="AG78" s="33">
        <f>ROUND(IF(AQ78="2",BI78,0),2)</f>
        <v>0</v>
      </c>
      <c r="AH78" s="33">
        <f>ROUND(IF(AQ78="0",BJ78,0),2)</f>
        <v>0</v>
      </c>
      <c r="AI78" s="10" t="s">
        <v>66</v>
      </c>
      <c r="AJ78" s="31">
        <f>IF(AN78=0,J78,0)</f>
        <v>0</v>
      </c>
      <c r="AK78" s="31">
        <f>IF(AN78=12,J78,0)</f>
        <v>0</v>
      </c>
      <c r="AL78" s="31">
        <f>IF(AN78=21,J78,0)</f>
        <v>0</v>
      </c>
      <c r="AN78" s="33">
        <v>21</v>
      </c>
      <c r="AO78" s="33">
        <f>G78*0</f>
        <v>0</v>
      </c>
      <c r="AP78" s="33">
        <f>G78*(1-0)</f>
        <v>0</v>
      </c>
      <c r="AQ78" s="34" t="s">
        <v>89</v>
      </c>
      <c r="AV78" s="33">
        <f>ROUND(AW78+AX78,2)</f>
        <v>0</v>
      </c>
      <c r="AW78" s="33">
        <f>ROUND(F78*AO78,2)</f>
        <v>0</v>
      </c>
      <c r="AX78" s="33">
        <f>ROUND(F78*AP78,2)</f>
        <v>0</v>
      </c>
      <c r="AY78" s="35" t="s">
        <v>136</v>
      </c>
      <c r="AZ78" s="35" t="s">
        <v>184</v>
      </c>
      <c r="BA78" s="10" t="s">
        <v>185</v>
      </c>
      <c r="BC78" s="33">
        <f>AW78+AX78</f>
        <v>0</v>
      </c>
      <c r="BD78" s="33">
        <f>G78/(100-BE78)*100</f>
        <v>0</v>
      </c>
      <c r="BE78" s="33">
        <v>0</v>
      </c>
      <c r="BF78" s="33">
        <f>78</f>
        <v>78</v>
      </c>
      <c r="BH78" s="31">
        <f>F78*AO78</f>
        <v>0</v>
      </c>
      <c r="BI78" s="31">
        <f>F78*AP78</f>
        <v>0</v>
      </c>
      <c r="BJ78" s="31">
        <f>F78*G78</f>
        <v>0</v>
      </c>
      <c r="BK78" s="34" t="s">
        <v>58</v>
      </c>
      <c r="BL78" s="33">
        <v>762</v>
      </c>
      <c r="BW78" s="33">
        <v>21</v>
      </c>
      <c r="BX78" s="30" t="s">
        <v>182</v>
      </c>
    </row>
    <row r="79" spans="1:76" ht="13.5" customHeight="1" x14ac:dyDescent="0.35">
      <c r="A79" s="36"/>
      <c r="C79" s="93" t="s">
        <v>186</v>
      </c>
      <c r="D79" s="94"/>
      <c r="E79" s="94"/>
      <c r="F79" s="94"/>
      <c r="G79" s="94"/>
      <c r="H79" s="94"/>
      <c r="I79" s="94"/>
      <c r="J79" s="94"/>
      <c r="K79" s="95"/>
    </row>
    <row r="80" spans="1:76" ht="14.5" x14ac:dyDescent="0.35">
      <c r="A80" s="36"/>
      <c r="C80" s="37" t="s">
        <v>51</v>
      </c>
      <c r="D80" s="38" t="s">
        <v>187</v>
      </c>
      <c r="F80" s="39">
        <v>1</v>
      </c>
      <c r="K80" s="40"/>
    </row>
    <row r="81" spans="1:76" ht="14.5" x14ac:dyDescent="0.35">
      <c r="A81" s="28" t="s">
        <v>188</v>
      </c>
      <c r="B81" s="29" t="s">
        <v>189</v>
      </c>
      <c r="C81" s="88" t="s">
        <v>190</v>
      </c>
      <c r="D81" s="89"/>
      <c r="E81" s="29" t="s">
        <v>183</v>
      </c>
      <c r="F81" s="31">
        <v>1</v>
      </c>
      <c r="G81" s="31">
        <v>0</v>
      </c>
      <c r="H81" s="31">
        <f>ROUND(F81*AO81,2)</f>
        <v>0</v>
      </c>
      <c r="I81" s="31">
        <f>ROUND(F81*AP81,2)</f>
        <v>0</v>
      </c>
      <c r="J81" s="31">
        <f>ROUND(F81*G81,2)</f>
        <v>0</v>
      </c>
      <c r="K81" s="32" t="s">
        <v>307</v>
      </c>
      <c r="Z81" s="33">
        <f>ROUND(IF(AQ81="5",BJ81,0),2)</f>
        <v>0</v>
      </c>
      <c r="AB81" s="33">
        <f>ROUND(IF(AQ81="1",BH81,0),2)</f>
        <v>0</v>
      </c>
      <c r="AC81" s="33">
        <f>ROUND(IF(AQ81="1",BI81,0),2)</f>
        <v>0</v>
      </c>
      <c r="AD81" s="33">
        <f>ROUND(IF(AQ81="7",BH81,0),2)</f>
        <v>0</v>
      </c>
      <c r="AE81" s="33">
        <f>ROUND(IF(AQ81="7",BI81,0),2)</f>
        <v>0</v>
      </c>
      <c r="AF81" s="33">
        <f>ROUND(IF(AQ81="2",BH81,0),2)</f>
        <v>0</v>
      </c>
      <c r="AG81" s="33">
        <f>ROUND(IF(AQ81="2",BI81,0),2)</f>
        <v>0</v>
      </c>
      <c r="AH81" s="33">
        <f>ROUND(IF(AQ81="0",BJ81,0),2)</f>
        <v>0</v>
      </c>
      <c r="AI81" s="10" t="s">
        <v>66</v>
      </c>
      <c r="AJ81" s="31">
        <f>IF(AN81=0,J81,0)</f>
        <v>0</v>
      </c>
      <c r="AK81" s="31">
        <f>IF(AN81=12,J81,0)</f>
        <v>0</v>
      </c>
      <c r="AL81" s="31">
        <f>IF(AN81=21,J81,0)</f>
        <v>0</v>
      </c>
      <c r="AN81" s="33">
        <v>21</v>
      </c>
      <c r="AO81" s="33">
        <f>G81*0</f>
        <v>0</v>
      </c>
      <c r="AP81" s="33">
        <f>G81*(1-0)</f>
        <v>0</v>
      </c>
      <c r="AQ81" s="34" t="s">
        <v>89</v>
      </c>
      <c r="AV81" s="33">
        <f>ROUND(AW81+AX81,2)</f>
        <v>0</v>
      </c>
      <c r="AW81" s="33">
        <f>ROUND(F81*AO81,2)</f>
        <v>0</v>
      </c>
      <c r="AX81" s="33">
        <f>ROUND(F81*AP81,2)</f>
        <v>0</v>
      </c>
      <c r="AY81" s="35" t="s">
        <v>136</v>
      </c>
      <c r="AZ81" s="35" t="s">
        <v>184</v>
      </c>
      <c r="BA81" s="10" t="s">
        <v>185</v>
      </c>
      <c r="BC81" s="33">
        <f>AW81+AX81</f>
        <v>0</v>
      </c>
      <c r="BD81" s="33">
        <f>G81/(100-BE81)*100</f>
        <v>0</v>
      </c>
      <c r="BE81" s="33">
        <v>0</v>
      </c>
      <c r="BF81" s="33">
        <f>81</f>
        <v>81</v>
      </c>
      <c r="BH81" s="31">
        <f>F81*AO81</f>
        <v>0</v>
      </c>
      <c r="BI81" s="31">
        <f>F81*AP81</f>
        <v>0</v>
      </c>
      <c r="BJ81" s="31">
        <f>F81*G81</f>
        <v>0</v>
      </c>
      <c r="BK81" s="34" t="s">
        <v>58</v>
      </c>
      <c r="BL81" s="33">
        <v>762</v>
      </c>
      <c r="BW81" s="33">
        <v>21</v>
      </c>
      <c r="BX81" s="30" t="s">
        <v>190</v>
      </c>
    </row>
    <row r="82" spans="1:76" ht="13.5" customHeight="1" x14ac:dyDescent="0.35">
      <c r="A82" s="36"/>
      <c r="C82" s="93" t="s">
        <v>186</v>
      </c>
      <c r="D82" s="94"/>
      <c r="E82" s="94"/>
      <c r="F82" s="94"/>
      <c r="G82" s="94"/>
      <c r="H82" s="94"/>
      <c r="I82" s="94"/>
      <c r="J82" s="94"/>
      <c r="K82" s="95"/>
    </row>
    <row r="83" spans="1:76" ht="14.5" x14ac:dyDescent="0.35">
      <c r="A83" s="36"/>
      <c r="C83" s="37" t="s">
        <v>51</v>
      </c>
      <c r="D83" s="38" t="s">
        <v>191</v>
      </c>
      <c r="F83" s="39">
        <v>1</v>
      </c>
      <c r="K83" s="40"/>
    </row>
    <row r="84" spans="1:76" ht="14.5" x14ac:dyDescent="0.35">
      <c r="A84" s="28" t="s">
        <v>192</v>
      </c>
      <c r="B84" s="29" t="s">
        <v>193</v>
      </c>
      <c r="C84" s="88" t="s">
        <v>194</v>
      </c>
      <c r="D84" s="89"/>
      <c r="E84" s="29" t="s">
        <v>183</v>
      </c>
      <c r="F84" s="31">
        <v>1</v>
      </c>
      <c r="G84" s="31">
        <v>0</v>
      </c>
      <c r="H84" s="31">
        <f>ROUND(F84*AO84,2)</f>
        <v>0</v>
      </c>
      <c r="I84" s="31">
        <f>ROUND(F84*AP84,2)</f>
        <v>0</v>
      </c>
      <c r="J84" s="31">
        <f>ROUND(F84*G84,2)</f>
        <v>0</v>
      </c>
      <c r="K84" s="32" t="s">
        <v>307</v>
      </c>
      <c r="Z84" s="33">
        <f>ROUND(IF(AQ84="5",BJ84,0),2)</f>
        <v>0</v>
      </c>
      <c r="AB84" s="33">
        <f>ROUND(IF(AQ84="1",BH84,0),2)</f>
        <v>0</v>
      </c>
      <c r="AC84" s="33">
        <f>ROUND(IF(AQ84="1",BI84,0),2)</f>
        <v>0</v>
      </c>
      <c r="AD84" s="33">
        <f>ROUND(IF(AQ84="7",BH84,0),2)</f>
        <v>0</v>
      </c>
      <c r="AE84" s="33">
        <f>ROUND(IF(AQ84="7",BI84,0),2)</f>
        <v>0</v>
      </c>
      <c r="AF84" s="33">
        <f>ROUND(IF(AQ84="2",BH84,0),2)</f>
        <v>0</v>
      </c>
      <c r="AG84" s="33">
        <f>ROUND(IF(AQ84="2",BI84,0),2)</f>
        <v>0</v>
      </c>
      <c r="AH84" s="33">
        <f>ROUND(IF(AQ84="0",BJ84,0),2)</f>
        <v>0</v>
      </c>
      <c r="AI84" s="10" t="s">
        <v>66</v>
      </c>
      <c r="AJ84" s="31">
        <f>IF(AN84=0,J84,0)</f>
        <v>0</v>
      </c>
      <c r="AK84" s="31">
        <f>IF(AN84=12,J84,0)</f>
        <v>0</v>
      </c>
      <c r="AL84" s="31">
        <f>IF(AN84=21,J84,0)</f>
        <v>0</v>
      </c>
      <c r="AN84" s="33">
        <v>21</v>
      </c>
      <c r="AO84" s="33">
        <f>G84*0</f>
        <v>0</v>
      </c>
      <c r="AP84" s="33">
        <f>G84*(1-0)</f>
        <v>0</v>
      </c>
      <c r="AQ84" s="34" t="s">
        <v>89</v>
      </c>
      <c r="AV84" s="33">
        <f>ROUND(AW84+AX84,2)</f>
        <v>0</v>
      </c>
      <c r="AW84" s="33">
        <f>ROUND(F84*AO84,2)</f>
        <v>0</v>
      </c>
      <c r="AX84" s="33">
        <f>ROUND(F84*AP84,2)</f>
        <v>0</v>
      </c>
      <c r="AY84" s="35" t="s">
        <v>136</v>
      </c>
      <c r="AZ84" s="35" t="s">
        <v>184</v>
      </c>
      <c r="BA84" s="10" t="s">
        <v>185</v>
      </c>
      <c r="BC84" s="33">
        <f>AW84+AX84</f>
        <v>0</v>
      </c>
      <c r="BD84" s="33">
        <f>G84/(100-BE84)*100</f>
        <v>0</v>
      </c>
      <c r="BE84" s="33">
        <v>0</v>
      </c>
      <c r="BF84" s="33">
        <f>84</f>
        <v>84</v>
      </c>
      <c r="BH84" s="31">
        <f>F84*AO84</f>
        <v>0</v>
      </c>
      <c r="BI84" s="31">
        <f>F84*AP84</f>
        <v>0</v>
      </c>
      <c r="BJ84" s="31">
        <f>F84*G84</f>
        <v>0</v>
      </c>
      <c r="BK84" s="34" t="s">
        <v>58</v>
      </c>
      <c r="BL84" s="33">
        <v>762</v>
      </c>
      <c r="BW84" s="33">
        <v>21</v>
      </c>
      <c r="BX84" s="30" t="s">
        <v>194</v>
      </c>
    </row>
    <row r="85" spans="1:76" ht="13.5" customHeight="1" x14ac:dyDescent="0.35">
      <c r="A85" s="36"/>
      <c r="C85" s="93" t="s">
        <v>195</v>
      </c>
      <c r="D85" s="94"/>
      <c r="E85" s="94"/>
      <c r="F85" s="94"/>
      <c r="G85" s="94"/>
      <c r="H85" s="94"/>
      <c r="I85" s="94"/>
      <c r="J85" s="94"/>
      <c r="K85" s="95"/>
    </row>
    <row r="86" spans="1:76" ht="14.5" x14ac:dyDescent="0.35">
      <c r="A86" s="36"/>
      <c r="C86" s="37" t="s">
        <v>51</v>
      </c>
      <c r="D86" s="38" t="s">
        <v>47</v>
      </c>
      <c r="F86" s="39">
        <v>1</v>
      </c>
      <c r="K86" s="40"/>
    </row>
    <row r="87" spans="1:76" ht="14.5" x14ac:dyDescent="0.35">
      <c r="A87" s="28" t="s">
        <v>63</v>
      </c>
      <c r="B87" s="29" t="s">
        <v>196</v>
      </c>
      <c r="C87" s="88" t="s">
        <v>197</v>
      </c>
      <c r="D87" s="89"/>
      <c r="E87" s="29" t="s">
        <v>183</v>
      </c>
      <c r="F87" s="31">
        <v>1</v>
      </c>
      <c r="G87" s="31">
        <v>0</v>
      </c>
      <c r="H87" s="31">
        <f>ROUND(F87*AO87,2)</f>
        <v>0</v>
      </c>
      <c r="I87" s="31">
        <f>ROUND(F87*AP87,2)</f>
        <v>0</v>
      </c>
      <c r="J87" s="31">
        <f>ROUND(F87*G87,2)</f>
        <v>0</v>
      </c>
      <c r="K87" s="32" t="s">
        <v>307</v>
      </c>
      <c r="Z87" s="33">
        <f>ROUND(IF(AQ87="5",BJ87,0),2)</f>
        <v>0</v>
      </c>
      <c r="AB87" s="33">
        <f>ROUND(IF(AQ87="1",BH87,0),2)</f>
        <v>0</v>
      </c>
      <c r="AC87" s="33">
        <f>ROUND(IF(AQ87="1",BI87,0),2)</f>
        <v>0</v>
      </c>
      <c r="AD87" s="33">
        <f>ROUND(IF(AQ87="7",BH87,0),2)</f>
        <v>0</v>
      </c>
      <c r="AE87" s="33">
        <f>ROUND(IF(AQ87="7",BI87,0),2)</f>
        <v>0</v>
      </c>
      <c r="AF87" s="33">
        <f>ROUND(IF(AQ87="2",BH87,0),2)</f>
        <v>0</v>
      </c>
      <c r="AG87" s="33">
        <f>ROUND(IF(AQ87="2",BI87,0),2)</f>
        <v>0</v>
      </c>
      <c r="AH87" s="33">
        <f>ROUND(IF(AQ87="0",BJ87,0),2)</f>
        <v>0</v>
      </c>
      <c r="AI87" s="10" t="s">
        <v>66</v>
      </c>
      <c r="AJ87" s="31">
        <f>IF(AN87=0,J87,0)</f>
        <v>0</v>
      </c>
      <c r="AK87" s="31">
        <f>IF(AN87=12,J87,0)</f>
        <v>0</v>
      </c>
      <c r="AL87" s="31">
        <f>IF(AN87=21,J87,0)</f>
        <v>0</v>
      </c>
      <c r="AN87" s="33">
        <v>21</v>
      </c>
      <c r="AO87" s="33">
        <f>G87*0</f>
        <v>0</v>
      </c>
      <c r="AP87" s="33">
        <f>G87*(1-0)</f>
        <v>0</v>
      </c>
      <c r="AQ87" s="34" t="s">
        <v>89</v>
      </c>
      <c r="AV87" s="33">
        <f>ROUND(AW87+AX87,2)</f>
        <v>0</v>
      </c>
      <c r="AW87" s="33">
        <f>ROUND(F87*AO87,2)</f>
        <v>0</v>
      </c>
      <c r="AX87" s="33">
        <f>ROUND(F87*AP87,2)</f>
        <v>0</v>
      </c>
      <c r="AY87" s="35" t="s">
        <v>136</v>
      </c>
      <c r="AZ87" s="35" t="s">
        <v>184</v>
      </c>
      <c r="BA87" s="10" t="s">
        <v>185</v>
      </c>
      <c r="BC87" s="33">
        <f>AW87+AX87</f>
        <v>0</v>
      </c>
      <c r="BD87" s="33">
        <f>G87/(100-BE87)*100</f>
        <v>0</v>
      </c>
      <c r="BE87" s="33">
        <v>0</v>
      </c>
      <c r="BF87" s="33">
        <f>87</f>
        <v>87</v>
      </c>
      <c r="BH87" s="31">
        <f>F87*AO87</f>
        <v>0</v>
      </c>
      <c r="BI87" s="31">
        <f>F87*AP87</f>
        <v>0</v>
      </c>
      <c r="BJ87" s="31">
        <f>F87*G87</f>
        <v>0</v>
      </c>
      <c r="BK87" s="34" t="s">
        <v>58</v>
      </c>
      <c r="BL87" s="33">
        <v>762</v>
      </c>
      <c r="BW87" s="33">
        <v>21</v>
      </c>
      <c r="BX87" s="30" t="s">
        <v>197</v>
      </c>
    </row>
    <row r="88" spans="1:76" ht="13.5" customHeight="1" x14ac:dyDescent="0.35">
      <c r="A88" s="36"/>
      <c r="C88" s="93" t="s">
        <v>195</v>
      </c>
      <c r="D88" s="94"/>
      <c r="E88" s="94"/>
      <c r="F88" s="94"/>
      <c r="G88" s="94"/>
      <c r="H88" s="94"/>
      <c r="I88" s="94"/>
      <c r="J88" s="94"/>
      <c r="K88" s="95"/>
    </row>
    <row r="89" spans="1:76" ht="14.5" x14ac:dyDescent="0.35">
      <c r="A89" s="36"/>
      <c r="C89" s="37" t="s">
        <v>51</v>
      </c>
      <c r="D89" s="38" t="s">
        <v>47</v>
      </c>
      <c r="F89" s="39">
        <v>1</v>
      </c>
      <c r="K89" s="40"/>
    </row>
    <row r="90" spans="1:76" ht="14.5" x14ac:dyDescent="0.35">
      <c r="A90" s="28" t="s">
        <v>198</v>
      </c>
      <c r="B90" s="29" t="s">
        <v>199</v>
      </c>
      <c r="C90" s="88" t="s">
        <v>200</v>
      </c>
      <c r="D90" s="89"/>
      <c r="E90" s="29" t="s">
        <v>183</v>
      </c>
      <c r="F90" s="31">
        <v>2</v>
      </c>
      <c r="G90" s="31">
        <v>0</v>
      </c>
      <c r="H90" s="31">
        <f>ROUND(F90*AO90,2)</f>
        <v>0</v>
      </c>
      <c r="I90" s="31">
        <f>ROUND(F90*AP90,2)</f>
        <v>0</v>
      </c>
      <c r="J90" s="31">
        <f>ROUND(F90*G90,2)</f>
        <v>0</v>
      </c>
      <c r="K90" s="32" t="s">
        <v>307</v>
      </c>
      <c r="Z90" s="33">
        <f>ROUND(IF(AQ90="5",BJ90,0),2)</f>
        <v>0</v>
      </c>
      <c r="AB90" s="33">
        <f>ROUND(IF(AQ90="1",BH90,0),2)</f>
        <v>0</v>
      </c>
      <c r="AC90" s="33">
        <f>ROUND(IF(AQ90="1",BI90,0),2)</f>
        <v>0</v>
      </c>
      <c r="AD90" s="33">
        <f>ROUND(IF(AQ90="7",BH90,0),2)</f>
        <v>0</v>
      </c>
      <c r="AE90" s="33">
        <f>ROUND(IF(AQ90="7",BI90,0),2)</f>
        <v>0</v>
      </c>
      <c r="AF90" s="33">
        <f>ROUND(IF(AQ90="2",BH90,0),2)</f>
        <v>0</v>
      </c>
      <c r="AG90" s="33">
        <f>ROUND(IF(AQ90="2",BI90,0),2)</f>
        <v>0</v>
      </c>
      <c r="AH90" s="33">
        <f>ROUND(IF(AQ90="0",BJ90,0),2)</f>
        <v>0</v>
      </c>
      <c r="AI90" s="10" t="s">
        <v>66</v>
      </c>
      <c r="AJ90" s="31">
        <f>IF(AN90=0,J90,0)</f>
        <v>0</v>
      </c>
      <c r="AK90" s="31">
        <f>IF(AN90=12,J90,0)</f>
        <v>0</v>
      </c>
      <c r="AL90" s="31">
        <f>IF(AN90=21,J90,0)</f>
        <v>0</v>
      </c>
      <c r="AN90" s="33">
        <v>21</v>
      </c>
      <c r="AO90" s="33">
        <f>G90*0</f>
        <v>0</v>
      </c>
      <c r="AP90" s="33">
        <f>G90*(1-0)</f>
        <v>0</v>
      </c>
      <c r="AQ90" s="34" t="s">
        <v>89</v>
      </c>
      <c r="AV90" s="33">
        <f>ROUND(AW90+AX90,2)</f>
        <v>0</v>
      </c>
      <c r="AW90" s="33">
        <f>ROUND(F90*AO90,2)</f>
        <v>0</v>
      </c>
      <c r="AX90" s="33">
        <f>ROUND(F90*AP90,2)</f>
        <v>0</v>
      </c>
      <c r="AY90" s="35" t="s">
        <v>136</v>
      </c>
      <c r="AZ90" s="35" t="s">
        <v>184</v>
      </c>
      <c r="BA90" s="10" t="s">
        <v>185</v>
      </c>
      <c r="BC90" s="33">
        <f>AW90+AX90</f>
        <v>0</v>
      </c>
      <c r="BD90" s="33">
        <f>G90/(100-BE90)*100</f>
        <v>0</v>
      </c>
      <c r="BE90" s="33">
        <v>0</v>
      </c>
      <c r="BF90" s="33">
        <f>90</f>
        <v>90</v>
      </c>
      <c r="BH90" s="31">
        <f>F90*AO90</f>
        <v>0</v>
      </c>
      <c r="BI90" s="31">
        <f>F90*AP90</f>
        <v>0</v>
      </c>
      <c r="BJ90" s="31">
        <f>F90*G90</f>
        <v>0</v>
      </c>
      <c r="BK90" s="34" t="s">
        <v>58</v>
      </c>
      <c r="BL90" s="33">
        <v>762</v>
      </c>
      <c r="BW90" s="33">
        <v>21</v>
      </c>
      <c r="BX90" s="30" t="s">
        <v>200</v>
      </c>
    </row>
    <row r="91" spans="1:76" ht="13.5" customHeight="1" x14ac:dyDescent="0.35">
      <c r="A91" s="36"/>
      <c r="C91" s="93" t="s">
        <v>195</v>
      </c>
      <c r="D91" s="94"/>
      <c r="E91" s="94"/>
      <c r="F91" s="94"/>
      <c r="G91" s="94"/>
      <c r="H91" s="94"/>
      <c r="I91" s="94"/>
      <c r="J91" s="94"/>
      <c r="K91" s="95"/>
    </row>
    <row r="92" spans="1:76" ht="14.5" x14ac:dyDescent="0.35">
      <c r="A92" s="36"/>
      <c r="C92" s="37" t="s">
        <v>60</v>
      </c>
      <c r="D92" s="38" t="s">
        <v>47</v>
      </c>
      <c r="F92" s="39">
        <v>2</v>
      </c>
      <c r="K92" s="40"/>
    </row>
    <row r="93" spans="1:76" ht="14.5" x14ac:dyDescent="0.35">
      <c r="A93" s="28" t="s">
        <v>111</v>
      </c>
      <c r="B93" s="29" t="s">
        <v>201</v>
      </c>
      <c r="C93" s="88" t="s">
        <v>202</v>
      </c>
      <c r="D93" s="89"/>
      <c r="E93" s="29" t="s">
        <v>183</v>
      </c>
      <c r="F93" s="31">
        <v>2</v>
      </c>
      <c r="G93" s="31">
        <v>0</v>
      </c>
      <c r="H93" s="31">
        <f>ROUND(F93*AO93,2)</f>
        <v>0</v>
      </c>
      <c r="I93" s="31">
        <f>ROUND(F93*AP93,2)</f>
        <v>0</v>
      </c>
      <c r="J93" s="31">
        <f>ROUND(F93*G93,2)</f>
        <v>0</v>
      </c>
      <c r="K93" s="32" t="s">
        <v>307</v>
      </c>
      <c r="Z93" s="33">
        <f>ROUND(IF(AQ93="5",BJ93,0),2)</f>
        <v>0</v>
      </c>
      <c r="AB93" s="33">
        <f>ROUND(IF(AQ93="1",BH93,0),2)</f>
        <v>0</v>
      </c>
      <c r="AC93" s="33">
        <f>ROUND(IF(AQ93="1",BI93,0),2)</f>
        <v>0</v>
      </c>
      <c r="AD93" s="33">
        <f>ROUND(IF(AQ93="7",BH93,0),2)</f>
        <v>0</v>
      </c>
      <c r="AE93" s="33">
        <f>ROUND(IF(AQ93="7",BI93,0),2)</f>
        <v>0</v>
      </c>
      <c r="AF93" s="33">
        <f>ROUND(IF(AQ93="2",BH93,0),2)</f>
        <v>0</v>
      </c>
      <c r="AG93" s="33">
        <f>ROUND(IF(AQ93="2",BI93,0),2)</f>
        <v>0</v>
      </c>
      <c r="AH93" s="33">
        <f>ROUND(IF(AQ93="0",BJ93,0),2)</f>
        <v>0</v>
      </c>
      <c r="AI93" s="10" t="s">
        <v>66</v>
      </c>
      <c r="AJ93" s="31">
        <f>IF(AN93=0,J93,0)</f>
        <v>0</v>
      </c>
      <c r="AK93" s="31">
        <f>IF(AN93=12,J93,0)</f>
        <v>0</v>
      </c>
      <c r="AL93" s="31">
        <f>IF(AN93=21,J93,0)</f>
        <v>0</v>
      </c>
      <c r="AN93" s="33">
        <v>21</v>
      </c>
      <c r="AO93" s="33">
        <f>G93*0</f>
        <v>0</v>
      </c>
      <c r="AP93" s="33">
        <f>G93*(1-0)</f>
        <v>0</v>
      </c>
      <c r="AQ93" s="34" t="s">
        <v>89</v>
      </c>
      <c r="AV93" s="33">
        <f>ROUND(AW93+AX93,2)</f>
        <v>0</v>
      </c>
      <c r="AW93" s="33">
        <f>ROUND(F93*AO93,2)</f>
        <v>0</v>
      </c>
      <c r="AX93" s="33">
        <f>ROUND(F93*AP93,2)</f>
        <v>0</v>
      </c>
      <c r="AY93" s="35" t="s">
        <v>136</v>
      </c>
      <c r="AZ93" s="35" t="s">
        <v>184</v>
      </c>
      <c r="BA93" s="10" t="s">
        <v>185</v>
      </c>
      <c r="BC93" s="33">
        <f>AW93+AX93</f>
        <v>0</v>
      </c>
      <c r="BD93" s="33">
        <f>G93/(100-BE93)*100</f>
        <v>0</v>
      </c>
      <c r="BE93" s="33">
        <v>0</v>
      </c>
      <c r="BF93" s="33">
        <f>93</f>
        <v>93</v>
      </c>
      <c r="BH93" s="31">
        <f>F93*AO93</f>
        <v>0</v>
      </c>
      <c r="BI93" s="31">
        <f>F93*AP93</f>
        <v>0</v>
      </c>
      <c r="BJ93" s="31">
        <f>F93*G93</f>
        <v>0</v>
      </c>
      <c r="BK93" s="34" t="s">
        <v>58</v>
      </c>
      <c r="BL93" s="33">
        <v>762</v>
      </c>
      <c r="BW93" s="33">
        <v>21</v>
      </c>
      <c r="BX93" s="30" t="s">
        <v>202</v>
      </c>
    </row>
    <row r="94" spans="1:76" ht="13.5" customHeight="1" x14ac:dyDescent="0.35">
      <c r="A94" s="36"/>
      <c r="C94" s="93" t="s">
        <v>203</v>
      </c>
      <c r="D94" s="94"/>
      <c r="E94" s="94"/>
      <c r="F94" s="94"/>
      <c r="G94" s="94"/>
      <c r="H94" s="94"/>
      <c r="I94" s="94"/>
      <c r="J94" s="94"/>
      <c r="K94" s="95"/>
    </row>
    <row r="95" spans="1:76" ht="14.5" x14ac:dyDescent="0.35">
      <c r="A95" s="36"/>
      <c r="C95" s="37" t="s">
        <v>60</v>
      </c>
      <c r="D95" s="38" t="s">
        <v>204</v>
      </c>
      <c r="F95" s="39">
        <v>2</v>
      </c>
      <c r="K95" s="40"/>
    </row>
    <row r="96" spans="1:76" ht="14.5" x14ac:dyDescent="0.35">
      <c r="A96" s="28" t="s">
        <v>205</v>
      </c>
      <c r="B96" s="29" t="s">
        <v>206</v>
      </c>
      <c r="C96" s="88" t="s">
        <v>207</v>
      </c>
      <c r="D96" s="89"/>
      <c r="E96" s="29" t="s">
        <v>183</v>
      </c>
      <c r="F96" s="31">
        <v>1</v>
      </c>
      <c r="G96" s="31">
        <v>0</v>
      </c>
      <c r="H96" s="31">
        <f>ROUND(F96*AO96,2)</f>
        <v>0</v>
      </c>
      <c r="I96" s="31">
        <f>ROUND(F96*AP96,2)</f>
        <v>0</v>
      </c>
      <c r="J96" s="31">
        <f>ROUND(F96*G96,2)</f>
        <v>0</v>
      </c>
      <c r="K96" s="32" t="s">
        <v>307</v>
      </c>
      <c r="Z96" s="33">
        <f>ROUND(IF(AQ96="5",BJ96,0),2)</f>
        <v>0</v>
      </c>
      <c r="AB96" s="33">
        <f>ROUND(IF(AQ96="1",BH96,0),2)</f>
        <v>0</v>
      </c>
      <c r="AC96" s="33">
        <f>ROUND(IF(AQ96="1",BI96,0),2)</f>
        <v>0</v>
      </c>
      <c r="AD96" s="33">
        <f>ROUND(IF(AQ96="7",BH96,0),2)</f>
        <v>0</v>
      </c>
      <c r="AE96" s="33">
        <f>ROUND(IF(AQ96="7",BI96,0),2)</f>
        <v>0</v>
      </c>
      <c r="AF96" s="33">
        <f>ROUND(IF(AQ96="2",BH96,0),2)</f>
        <v>0</v>
      </c>
      <c r="AG96" s="33">
        <f>ROUND(IF(AQ96="2",BI96,0),2)</f>
        <v>0</v>
      </c>
      <c r="AH96" s="33">
        <f>ROUND(IF(AQ96="0",BJ96,0),2)</f>
        <v>0</v>
      </c>
      <c r="AI96" s="10" t="s">
        <v>66</v>
      </c>
      <c r="AJ96" s="31">
        <f>IF(AN96=0,J96,0)</f>
        <v>0</v>
      </c>
      <c r="AK96" s="31">
        <f>IF(AN96=12,J96,0)</f>
        <v>0</v>
      </c>
      <c r="AL96" s="31">
        <f>IF(AN96=21,J96,0)</f>
        <v>0</v>
      </c>
      <c r="AN96" s="33">
        <v>21</v>
      </c>
      <c r="AO96" s="33">
        <f>G96*0</f>
        <v>0</v>
      </c>
      <c r="AP96" s="33">
        <f>G96*(1-0)</f>
        <v>0</v>
      </c>
      <c r="AQ96" s="34" t="s">
        <v>89</v>
      </c>
      <c r="AV96" s="33">
        <f>ROUND(AW96+AX96,2)</f>
        <v>0</v>
      </c>
      <c r="AW96" s="33">
        <f>ROUND(F96*AO96,2)</f>
        <v>0</v>
      </c>
      <c r="AX96" s="33">
        <f>ROUND(F96*AP96,2)</f>
        <v>0</v>
      </c>
      <c r="AY96" s="35" t="s">
        <v>136</v>
      </c>
      <c r="AZ96" s="35" t="s">
        <v>184</v>
      </c>
      <c r="BA96" s="10" t="s">
        <v>185</v>
      </c>
      <c r="BC96" s="33">
        <f>AW96+AX96</f>
        <v>0</v>
      </c>
      <c r="BD96" s="33">
        <f>G96/(100-BE96)*100</f>
        <v>0</v>
      </c>
      <c r="BE96" s="33">
        <v>0</v>
      </c>
      <c r="BF96" s="33">
        <f>96</f>
        <v>96</v>
      </c>
      <c r="BH96" s="31">
        <f>F96*AO96</f>
        <v>0</v>
      </c>
      <c r="BI96" s="31">
        <f>F96*AP96</f>
        <v>0</v>
      </c>
      <c r="BJ96" s="31">
        <f>F96*G96</f>
        <v>0</v>
      </c>
      <c r="BK96" s="34" t="s">
        <v>58</v>
      </c>
      <c r="BL96" s="33">
        <v>762</v>
      </c>
      <c r="BW96" s="33">
        <v>21</v>
      </c>
      <c r="BX96" s="30" t="s">
        <v>207</v>
      </c>
    </row>
    <row r="97" spans="1:76" ht="13.5" customHeight="1" x14ac:dyDescent="0.35">
      <c r="A97" s="36"/>
      <c r="C97" s="93" t="s">
        <v>208</v>
      </c>
      <c r="D97" s="94"/>
      <c r="E97" s="94"/>
      <c r="F97" s="94"/>
      <c r="G97" s="94"/>
      <c r="H97" s="94"/>
      <c r="I97" s="94"/>
      <c r="J97" s="94"/>
      <c r="K97" s="95"/>
    </row>
    <row r="98" spans="1:76" ht="14.5" x14ac:dyDescent="0.35">
      <c r="A98" s="36"/>
      <c r="C98" s="37" t="s">
        <v>51</v>
      </c>
      <c r="D98" s="38" t="s">
        <v>209</v>
      </c>
      <c r="F98" s="39">
        <v>1</v>
      </c>
      <c r="K98" s="40"/>
    </row>
    <row r="99" spans="1:76" ht="14.5" x14ac:dyDescent="0.35">
      <c r="A99" s="28" t="s">
        <v>210</v>
      </c>
      <c r="B99" s="29" t="s">
        <v>147</v>
      </c>
      <c r="C99" s="88" t="s">
        <v>148</v>
      </c>
      <c r="D99" s="89"/>
      <c r="E99" s="29" t="s">
        <v>149</v>
      </c>
      <c r="F99" s="31">
        <v>2.5</v>
      </c>
      <c r="G99" s="31">
        <v>0</v>
      </c>
      <c r="H99" s="31">
        <f>ROUND(F99*AO99,2)</f>
        <v>0</v>
      </c>
      <c r="I99" s="31">
        <f>ROUND(F99*AP99,2)</f>
        <v>0</v>
      </c>
      <c r="J99" s="31">
        <f>ROUND(F99*G99,2)</f>
        <v>0</v>
      </c>
      <c r="K99" s="32" t="s">
        <v>306</v>
      </c>
      <c r="Z99" s="33">
        <f>ROUND(IF(AQ99="5",BJ99,0),2)</f>
        <v>0</v>
      </c>
      <c r="AB99" s="33">
        <f>ROUND(IF(AQ99="1",BH99,0),2)</f>
        <v>0</v>
      </c>
      <c r="AC99" s="33">
        <f>ROUND(IF(AQ99="1",BI99,0),2)</f>
        <v>0</v>
      </c>
      <c r="AD99" s="33">
        <f>ROUND(IF(AQ99="7",BH99,0),2)</f>
        <v>0</v>
      </c>
      <c r="AE99" s="33">
        <f>ROUND(IF(AQ99="7",BI99,0),2)</f>
        <v>0</v>
      </c>
      <c r="AF99" s="33">
        <f>ROUND(IF(AQ99="2",BH99,0),2)</f>
        <v>0</v>
      </c>
      <c r="AG99" s="33">
        <f>ROUND(IF(AQ99="2",BI99,0),2)</f>
        <v>0</v>
      </c>
      <c r="AH99" s="33">
        <f>ROUND(IF(AQ99="0",BJ99,0),2)</f>
        <v>0</v>
      </c>
      <c r="AI99" s="10" t="s">
        <v>66</v>
      </c>
      <c r="AJ99" s="31">
        <f>IF(AN99=0,J99,0)</f>
        <v>0</v>
      </c>
      <c r="AK99" s="31">
        <f>IF(AN99=12,J99,0)</f>
        <v>0</v>
      </c>
      <c r="AL99" s="31">
        <f>IF(AN99=21,J99,0)</f>
        <v>0</v>
      </c>
      <c r="AN99" s="33">
        <v>21</v>
      </c>
      <c r="AO99" s="33">
        <f>G99*0</f>
        <v>0</v>
      </c>
      <c r="AP99" s="33">
        <f>G99*(1-0)</f>
        <v>0</v>
      </c>
      <c r="AQ99" s="34" t="s">
        <v>80</v>
      </c>
      <c r="AV99" s="33">
        <f>ROUND(AW99+AX99,2)</f>
        <v>0</v>
      </c>
      <c r="AW99" s="33">
        <f>ROUND(F99*AO99,2)</f>
        <v>0</v>
      </c>
      <c r="AX99" s="33">
        <f>ROUND(F99*AP99,2)</f>
        <v>0</v>
      </c>
      <c r="AY99" s="35" t="s">
        <v>136</v>
      </c>
      <c r="AZ99" s="35" t="s">
        <v>184</v>
      </c>
      <c r="BA99" s="10" t="s">
        <v>185</v>
      </c>
      <c r="BC99" s="33">
        <f>AW99+AX99</f>
        <v>0</v>
      </c>
      <c r="BD99" s="33">
        <f>G99/(100-BE99)*100</f>
        <v>0</v>
      </c>
      <c r="BE99" s="33">
        <v>0</v>
      </c>
      <c r="BF99" s="33">
        <f>99</f>
        <v>99</v>
      </c>
      <c r="BH99" s="31">
        <f>F99*AO99</f>
        <v>0</v>
      </c>
      <c r="BI99" s="31">
        <f>F99*AP99</f>
        <v>0</v>
      </c>
      <c r="BJ99" s="31">
        <f>F99*G99</f>
        <v>0</v>
      </c>
      <c r="BK99" s="34" t="s">
        <v>58</v>
      </c>
      <c r="BL99" s="33">
        <v>762</v>
      </c>
      <c r="BW99" s="33">
        <v>21</v>
      </c>
      <c r="BX99" s="30" t="s">
        <v>148</v>
      </c>
    </row>
    <row r="100" spans="1:76" ht="14.5" x14ac:dyDescent="0.35">
      <c r="A100" s="36"/>
      <c r="C100" s="37" t="s">
        <v>211</v>
      </c>
      <c r="D100" s="38" t="s">
        <v>150</v>
      </c>
      <c r="F100" s="39">
        <v>2.5</v>
      </c>
      <c r="K100" s="40"/>
    </row>
    <row r="101" spans="1:76" ht="14.5" x14ac:dyDescent="0.35">
      <c r="A101" s="24" t="s">
        <v>47</v>
      </c>
      <c r="B101" s="25" t="s">
        <v>212</v>
      </c>
      <c r="C101" s="96" t="s">
        <v>213</v>
      </c>
      <c r="D101" s="97"/>
      <c r="E101" s="26" t="s">
        <v>3</v>
      </c>
      <c r="F101" s="26" t="s">
        <v>3</v>
      </c>
      <c r="G101" s="26" t="s">
        <v>3</v>
      </c>
      <c r="H101" s="1">
        <f>SUM(H102:H105)</f>
        <v>0</v>
      </c>
      <c r="I101" s="1">
        <f>SUM(I102:I105)</f>
        <v>0</v>
      </c>
      <c r="J101" s="1">
        <f>SUM(J102:J105)</f>
        <v>0</v>
      </c>
      <c r="K101" s="27" t="s">
        <v>47</v>
      </c>
      <c r="AI101" s="10" t="s">
        <v>66</v>
      </c>
      <c r="AS101" s="1">
        <f>SUM(AJ102:AJ105)</f>
        <v>0</v>
      </c>
      <c r="AT101" s="1">
        <f>SUM(AK102:AK105)</f>
        <v>0</v>
      </c>
      <c r="AU101" s="1">
        <f>SUM(AL102:AL105)</f>
        <v>0</v>
      </c>
    </row>
    <row r="102" spans="1:76" ht="14.5" x14ac:dyDescent="0.35">
      <c r="A102" s="28" t="s">
        <v>214</v>
      </c>
      <c r="B102" s="29" t="s">
        <v>215</v>
      </c>
      <c r="C102" s="88" t="s">
        <v>216</v>
      </c>
      <c r="D102" s="89"/>
      <c r="E102" s="29" t="s">
        <v>183</v>
      </c>
      <c r="F102" s="31">
        <v>1</v>
      </c>
      <c r="G102" s="31">
        <v>0</v>
      </c>
      <c r="H102" s="31">
        <f>ROUND(F102*AO102,2)</f>
        <v>0</v>
      </c>
      <c r="I102" s="31">
        <f>ROUND(F102*AP102,2)</f>
        <v>0</v>
      </c>
      <c r="J102" s="31">
        <f>ROUND(F102*G102,2)</f>
        <v>0</v>
      </c>
      <c r="K102" s="32" t="s">
        <v>307</v>
      </c>
      <c r="Z102" s="33">
        <f>ROUND(IF(AQ102="5",BJ102,0),2)</f>
        <v>0</v>
      </c>
      <c r="AB102" s="33">
        <f>ROUND(IF(AQ102="1",BH102,0),2)</f>
        <v>0</v>
      </c>
      <c r="AC102" s="33">
        <f>ROUND(IF(AQ102="1",BI102,0),2)</f>
        <v>0</v>
      </c>
      <c r="AD102" s="33">
        <f>ROUND(IF(AQ102="7",BH102,0),2)</f>
        <v>0</v>
      </c>
      <c r="AE102" s="33">
        <f>ROUND(IF(AQ102="7",BI102,0),2)</f>
        <v>0</v>
      </c>
      <c r="AF102" s="33">
        <f>ROUND(IF(AQ102="2",BH102,0),2)</f>
        <v>0</v>
      </c>
      <c r="AG102" s="33">
        <f>ROUND(IF(AQ102="2",BI102,0),2)</f>
        <v>0</v>
      </c>
      <c r="AH102" s="33">
        <f>ROUND(IF(AQ102="0",BJ102,0),2)</f>
        <v>0</v>
      </c>
      <c r="AI102" s="10" t="s">
        <v>66</v>
      </c>
      <c r="AJ102" s="31">
        <f>IF(AN102=0,J102,0)</f>
        <v>0</v>
      </c>
      <c r="AK102" s="31">
        <f>IF(AN102=12,J102,0)</f>
        <v>0</v>
      </c>
      <c r="AL102" s="31">
        <f>IF(AN102=21,J102,0)</f>
        <v>0</v>
      </c>
      <c r="AN102" s="33">
        <v>21</v>
      </c>
      <c r="AO102" s="33">
        <f>G102*0</f>
        <v>0</v>
      </c>
      <c r="AP102" s="33">
        <f>G102*(1-0)</f>
        <v>0</v>
      </c>
      <c r="AQ102" s="34" t="s">
        <v>89</v>
      </c>
      <c r="AV102" s="33">
        <f>ROUND(AW102+AX102,2)</f>
        <v>0</v>
      </c>
      <c r="AW102" s="33">
        <f>ROUND(F102*AO102,2)</f>
        <v>0</v>
      </c>
      <c r="AX102" s="33">
        <f>ROUND(F102*AP102,2)</f>
        <v>0</v>
      </c>
      <c r="AY102" s="35" t="s">
        <v>217</v>
      </c>
      <c r="AZ102" s="35" t="s">
        <v>184</v>
      </c>
      <c r="BA102" s="10" t="s">
        <v>185</v>
      </c>
      <c r="BC102" s="33">
        <f>AW102+AX102</f>
        <v>0</v>
      </c>
      <c r="BD102" s="33">
        <f>G102/(100-BE102)*100</f>
        <v>0</v>
      </c>
      <c r="BE102" s="33">
        <v>0</v>
      </c>
      <c r="BF102" s="33">
        <f>102</f>
        <v>102</v>
      </c>
      <c r="BH102" s="31">
        <f>F102*AO102</f>
        <v>0</v>
      </c>
      <c r="BI102" s="31">
        <f>F102*AP102</f>
        <v>0</v>
      </c>
      <c r="BJ102" s="31">
        <f>F102*G102</f>
        <v>0</v>
      </c>
      <c r="BK102" s="34" t="s">
        <v>58</v>
      </c>
      <c r="BL102" s="33">
        <v>766</v>
      </c>
      <c r="BW102" s="33">
        <v>21</v>
      </c>
      <c r="BX102" s="30" t="s">
        <v>216</v>
      </c>
    </row>
    <row r="103" spans="1:76" ht="13.5" customHeight="1" x14ac:dyDescent="0.35">
      <c r="A103" s="36"/>
      <c r="C103" s="93" t="s">
        <v>304</v>
      </c>
      <c r="D103" s="94"/>
      <c r="E103" s="94"/>
      <c r="F103" s="94"/>
      <c r="G103" s="94"/>
      <c r="H103" s="94"/>
      <c r="I103" s="94"/>
      <c r="J103" s="94"/>
      <c r="K103" s="95"/>
    </row>
    <row r="104" spans="1:76" ht="14.5" x14ac:dyDescent="0.35">
      <c r="A104" s="36"/>
      <c r="C104" s="37" t="s">
        <v>51</v>
      </c>
      <c r="D104" s="38" t="s">
        <v>195</v>
      </c>
      <c r="F104" s="39">
        <v>1</v>
      </c>
      <c r="K104" s="40"/>
    </row>
    <row r="105" spans="1:76" ht="14.5" x14ac:dyDescent="0.35">
      <c r="A105" s="28" t="s">
        <v>218</v>
      </c>
      <c r="B105" s="29" t="s">
        <v>219</v>
      </c>
      <c r="C105" s="88" t="s">
        <v>220</v>
      </c>
      <c r="D105" s="89"/>
      <c r="E105" s="29" t="s">
        <v>149</v>
      </c>
      <c r="F105" s="31">
        <v>7.0000000000000007E-2</v>
      </c>
      <c r="G105" s="31">
        <v>0</v>
      </c>
      <c r="H105" s="31">
        <f>ROUND(F105*AO105,2)</f>
        <v>0</v>
      </c>
      <c r="I105" s="31">
        <f>ROUND(F105*AP105,2)</f>
        <v>0</v>
      </c>
      <c r="J105" s="31">
        <f>ROUND(F105*G105,2)</f>
        <v>0</v>
      </c>
      <c r="K105" s="32" t="s">
        <v>306</v>
      </c>
      <c r="Z105" s="33">
        <f>ROUND(IF(AQ105="5",BJ105,0),2)</f>
        <v>0</v>
      </c>
      <c r="AB105" s="33">
        <f>ROUND(IF(AQ105="1",BH105,0),2)</f>
        <v>0</v>
      </c>
      <c r="AC105" s="33">
        <f>ROUND(IF(AQ105="1",BI105,0),2)</f>
        <v>0</v>
      </c>
      <c r="AD105" s="33">
        <f>ROUND(IF(AQ105="7",BH105,0),2)</f>
        <v>0</v>
      </c>
      <c r="AE105" s="33">
        <f>ROUND(IF(AQ105="7",BI105,0),2)</f>
        <v>0</v>
      </c>
      <c r="AF105" s="33">
        <f>ROUND(IF(AQ105="2",BH105,0),2)</f>
        <v>0</v>
      </c>
      <c r="AG105" s="33">
        <f>ROUND(IF(AQ105="2",BI105,0),2)</f>
        <v>0</v>
      </c>
      <c r="AH105" s="33">
        <f>ROUND(IF(AQ105="0",BJ105,0),2)</f>
        <v>0</v>
      </c>
      <c r="AI105" s="10" t="s">
        <v>66</v>
      </c>
      <c r="AJ105" s="31">
        <f>IF(AN105=0,J105,0)</f>
        <v>0</v>
      </c>
      <c r="AK105" s="31">
        <f>IF(AN105=12,J105,0)</f>
        <v>0</v>
      </c>
      <c r="AL105" s="31">
        <f>IF(AN105=21,J105,0)</f>
        <v>0</v>
      </c>
      <c r="AN105" s="33">
        <v>21</v>
      </c>
      <c r="AO105" s="33">
        <f>G105*0</f>
        <v>0</v>
      </c>
      <c r="AP105" s="33">
        <f>G105*(1-0)</f>
        <v>0</v>
      </c>
      <c r="AQ105" s="34" t="s">
        <v>80</v>
      </c>
      <c r="AV105" s="33">
        <f>ROUND(AW105+AX105,2)</f>
        <v>0</v>
      </c>
      <c r="AW105" s="33">
        <f>ROUND(F105*AO105,2)</f>
        <v>0</v>
      </c>
      <c r="AX105" s="33">
        <f>ROUND(F105*AP105,2)</f>
        <v>0</v>
      </c>
      <c r="AY105" s="35" t="s">
        <v>217</v>
      </c>
      <c r="AZ105" s="35" t="s">
        <v>184</v>
      </c>
      <c r="BA105" s="10" t="s">
        <v>185</v>
      </c>
      <c r="BC105" s="33">
        <f>AW105+AX105</f>
        <v>0</v>
      </c>
      <c r="BD105" s="33">
        <f>G105/(100-BE105)*100</f>
        <v>0</v>
      </c>
      <c r="BE105" s="33">
        <v>0</v>
      </c>
      <c r="BF105" s="33">
        <f>105</f>
        <v>105</v>
      </c>
      <c r="BH105" s="31">
        <f>F105*AO105</f>
        <v>0</v>
      </c>
      <c r="BI105" s="31">
        <f>F105*AP105</f>
        <v>0</v>
      </c>
      <c r="BJ105" s="31">
        <f>F105*G105</f>
        <v>0</v>
      </c>
      <c r="BK105" s="34" t="s">
        <v>58</v>
      </c>
      <c r="BL105" s="33">
        <v>766</v>
      </c>
      <c r="BW105" s="33">
        <v>21</v>
      </c>
      <c r="BX105" s="30" t="s">
        <v>220</v>
      </c>
    </row>
    <row r="106" spans="1:76" ht="14.5" x14ac:dyDescent="0.35">
      <c r="A106" s="46"/>
      <c r="B106" s="47"/>
      <c r="C106" s="48" t="s">
        <v>221</v>
      </c>
      <c r="D106" s="49" t="s">
        <v>150</v>
      </c>
      <c r="E106" s="47"/>
      <c r="F106" s="50">
        <v>7.0000000000000007E-2</v>
      </c>
      <c r="G106" s="47"/>
      <c r="H106" s="47"/>
      <c r="I106" s="47"/>
      <c r="J106" s="47"/>
      <c r="K106" s="51"/>
    </row>
    <row r="107" spans="1:76" ht="14.5" x14ac:dyDescent="0.35">
      <c r="H107" s="90" t="s">
        <v>222</v>
      </c>
      <c r="I107" s="90"/>
      <c r="J107" s="52">
        <f>ROUND(J13+J18+J21+J30+J33+J38+J41+J45+J48+J61+J64+J68+J72+J77+J101,2)</f>
        <v>0</v>
      </c>
    </row>
    <row r="108" spans="1:76" ht="14.5" x14ac:dyDescent="0.35">
      <c r="A108" s="53" t="s">
        <v>223</v>
      </c>
    </row>
    <row r="109" spans="1:76" ht="12.75" customHeight="1" x14ac:dyDescent="0.35">
      <c r="A109" s="91" t="s">
        <v>47</v>
      </c>
      <c r="B109" s="92"/>
      <c r="C109" s="92"/>
      <c r="D109" s="92"/>
      <c r="E109" s="92"/>
      <c r="F109" s="92"/>
      <c r="G109" s="92"/>
      <c r="H109" s="92"/>
      <c r="I109" s="92"/>
      <c r="J109" s="92"/>
      <c r="K109" s="92"/>
    </row>
  </sheetData>
  <mergeCells count="94">
    <mergeCell ref="A1:K1"/>
    <mergeCell ref="A2:B3"/>
    <mergeCell ref="A4:B5"/>
    <mergeCell ref="A6:B7"/>
    <mergeCell ref="A8:B9"/>
    <mergeCell ref="E2:F3"/>
    <mergeCell ref="E4:F5"/>
    <mergeCell ref="E6:F7"/>
    <mergeCell ref="E8:F9"/>
    <mergeCell ref="H2:H3"/>
    <mergeCell ref="H4:H5"/>
    <mergeCell ref="H6:H7"/>
    <mergeCell ref="H8:H9"/>
    <mergeCell ref="C2:D3"/>
    <mergeCell ref="C4:D5"/>
    <mergeCell ref="C6:D7"/>
    <mergeCell ref="I2:K3"/>
    <mergeCell ref="I4:K5"/>
    <mergeCell ref="I6:K7"/>
    <mergeCell ref="I8:K9"/>
    <mergeCell ref="C10:D10"/>
    <mergeCell ref="C8:D9"/>
    <mergeCell ref="G2:G3"/>
    <mergeCell ref="G4:G5"/>
    <mergeCell ref="G6:G7"/>
    <mergeCell ref="G8:G9"/>
    <mergeCell ref="C11:D11"/>
    <mergeCell ref="H10:J10"/>
    <mergeCell ref="C12:D12"/>
    <mergeCell ref="C13:D13"/>
    <mergeCell ref="C14:D14"/>
    <mergeCell ref="C16:D16"/>
    <mergeCell ref="C18:D18"/>
    <mergeCell ref="C19:D19"/>
    <mergeCell ref="C21:D21"/>
    <mergeCell ref="C22:D22"/>
    <mergeCell ref="C24:D24"/>
    <mergeCell ref="C26:D26"/>
    <mergeCell ref="C28:D28"/>
    <mergeCell ref="C30:D30"/>
    <mergeCell ref="C31:D31"/>
    <mergeCell ref="C33:D33"/>
    <mergeCell ref="C34:D34"/>
    <mergeCell ref="C36:D36"/>
    <mergeCell ref="C38:D38"/>
    <mergeCell ref="C39:D39"/>
    <mergeCell ref="C41:D41"/>
    <mergeCell ref="C42:D42"/>
    <mergeCell ref="C43:K43"/>
    <mergeCell ref="C45:D45"/>
    <mergeCell ref="C46:D46"/>
    <mergeCell ref="C48:D48"/>
    <mergeCell ref="C49:D49"/>
    <mergeCell ref="C50:K50"/>
    <mergeCell ref="C52:D52"/>
    <mergeCell ref="C53:K53"/>
    <mergeCell ref="C55:D55"/>
    <mergeCell ref="C56:K56"/>
    <mergeCell ref="C58:D58"/>
    <mergeCell ref="C60:D60"/>
    <mergeCell ref="C61:D61"/>
    <mergeCell ref="C62:D62"/>
    <mergeCell ref="C64:D64"/>
    <mergeCell ref="C65:D65"/>
    <mergeCell ref="C67:D67"/>
    <mergeCell ref="C68:D68"/>
    <mergeCell ref="C69:D69"/>
    <mergeCell ref="C70:K70"/>
    <mergeCell ref="C72:D72"/>
    <mergeCell ref="C73:D73"/>
    <mergeCell ref="C74:K74"/>
    <mergeCell ref="C76:D76"/>
    <mergeCell ref="C77:D77"/>
    <mergeCell ref="C78:D78"/>
    <mergeCell ref="C79:K79"/>
    <mergeCell ref="C81:D81"/>
    <mergeCell ref="C82:K82"/>
    <mergeCell ref="C84:D84"/>
    <mergeCell ref="C85:K85"/>
    <mergeCell ref="C87:D87"/>
    <mergeCell ref="C88:K88"/>
    <mergeCell ref="C90:D90"/>
    <mergeCell ref="C91:K91"/>
    <mergeCell ref="C93:D93"/>
    <mergeCell ref="C94:K94"/>
    <mergeCell ref="C96:D96"/>
    <mergeCell ref="C105:D105"/>
    <mergeCell ref="H107:I107"/>
    <mergeCell ref="A109:K109"/>
    <mergeCell ref="C97:K97"/>
    <mergeCell ref="C99:D99"/>
    <mergeCell ref="C101:D101"/>
    <mergeCell ref="C102:D102"/>
    <mergeCell ref="C103:K103"/>
  </mergeCells>
  <pageMargins left="0.393999993801117" right="0.393999993801117" top="0.59100002050399802" bottom="0.59100002050399802" header="0" footer="0"/>
  <pageSetup fitToHeight="0" orientation="landscape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I35"/>
  <sheetViews>
    <sheetView workbookViewId="0">
      <selection activeCell="A35" sqref="A35:I35"/>
    </sheetView>
  </sheetViews>
  <sheetFormatPr defaultColWidth="12.1796875" defaultRowHeight="15" customHeight="1" x14ac:dyDescent="0.35"/>
  <cols>
    <col min="1" max="1" width="9.1796875" customWidth="1"/>
    <col min="2" max="2" width="12.81640625" customWidth="1"/>
    <col min="3" max="3" width="27.1796875" customWidth="1"/>
    <col min="4" max="4" width="10" customWidth="1"/>
    <col min="5" max="5" width="14" customWidth="1"/>
    <col min="6" max="6" width="27.1796875" customWidth="1"/>
    <col min="7" max="7" width="9.1796875" customWidth="1"/>
    <col min="8" max="8" width="12.81640625" customWidth="1"/>
    <col min="9" max="9" width="27.1796875" customWidth="1"/>
  </cols>
  <sheetData>
    <row r="1" spans="1:9" ht="54.75" customHeight="1" x14ac:dyDescent="0.35">
      <c r="A1" s="163" t="s">
        <v>298</v>
      </c>
      <c r="B1" s="114"/>
      <c r="C1" s="114"/>
      <c r="D1" s="114"/>
      <c r="E1" s="114"/>
      <c r="F1" s="114"/>
      <c r="G1" s="114"/>
      <c r="H1" s="114"/>
      <c r="I1" s="114"/>
    </row>
    <row r="2" spans="1:9" ht="14.5" x14ac:dyDescent="0.35">
      <c r="A2" s="115" t="s">
        <v>1</v>
      </c>
      <c r="B2" s="107"/>
      <c r="C2" s="120" t="str">
        <f>'Stavební rozpočet'!C2</f>
        <v>25004_Pohl_odpočinkové_posezení_v_lomu</v>
      </c>
      <c r="D2" s="121"/>
      <c r="E2" s="119" t="s">
        <v>4</v>
      </c>
      <c r="F2" s="119" t="str">
        <f>'Stavební rozpočet'!I2</f>
        <v> </v>
      </c>
      <c r="G2" s="107"/>
      <c r="H2" s="119" t="s">
        <v>235</v>
      </c>
      <c r="I2" s="108" t="s">
        <v>47</v>
      </c>
    </row>
    <row r="3" spans="1:9" ht="15" customHeight="1" x14ac:dyDescent="0.35">
      <c r="A3" s="116"/>
      <c r="B3" s="92"/>
      <c r="C3" s="122"/>
      <c r="D3" s="122"/>
      <c r="E3" s="92"/>
      <c r="F3" s="92"/>
      <c r="G3" s="92"/>
      <c r="H3" s="92"/>
      <c r="I3" s="109"/>
    </row>
    <row r="4" spans="1:9" ht="14.5" x14ac:dyDescent="0.35">
      <c r="A4" s="117" t="s">
        <v>6</v>
      </c>
      <c r="B4" s="92"/>
      <c r="C4" s="91" t="str">
        <f>'Stavební rozpočet'!C4</f>
        <v>Posezení v přírodě</v>
      </c>
      <c r="D4" s="92"/>
      <c r="E4" s="91" t="s">
        <v>10</v>
      </c>
      <c r="F4" s="91" t="str">
        <f>'Stavební rozpočet'!I4</f>
        <v> </v>
      </c>
      <c r="G4" s="92"/>
      <c r="H4" s="91" t="s">
        <v>235</v>
      </c>
      <c r="I4" s="109" t="s">
        <v>47</v>
      </c>
    </row>
    <row r="5" spans="1:9" ht="15" customHeight="1" x14ac:dyDescent="0.35">
      <c r="A5" s="116"/>
      <c r="B5" s="92"/>
      <c r="C5" s="92"/>
      <c r="D5" s="92"/>
      <c r="E5" s="92"/>
      <c r="F5" s="92"/>
      <c r="G5" s="92"/>
      <c r="H5" s="92"/>
      <c r="I5" s="109"/>
    </row>
    <row r="6" spans="1:9" ht="14.5" x14ac:dyDescent="0.35">
      <c r="A6" s="117" t="s">
        <v>11</v>
      </c>
      <c r="B6" s="92"/>
      <c r="C6" s="91" t="str">
        <f>'Stavební rozpočet'!C6</f>
        <v>Bruntál - bývalý lom</v>
      </c>
      <c r="D6" s="92"/>
      <c r="E6" s="91" t="s">
        <v>14</v>
      </c>
      <c r="F6" s="91" t="str">
        <f>'Stavební rozpočet'!I6</f>
        <v> </v>
      </c>
      <c r="G6" s="92"/>
      <c r="H6" s="91" t="s">
        <v>235</v>
      </c>
      <c r="I6" s="109" t="s">
        <v>47</v>
      </c>
    </row>
    <row r="7" spans="1:9" ht="15" customHeight="1" x14ac:dyDescent="0.35">
      <c r="A7" s="116"/>
      <c r="B7" s="92"/>
      <c r="C7" s="92"/>
      <c r="D7" s="92"/>
      <c r="E7" s="92"/>
      <c r="F7" s="92"/>
      <c r="G7" s="92"/>
      <c r="H7" s="92"/>
      <c r="I7" s="109"/>
    </row>
    <row r="8" spans="1:9" ht="14.5" x14ac:dyDescent="0.35">
      <c r="A8" s="117" t="s">
        <v>8</v>
      </c>
      <c r="B8" s="92"/>
      <c r="C8" s="91" t="str">
        <f>'Stavební rozpočet'!G4</f>
        <v>30.08.2025</v>
      </c>
      <c r="D8" s="92"/>
      <c r="E8" s="91" t="s">
        <v>13</v>
      </c>
      <c r="F8" s="91" t="str">
        <f>'Stavební rozpočet'!G6</f>
        <v xml:space="preserve"> </v>
      </c>
      <c r="G8" s="92"/>
      <c r="H8" s="92" t="s">
        <v>236</v>
      </c>
      <c r="I8" s="164">
        <v>10</v>
      </c>
    </row>
    <row r="9" spans="1:9" ht="14.5" x14ac:dyDescent="0.35">
      <c r="A9" s="116"/>
      <c r="B9" s="92"/>
      <c r="C9" s="92"/>
      <c r="D9" s="92"/>
      <c r="E9" s="92"/>
      <c r="F9" s="92"/>
      <c r="G9" s="92"/>
      <c r="H9" s="92"/>
      <c r="I9" s="109"/>
    </row>
    <row r="10" spans="1:9" ht="14.5" x14ac:dyDescent="0.35">
      <c r="A10" s="117" t="s">
        <v>15</v>
      </c>
      <c r="B10" s="92"/>
      <c r="C10" s="91" t="str">
        <f>'Stavební rozpočet'!C8</f>
        <v xml:space="preserve"> </v>
      </c>
      <c r="D10" s="92"/>
      <c r="E10" s="91" t="s">
        <v>17</v>
      </c>
      <c r="F10" s="91" t="str">
        <f>'Stavební rozpočet'!I8</f>
        <v> </v>
      </c>
      <c r="G10" s="92"/>
      <c r="H10" s="92" t="s">
        <v>237</v>
      </c>
      <c r="I10" s="124" t="str">
        <f>'Stavební rozpočet'!G8</f>
        <v>30.08.2025</v>
      </c>
    </row>
    <row r="11" spans="1:9" ht="14.5" x14ac:dyDescent="0.35">
      <c r="A11" s="162"/>
      <c r="B11" s="125"/>
      <c r="C11" s="125"/>
      <c r="D11" s="125"/>
      <c r="E11" s="125"/>
      <c r="F11" s="125"/>
      <c r="G11" s="125"/>
      <c r="H11" s="125"/>
      <c r="I11" s="158"/>
    </row>
    <row r="12" spans="1:9" ht="23" x14ac:dyDescent="0.35">
      <c r="A12" s="159" t="s">
        <v>238</v>
      </c>
      <c r="B12" s="159"/>
      <c r="C12" s="159"/>
      <c r="D12" s="159"/>
      <c r="E12" s="159"/>
      <c r="F12" s="159"/>
      <c r="G12" s="159"/>
      <c r="H12" s="159"/>
      <c r="I12" s="159"/>
    </row>
    <row r="13" spans="1:9" ht="26.25" customHeight="1" x14ac:dyDescent="0.35">
      <c r="A13" s="67" t="s">
        <v>239</v>
      </c>
      <c r="B13" s="160" t="s">
        <v>240</v>
      </c>
      <c r="C13" s="161"/>
      <c r="D13" s="68" t="s">
        <v>241</v>
      </c>
      <c r="E13" s="160" t="s">
        <v>242</v>
      </c>
      <c r="F13" s="161"/>
      <c r="G13" s="68" t="s">
        <v>243</v>
      </c>
      <c r="H13" s="160" t="s">
        <v>244</v>
      </c>
      <c r="I13" s="161"/>
    </row>
    <row r="14" spans="1:9" ht="15.5" x14ac:dyDescent="0.35">
      <c r="A14" s="69" t="s">
        <v>245</v>
      </c>
      <c r="B14" s="70" t="s">
        <v>246</v>
      </c>
      <c r="C14" s="71">
        <f>SUMIF('Stavební rozpočet'!AI12:AI212,"3",'Stavební rozpočet'!AB12:AB212)</f>
        <v>0</v>
      </c>
      <c r="D14" s="148" t="s">
        <v>247</v>
      </c>
      <c r="E14" s="149"/>
      <c r="F14" s="71">
        <f>'VORN objektu (3)'!I15</f>
        <v>0</v>
      </c>
      <c r="G14" s="148" t="s">
        <v>248</v>
      </c>
      <c r="H14" s="149"/>
      <c r="I14" s="72">
        <f>'VORN objektu (3)'!I21</f>
        <v>0</v>
      </c>
    </row>
    <row r="15" spans="1:9" ht="15.5" x14ac:dyDescent="0.35">
      <c r="A15" s="73" t="s">
        <v>47</v>
      </c>
      <c r="B15" s="70" t="s">
        <v>32</v>
      </c>
      <c r="C15" s="71">
        <f>SUMIF('Stavební rozpočet'!AI12:AI212,"3",'Stavební rozpočet'!AC12:AC212)</f>
        <v>0</v>
      </c>
      <c r="D15" s="148" t="s">
        <v>249</v>
      </c>
      <c r="E15" s="149"/>
      <c r="F15" s="71">
        <f>'VORN objektu (3)'!I16</f>
        <v>0</v>
      </c>
      <c r="G15" s="148" t="s">
        <v>250</v>
      </c>
      <c r="H15" s="149"/>
      <c r="I15" s="72">
        <f>'VORN objektu (3)'!I22</f>
        <v>0</v>
      </c>
    </row>
    <row r="16" spans="1:9" ht="15.5" x14ac:dyDescent="0.35">
      <c r="A16" s="69" t="s">
        <v>251</v>
      </c>
      <c r="B16" s="70" t="s">
        <v>246</v>
      </c>
      <c r="C16" s="71">
        <f>SUMIF('Stavební rozpočet'!AI12:AI212,"3",'Stavební rozpočet'!AD12:AD212)</f>
        <v>0</v>
      </c>
      <c r="D16" s="148" t="s">
        <v>252</v>
      </c>
      <c r="E16" s="149"/>
      <c r="F16" s="71">
        <f>'VORN objektu (3)'!I17</f>
        <v>0</v>
      </c>
      <c r="G16" s="148" t="s">
        <v>253</v>
      </c>
      <c r="H16" s="149"/>
      <c r="I16" s="72">
        <f>'VORN objektu (3)'!I23</f>
        <v>0</v>
      </c>
    </row>
    <row r="17" spans="1:9" ht="15.5" x14ac:dyDescent="0.35">
      <c r="A17" s="73" t="s">
        <v>47</v>
      </c>
      <c r="B17" s="70" t="s">
        <v>32</v>
      </c>
      <c r="C17" s="71">
        <f>SUMIF('Stavební rozpočet'!AI12:AI212,"3",'Stavební rozpočet'!AE12:AE212)</f>
        <v>0</v>
      </c>
      <c r="D17" s="148" t="s">
        <v>47</v>
      </c>
      <c r="E17" s="149"/>
      <c r="F17" s="72" t="s">
        <v>47</v>
      </c>
      <c r="G17" s="148" t="s">
        <v>254</v>
      </c>
      <c r="H17" s="149"/>
      <c r="I17" s="72">
        <f>'VORN objektu (3)'!I24</f>
        <v>0</v>
      </c>
    </row>
    <row r="18" spans="1:9" ht="15.5" x14ac:dyDescent="0.35">
      <c r="A18" s="69" t="s">
        <v>255</v>
      </c>
      <c r="B18" s="70" t="s">
        <v>246</v>
      </c>
      <c r="C18" s="71">
        <f>SUMIF('Stavební rozpočet'!AI12:AI212,"3",'Stavební rozpočet'!AF12:AF212)</f>
        <v>0</v>
      </c>
      <c r="D18" s="148" t="s">
        <v>47</v>
      </c>
      <c r="E18" s="149"/>
      <c r="F18" s="72" t="s">
        <v>47</v>
      </c>
      <c r="G18" s="148" t="s">
        <v>256</v>
      </c>
      <c r="H18" s="149"/>
      <c r="I18" s="72">
        <f>'VORN objektu (3)'!I25</f>
        <v>0</v>
      </c>
    </row>
    <row r="19" spans="1:9" ht="15.5" x14ac:dyDescent="0.35">
      <c r="A19" s="73" t="s">
        <v>47</v>
      </c>
      <c r="B19" s="70" t="s">
        <v>32</v>
      </c>
      <c r="C19" s="71">
        <f>SUMIF('Stavební rozpočet'!AI12:AI212,"3",'Stavební rozpočet'!AG12:AG212)</f>
        <v>0</v>
      </c>
      <c r="D19" s="148" t="s">
        <v>47</v>
      </c>
      <c r="E19" s="149"/>
      <c r="F19" s="72" t="s">
        <v>47</v>
      </c>
      <c r="G19" s="148" t="s">
        <v>257</v>
      </c>
      <c r="H19" s="149"/>
      <c r="I19" s="72">
        <f>'VORN objektu (3)'!I26</f>
        <v>0</v>
      </c>
    </row>
    <row r="20" spans="1:9" ht="15.5" x14ac:dyDescent="0.35">
      <c r="A20" s="140" t="s">
        <v>258</v>
      </c>
      <c r="B20" s="141"/>
      <c r="C20" s="71">
        <f>SUMIF('Stavební rozpočet'!AI12:AI212,"3",'Stavební rozpočet'!AH12:AH212)</f>
        <v>0</v>
      </c>
      <c r="D20" s="148" t="s">
        <v>47</v>
      </c>
      <c r="E20" s="149"/>
      <c r="F20" s="72" t="s">
        <v>47</v>
      </c>
      <c r="G20" s="148" t="s">
        <v>47</v>
      </c>
      <c r="H20" s="149"/>
      <c r="I20" s="72" t="s">
        <v>47</v>
      </c>
    </row>
    <row r="21" spans="1:9" ht="15.5" x14ac:dyDescent="0.35">
      <c r="A21" s="155" t="s">
        <v>259</v>
      </c>
      <c r="B21" s="156"/>
      <c r="C21" s="71">
        <f>SUMIF('Stavební rozpočet'!AI12:AI212,"3",'Stavební rozpočet'!Z12:Z212)</f>
        <v>0</v>
      </c>
      <c r="D21" s="150" t="s">
        <v>47</v>
      </c>
      <c r="E21" s="151"/>
      <c r="F21" s="75" t="s">
        <v>47</v>
      </c>
      <c r="G21" s="150" t="s">
        <v>47</v>
      </c>
      <c r="H21" s="151"/>
      <c r="I21" s="75" t="s">
        <v>47</v>
      </c>
    </row>
    <row r="22" spans="1:9" ht="16.5" customHeight="1" x14ac:dyDescent="0.35">
      <c r="A22" s="157" t="s">
        <v>260</v>
      </c>
      <c r="B22" s="153"/>
      <c r="C22" s="71">
        <f>ROUND(SUM(C14:C21),2)</f>
        <v>0</v>
      </c>
      <c r="D22" s="152" t="s">
        <v>261</v>
      </c>
      <c r="E22" s="153"/>
      <c r="F22" s="76">
        <f>SUM(F14:F21)</f>
        <v>0</v>
      </c>
      <c r="G22" s="152" t="s">
        <v>262</v>
      </c>
      <c r="H22" s="153"/>
      <c r="I22" s="76">
        <f>SUM(I14:I21)</f>
        <v>0</v>
      </c>
    </row>
    <row r="23" spans="1:9" ht="15.5" x14ac:dyDescent="0.35">
      <c r="G23" s="140" t="s">
        <v>265</v>
      </c>
      <c r="H23" s="141"/>
      <c r="I23" s="71">
        <f>'VORN objektu (3)'!I45</f>
        <v>0</v>
      </c>
    </row>
    <row r="25" spans="1:9" ht="15.5" x14ac:dyDescent="0.35">
      <c r="A25" s="142" t="s">
        <v>267</v>
      </c>
      <c r="B25" s="143"/>
      <c r="C25" s="77">
        <f>ROUND(('Stavební rozpočet'!AS77+'Stavební rozpočet'!AS101),2)</f>
        <v>0</v>
      </c>
    </row>
    <row r="26" spans="1:9" ht="15.5" x14ac:dyDescent="0.35">
      <c r="A26" s="144" t="s">
        <v>268</v>
      </c>
      <c r="B26" s="145"/>
      <c r="C26" s="78">
        <f>ROUND(('Stavební rozpočet'!AT77+'Stavební rozpočet'!AT101),2)</f>
        <v>0</v>
      </c>
      <c r="D26" s="146" t="s">
        <v>269</v>
      </c>
      <c r="E26" s="143"/>
      <c r="F26" s="77">
        <f>ROUND(C26*(12/100),2)</f>
        <v>0</v>
      </c>
      <c r="G26" s="146" t="s">
        <v>270</v>
      </c>
      <c r="H26" s="143"/>
      <c r="I26" s="77">
        <f>ROUND(SUM(C25:C27),2)</f>
        <v>0</v>
      </c>
    </row>
    <row r="27" spans="1:9" ht="15.5" x14ac:dyDescent="0.35">
      <c r="A27" s="144" t="s">
        <v>271</v>
      </c>
      <c r="B27" s="145"/>
      <c r="C27" s="78">
        <f>ROUND(('Stavební rozpočet'!AU77+'Stavební rozpočet'!AU101),2)</f>
        <v>0</v>
      </c>
      <c r="D27" s="147" t="s">
        <v>272</v>
      </c>
      <c r="E27" s="145"/>
      <c r="F27" s="78">
        <f>ROUND(C27*(21/100),2)</f>
        <v>0</v>
      </c>
      <c r="G27" s="147" t="s">
        <v>273</v>
      </c>
      <c r="H27" s="145"/>
      <c r="I27" s="78">
        <f>ROUND(SUM(F26:F27)+I26,2)</f>
        <v>0</v>
      </c>
    </row>
    <row r="29" spans="1:9" ht="15.5" x14ac:dyDescent="0.35">
      <c r="A29" s="137" t="s">
        <v>274</v>
      </c>
      <c r="B29" s="129"/>
      <c r="C29" s="130"/>
      <c r="D29" s="128" t="s">
        <v>275</v>
      </c>
      <c r="E29" s="129"/>
      <c r="F29" s="130"/>
      <c r="G29" s="128" t="s">
        <v>276</v>
      </c>
      <c r="H29" s="129"/>
      <c r="I29" s="130"/>
    </row>
    <row r="30" spans="1:9" ht="15.5" x14ac:dyDescent="0.35">
      <c r="A30" s="138" t="s">
        <v>47</v>
      </c>
      <c r="B30" s="132"/>
      <c r="C30" s="133"/>
      <c r="D30" s="131" t="s">
        <v>47</v>
      </c>
      <c r="E30" s="132"/>
      <c r="F30" s="133"/>
      <c r="G30" s="131" t="s">
        <v>47</v>
      </c>
      <c r="H30" s="132"/>
      <c r="I30" s="133"/>
    </row>
    <row r="31" spans="1:9" ht="15.5" x14ac:dyDescent="0.35">
      <c r="A31" s="138" t="s">
        <v>47</v>
      </c>
      <c r="B31" s="132"/>
      <c r="C31" s="133"/>
      <c r="D31" s="131" t="s">
        <v>47</v>
      </c>
      <c r="E31" s="132"/>
      <c r="F31" s="133"/>
      <c r="G31" s="131" t="s">
        <v>47</v>
      </c>
      <c r="H31" s="132"/>
      <c r="I31" s="133"/>
    </row>
    <row r="32" spans="1:9" ht="15.5" x14ac:dyDescent="0.35">
      <c r="A32" s="138" t="s">
        <v>47</v>
      </c>
      <c r="B32" s="132"/>
      <c r="C32" s="133"/>
      <c r="D32" s="131" t="s">
        <v>47</v>
      </c>
      <c r="E32" s="132"/>
      <c r="F32" s="133"/>
      <c r="G32" s="131" t="s">
        <v>47</v>
      </c>
      <c r="H32" s="132"/>
      <c r="I32" s="133"/>
    </row>
    <row r="33" spans="1:9" ht="15.5" x14ac:dyDescent="0.35">
      <c r="A33" s="139" t="s">
        <v>277</v>
      </c>
      <c r="B33" s="135"/>
      <c r="C33" s="136"/>
      <c r="D33" s="134" t="s">
        <v>277</v>
      </c>
      <c r="E33" s="135"/>
      <c r="F33" s="136"/>
      <c r="G33" s="134" t="s">
        <v>277</v>
      </c>
      <c r="H33" s="135"/>
      <c r="I33" s="136"/>
    </row>
    <row r="34" spans="1:9" ht="14.5" x14ac:dyDescent="0.35">
      <c r="A34" s="79" t="s">
        <v>223</v>
      </c>
    </row>
    <row r="35" spans="1:9" ht="12.75" customHeight="1" x14ac:dyDescent="0.35">
      <c r="A35" s="91" t="s">
        <v>47</v>
      </c>
      <c r="B35" s="92"/>
      <c r="C35" s="92"/>
      <c r="D35" s="92"/>
      <c r="E35" s="92"/>
      <c r="F35" s="92"/>
      <c r="G35" s="92"/>
      <c r="H35" s="92"/>
      <c r="I35" s="92"/>
    </row>
  </sheetData>
  <mergeCells count="80">
    <mergeCell ref="A1:I1"/>
    <mergeCell ref="A2:B3"/>
    <mergeCell ref="A4:B5"/>
    <mergeCell ref="A6:B7"/>
    <mergeCell ref="A8:B9"/>
    <mergeCell ref="F2:G3"/>
    <mergeCell ref="F4:G5"/>
    <mergeCell ref="F6:G7"/>
    <mergeCell ref="F8:G9"/>
    <mergeCell ref="I2:I3"/>
    <mergeCell ref="I4:I5"/>
    <mergeCell ref="I6:I7"/>
    <mergeCell ref="I8:I9"/>
    <mergeCell ref="C2:D3"/>
    <mergeCell ref="C4:D5"/>
    <mergeCell ref="C6:D7"/>
    <mergeCell ref="C8:D9"/>
    <mergeCell ref="C10:D11"/>
    <mergeCell ref="E2:E3"/>
    <mergeCell ref="E4:E5"/>
    <mergeCell ref="E6:E7"/>
    <mergeCell ref="E8:E9"/>
    <mergeCell ref="E10:E11"/>
    <mergeCell ref="H2:H3"/>
    <mergeCell ref="H4:H5"/>
    <mergeCell ref="H6:H7"/>
    <mergeCell ref="H8:H9"/>
    <mergeCell ref="H10:H11"/>
    <mergeCell ref="I10:I11"/>
    <mergeCell ref="A12:I12"/>
    <mergeCell ref="B13:C13"/>
    <mergeCell ref="E13:F13"/>
    <mergeCell ref="H13:I13"/>
    <mergeCell ref="F10:G11"/>
    <mergeCell ref="A10:B11"/>
    <mergeCell ref="A20:B20"/>
    <mergeCell ref="A21:B21"/>
    <mergeCell ref="A22:B22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G14:H14"/>
    <mergeCell ref="G15:H15"/>
    <mergeCell ref="G16:H16"/>
    <mergeCell ref="G17:H17"/>
    <mergeCell ref="G18:H18"/>
    <mergeCell ref="G19:H19"/>
    <mergeCell ref="G20:H20"/>
    <mergeCell ref="G21:H21"/>
    <mergeCell ref="G22:H22"/>
    <mergeCell ref="G23:H23"/>
    <mergeCell ref="A25:B25"/>
    <mergeCell ref="A26:B26"/>
    <mergeCell ref="A27:B27"/>
    <mergeCell ref="D26:E26"/>
    <mergeCell ref="D27:E27"/>
    <mergeCell ref="G26:H26"/>
    <mergeCell ref="G27:H27"/>
    <mergeCell ref="A29:C29"/>
    <mergeCell ref="A30:C30"/>
    <mergeCell ref="A31:C31"/>
    <mergeCell ref="G29:I29"/>
    <mergeCell ref="G30:I30"/>
    <mergeCell ref="G31:I31"/>
    <mergeCell ref="D29:F29"/>
    <mergeCell ref="D30:F30"/>
    <mergeCell ref="D31:F31"/>
    <mergeCell ref="D32:F32"/>
    <mergeCell ref="D33:F33"/>
    <mergeCell ref="G32:I32"/>
    <mergeCell ref="G33:I33"/>
    <mergeCell ref="A35:I35"/>
    <mergeCell ref="A32:C32"/>
    <mergeCell ref="A33:C33"/>
  </mergeCells>
  <pageMargins left="0.393999993801117" right="0.393999993801117" top="0.59100002050399802" bottom="0.59100002050399802" header="0" footer="0"/>
  <pageSetup orientation="landscape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I45"/>
  <sheetViews>
    <sheetView workbookViewId="0">
      <selection activeCell="A45" sqref="A45:E45"/>
    </sheetView>
  </sheetViews>
  <sheetFormatPr defaultColWidth="12.1796875" defaultRowHeight="15" customHeight="1" x14ac:dyDescent="0.35"/>
  <cols>
    <col min="1" max="1" width="9.1796875" customWidth="1"/>
    <col min="2" max="2" width="12.81640625" customWidth="1"/>
    <col min="3" max="3" width="22.81640625" customWidth="1"/>
    <col min="4" max="4" width="10" customWidth="1"/>
    <col min="5" max="5" width="14" customWidth="1"/>
    <col min="6" max="6" width="22.81640625" customWidth="1"/>
    <col min="7" max="7" width="9.1796875" customWidth="1"/>
    <col min="8" max="8" width="17.1796875" customWidth="1"/>
    <col min="9" max="9" width="22.81640625" customWidth="1"/>
  </cols>
  <sheetData>
    <row r="1" spans="1:9" ht="54.75" customHeight="1" x14ac:dyDescent="0.35">
      <c r="A1" s="163" t="s">
        <v>299</v>
      </c>
      <c r="B1" s="114"/>
      <c r="C1" s="114"/>
      <c r="D1" s="114"/>
      <c r="E1" s="114"/>
      <c r="F1" s="114"/>
      <c r="G1" s="114"/>
      <c r="H1" s="114"/>
      <c r="I1" s="114"/>
    </row>
    <row r="2" spans="1:9" ht="14.5" x14ac:dyDescent="0.35">
      <c r="A2" s="115" t="s">
        <v>1</v>
      </c>
      <c r="B2" s="107"/>
      <c r="C2" s="120" t="str">
        <f>'Stavební rozpočet'!C2</f>
        <v>25004_Pohl_odpočinkové_posezení_v_lomu</v>
      </c>
      <c r="D2" s="121"/>
      <c r="E2" s="119" t="s">
        <v>4</v>
      </c>
      <c r="F2" s="119" t="str">
        <f>'Stavební rozpočet'!I2</f>
        <v> </v>
      </c>
      <c r="G2" s="107"/>
      <c r="H2" s="119" t="s">
        <v>235</v>
      </c>
      <c r="I2" s="108" t="s">
        <v>47</v>
      </c>
    </row>
    <row r="3" spans="1:9" ht="15" customHeight="1" x14ac:dyDescent="0.35">
      <c r="A3" s="116"/>
      <c r="B3" s="92"/>
      <c r="C3" s="122"/>
      <c r="D3" s="122"/>
      <c r="E3" s="92"/>
      <c r="F3" s="92"/>
      <c r="G3" s="92"/>
      <c r="H3" s="92"/>
      <c r="I3" s="109"/>
    </row>
    <row r="4" spans="1:9" ht="14.5" x14ac:dyDescent="0.35">
      <c r="A4" s="117" t="s">
        <v>6</v>
      </c>
      <c r="B4" s="92"/>
      <c r="C4" s="91" t="str">
        <f>'Stavební rozpočet'!C4</f>
        <v>Posezení v přírodě</v>
      </c>
      <c r="D4" s="92"/>
      <c r="E4" s="91" t="s">
        <v>10</v>
      </c>
      <c r="F4" s="91" t="str">
        <f>'Stavební rozpočet'!I4</f>
        <v> </v>
      </c>
      <c r="G4" s="92"/>
      <c r="H4" s="91" t="s">
        <v>235</v>
      </c>
      <c r="I4" s="109" t="s">
        <v>47</v>
      </c>
    </row>
    <row r="5" spans="1:9" ht="15" customHeight="1" x14ac:dyDescent="0.35">
      <c r="A5" s="116"/>
      <c r="B5" s="92"/>
      <c r="C5" s="92"/>
      <c r="D5" s="92"/>
      <c r="E5" s="92"/>
      <c r="F5" s="92"/>
      <c r="G5" s="92"/>
      <c r="H5" s="92"/>
      <c r="I5" s="109"/>
    </row>
    <row r="6" spans="1:9" ht="14.5" x14ac:dyDescent="0.35">
      <c r="A6" s="117" t="s">
        <v>11</v>
      </c>
      <c r="B6" s="92"/>
      <c r="C6" s="91" t="str">
        <f>'Stavební rozpočet'!C6</f>
        <v>Bruntál - bývalý lom</v>
      </c>
      <c r="D6" s="92"/>
      <c r="E6" s="91" t="s">
        <v>14</v>
      </c>
      <c r="F6" s="91" t="str">
        <f>'Stavební rozpočet'!I6</f>
        <v> </v>
      </c>
      <c r="G6" s="92"/>
      <c r="H6" s="91" t="s">
        <v>235</v>
      </c>
      <c r="I6" s="109" t="s">
        <v>47</v>
      </c>
    </row>
    <row r="7" spans="1:9" ht="15" customHeight="1" x14ac:dyDescent="0.35">
      <c r="A7" s="116"/>
      <c r="B7" s="92"/>
      <c r="C7" s="92"/>
      <c r="D7" s="92"/>
      <c r="E7" s="92"/>
      <c r="F7" s="92"/>
      <c r="G7" s="92"/>
      <c r="H7" s="92"/>
      <c r="I7" s="109"/>
    </row>
    <row r="8" spans="1:9" ht="14.5" x14ac:dyDescent="0.35">
      <c r="A8" s="117" t="s">
        <v>8</v>
      </c>
      <c r="B8" s="92"/>
      <c r="C8" s="91" t="str">
        <f>'Stavební rozpočet'!G4</f>
        <v>30.08.2025</v>
      </c>
      <c r="D8" s="92"/>
      <c r="E8" s="91" t="s">
        <v>13</v>
      </c>
      <c r="F8" s="91" t="str">
        <f>'Stavební rozpočet'!G6</f>
        <v xml:space="preserve"> </v>
      </c>
      <c r="G8" s="92"/>
      <c r="H8" s="92" t="s">
        <v>236</v>
      </c>
      <c r="I8" s="164">
        <v>10</v>
      </c>
    </row>
    <row r="9" spans="1:9" ht="14.5" x14ac:dyDescent="0.35">
      <c r="A9" s="116"/>
      <c r="B9" s="92"/>
      <c r="C9" s="92"/>
      <c r="D9" s="92"/>
      <c r="E9" s="92"/>
      <c r="F9" s="92"/>
      <c r="G9" s="92"/>
      <c r="H9" s="92"/>
      <c r="I9" s="109"/>
    </row>
    <row r="10" spans="1:9" ht="14.5" x14ac:dyDescent="0.35">
      <c r="A10" s="117" t="s">
        <v>15</v>
      </c>
      <c r="B10" s="92"/>
      <c r="C10" s="91" t="str">
        <f>'Stavební rozpočet'!C8</f>
        <v xml:space="preserve"> </v>
      </c>
      <c r="D10" s="92"/>
      <c r="E10" s="91" t="s">
        <v>17</v>
      </c>
      <c r="F10" s="91" t="str">
        <f>'Stavební rozpočet'!I8</f>
        <v> </v>
      </c>
      <c r="G10" s="92"/>
      <c r="H10" s="92" t="s">
        <v>237</v>
      </c>
      <c r="I10" s="124" t="str">
        <f>'Stavební rozpočet'!G8</f>
        <v>30.08.2025</v>
      </c>
    </row>
    <row r="11" spans="1:9" ht="14.5" x14ac:dyDescent="0.35">
      <c r="A11" s="162"/>
      <c r="B11" s="125"/>
      <c r="C11" s="125"/>
      <c r="D11" s="125"/>
      <c r="E11" s="125"/>
      <c r="F11" s="125"/>
      <c r="G11" s="125"/>
      <c r="H11" s="125"/>
      <c r="I11" s="158"/>
    </row>
    <row r="13" spans="1:9" ht="15.5" x14ac:dyDescent="0.35">
      <c r="A13" s="180" t="s">
        <v>278</v>
      </c>
      <c r="B13" s="180"/>
      <c r="C13" s="180"/>
      <c r="D13" s="180"/>
      <c r="E13" s="180"/>
    </row>
    <row r="14" spans="1:9" ht="14.5" x14ac:dyDescent="0.35">
      <c r="A14" s="181" t="s">
        <v>279</v>
      </c>
      <c r="B14" s="182"/>
      <c r="C14" s="182"/>
      <c r="D14" s="182"/>
      <c r="E14" s="183"/>
      <c r="F14" s="80" t="s">
        <v>280</v>
      </c>
      <c r="G14" s="80" t="s">
        <v>281</v>
      </c>
      <c r="H14" s="80" t="s">
        <v>282</v>
      </c>
      <c r="I14" s="80" t="s">
        <v>280</v>
      </c>
    </row>
    <row r="15" spans="1:9" ht="14.5" x14ac:dyDescent="0.35">
      <c r="A15" s="165" t="s">
        <v>247</v>
      </c>
      <c r="B15" s="166"/>
      <c r="C15" s="166"/>
      <c r="D15" s="166"/>
      <c r="E15" s="167"/>
      <c r="F15" s="81">
        <v>0</v>
      </c>
      <c r="G15" s="82" t="s">
        <v>47</v>
      </c>
      <c r="H15" s="82" t="s">
        <v>47</v>
      </c>
      <c r="I15" s="81">
        <f>F15</f>
        <v>0</v>
      </c>
    </row>
    <row r="16" spans="1:9" ht="14.5" x14ac:dyDescent="0.35">
      <c r="A16" s="165" t="s">
        <v>249</v>
      </c>
      <c r="B16" s="166"/>
      <c r="C16" s="166"/>
      <c r="D16" s="166"/>
      <c r="E16" s="167"/>
      <c r="F16" s="81">
        <v>0</v>
      </c>
      <c r="G16" s="82" t="s">
        <v>47</v>
      </c>
      <c r="H16" s="82" t="s">
        <v>47</v>
      </c>
      <c r="I16" s="81">
        <f>F16</f>
        <v>0</v>
      </c>
    </row>
    <row r="17" spans="1:9" ht="14.5" x14ac:dyDescent="0.35">
      <c r="A17" s="168" t="s">
        <v>252</v>
      </c>
      <c r="B17" s="169"/>
      <c r="C17" s="169"/>
      <c r="D17" s="169"/>
      <c r="E17" s="170"/>
      <c r="F17" s="83">
        <v>0</v>
      </c>
      <c r="G17" s="84" t="s">
        <v>47</v>
      </c>
      <c r="H17" s="84" t="s">
        <v>47</v>
      </c>
      <c r="I17" s="83">
        <f>F17</f>
        <v>0</v>
      </c>
    </row>
    <row r="18" spans="1:9" ht="14.5" x14ac:dyDescent="0.35">
      <c r="A18" s="171" t="s">
        <v>283</v>
      </c>
      <c r="B18" s="172"/>
      <c r="C18" s="172"/>
      <c r="D18" s="172"/>
      <c r="E18" s="173"/>
      <c r="F18" s="85" t="s">
        <v>47</v>
      </c>
      <c r="G18" s="86" t="s">
        <v>47</v>
      </c>
      <c r="H18" s="86" t="s">
        <v>47</v>
      </c>
      <c r="I18" s="87">
        <f>SUM(I15:I17)</f>
        <v>0</v>
      </c>
    </row>
    <row r="20" spans="1:9" ht="14.5" x14ac:dyDescent="0.35">
      <c r="A20" s="181" t="s">
        <v>244</v>
      </c>
      <c r="B20" s="182"/>
      <c r="C20" s="182"/>
      <c r="D20" s="182"/>
      <c r="E20" s="183"/>
      <c r="F20" s="80" t="s">
        <v>280</v>
      </c>
      <c r="G20" s="80" t="s">
        <v>281</v>
      </c>
      <c r="H20" s="80" t="s">
        <v>282</v>
      </c>
      <c r="I20" s="80" t="s">
        <v>280</v>
      </c>
    </row>
    <row r="21" spans="1:9" ht="14.5" x14ac:dyDescent="0.35">
      <c r="A21" s="165" t="s">
        <v>248</v>
      </c>
      <c r="B21" s="166"/>
      <c r="C21" s="166"/>
      <c r="D21" s="166"/>
      <c r="E21" s="167"/>
      <c r="F21" s="81">
        <v>0</v>
      </c>
      <c r="G21" s="82" t="s">
        <v>47</v>
      </c>
      <c r="H21" s="82" t="s">
        <v>47</v>
      </c>
      <c r="I21" s="81">
        <f t="shared" ref="I21:I26" si="0">F21</f>
        <v>0</v>
      </c>
    </row>
    <row r="22" spans="1:9" ht="14.5" x14ac:dyDescent="0.35">
      <c r="A22" s="165" t="s">
        <v>250</v>
      </c>
      <c r="B22" s="166"/>
      <c r="C22" s="166"/>
      <c r="D22" s="166"/>
      <c r="E22" s="167"/>
      <c r="F22" s="81">
        <v>0</v>
      </c>
      <c r="G22" s="82" t="s">
        <v>47</v>
      </c>
      <c r="H22" s="82" t="s">
        <v>47</v>
      </c>
      <c r="I22" s="81">
        <f t="shared" si="0"/>
        <v>0</v>
      </c>
    </row>
    <row r="23" spans="1:9" ht="14.5" x14ac:dyDescent="0.35">
      <c r="A23" s="165" t="s">
        <v>253</v>
      </c>
      <c r="B23" s="166"/>
      <c r="C23" s="166"/>
      <c r="D23" s="166"/>
      <c r="E23" s="167"/>
      <c r="F23" s="81">
        <v>0</v>
      </c>
      <c r="G23" s="82" t="s">
        <v>47</v>
      </c>
      <c r="H23" s="82" t="s">
        <v>47</v>
      </c>
      <c r="I23" s="81">
        <f t="shared" si="0"/>
        <v>0</v>
      </c>
    </row>
    <row r="24" spans="1:9" ht="14.5" x14ac:dyDescent="0.35">
      <c r="A24" s="165" t="s">
        <v>254</v>
      </c>
      <c r="B24" s="166"/>
      <c r="C24" s="166"/>
      <c r="D24" s="166"/>
      <c r="E24" s="167"/>
      <c r="F24" s="81">
        <v>0</v>
      </c>
      <c r="G24" s="82" t="s">
        <v>47</v>
      </c>
      <c r="H24" s="82" t="s">
        <v>47</v>
      </c>
      <c r="I24" s="81">
        <f t="shared" si="0"/>
        <v>0</v>
      </c>
    </row>
    <row r="25" spans="1:9" ht="14.5" x14ac:dyDescent="0.35">
      <c r="A25" s="165" t="s">
        <v>256</v>
      </c>
      <c r="B25" s="166"/>
      <c r="C25" s="166"/>
      <c r="D25" s="166"/>
      <c r="E25" s="167"/>
      <c r="F25" s="81">
        <v>0</v>
      </c>
      <c r="G25" s="82" t="s">
        <v>47</v>
      </c>
      <c r="H25" s="82" t="s">
        <v>47</v>
      </c>
      <c r="I25" s="81">
        <f t="shared" si="0"/>
        <v>0</v>
      </c>
    </row>
    <row r="26" spans="1:9" ht="14.5" x14ac:dyDescent="0.35">
      <c r="A26" s="168" t="s">
        <v>257</v>
      </c>
      <c r="B26" s="169"/>
      <c r="C26" s="169"/>
      <c r="D26" s="169"/>
      <c r="E26" s="170"/>
      <c r="F26" s="83">
        <v>0</v>
      </c>
      <c r="G26" s="84" t="s">
        <v>47</v>
      </c>
      <c r="H26" s="84" t="s">
        <v>47</v>
      </c>
      <c r="I26" s="83">
        <f t="shared" si="0"/>
        <v>0</v>
      </c>
    </row>
    <row r="27" spans="1:9" ht="14.5" x14ac:dyDescent="0.35">
      <c r="A27" s="171" t="s">
        <v>284</v>
      </c>
      <c r="B27" s="172"/>
      <c r="C27" s="172"/>
      <c r="D27" s="172"/>
      <c r="E27" s="173"/>
      <c r="F27" s="85" t="s">
        <v>47</v>
      </c>
      <c r="G27" s="86" t="s">
        <v>47</v>
      </c>
      <c r="H27" s="86" t="s">
        <v>47</v>
      </c>
      <c r="I27" s="87">
        <f>SUM(I21:I26)</f>
        <v>0</v>
      </c>
    </row>
    <row r="29" spans="1:9" ht="15.5" x14ac:dyDescent="0.35">
      <c r="A29" s="174" t="s">
        <v>285</v>
      </c>
      <c r="B29" s="175"/>
      <c r="C29" s="175"/>
      <c r="D29" s="175"/>
      <c r="E29" s="176"/>
      <c r="F29" s="177">
        <f>I18+I27</f>
        <v>0</v>
      </c>
      <c r="G29" s="178"/>
      <c r="H29" s="178"/>
      <c r="I29" s="179"/>
    </row>
    <row r="33" spans="1:9" ht="15.5" x14ac:dyDescent="0.35">
      <c r="A33" s="180" t="s">
        <v>286</v>
      </c>
      <c r="B33" s="180"/>
      <c r="C33" s="180"/>
      <c r="D33" s="180"/>
      <c r="E33" s="180"/>
    </row>
    <row r="34" spans="1:9" ht="14.5" x14ac:dyDescent="0.35">
      <c r="A34" s="181" t="s">
        <v>287</v>
      </c>
      <c r="B34" s="182"/>
      <c r="C34" s="182"/>
      <c r="D34" s="182"/>
      <c r="E34" s="183"/>
      <c r="F34" s="80" t="s">
        <v>280</v>
      </c>
      <c r="G34" s="80" t="s">
        <v>281</v>
      </c>
      <c r="H34" s="80" t="s">
        <v>282</v>
      </c>
      <c r="I34" s="80" t="s">
        <v>280</v>
      </c>
    </row>
    <row r="35" spans="1:9" ht="14.5" x14ac:dyDescent="0.35">
      <c r="A35" s="165" t="s">
        <v>154</v>
      </c>
      <c r="B35" s="166"/>
      <c r="C35" s="166"/>
      <c r="D35" s="166"/>
      <c r="E35" s="167"/>
      <c r="F35" s="81">
        <f>SUM('Stavební rozpočet'!BM12:BM212)</f>
        <v>0</v>
      </c>
      <c r="G35" s="82" t="s">
        <v>47</v>
      </c>
      <c r="H35" s="82" t="s">
        <v>47</v>
      </c>
      <c r="I35" s="81">
        <f t="shared" ref="I35:I44" si="1">F35</f>
        <v>0</v>
      </c>
    </row>
    <row r="36" spans="1:9" ht="14.5" x14ac:dyDescent="0.35">
      <c r="A36" s="165" t="s">
        <v>288</v>
      </c>
      <c r="B36" s="166"/>
      <c r="C36" s="166"/>
      <c r="D36" s="166"/>
      <c r="E36" s="167"/>
      <c r="F36" s="81">
        <f>SUM('Stavební rozpočet'!BN12:BN212)</f>
        <v>0</v>
      </c>
      <c r="G36" s="82" t="s">
        <v>47</v>
      </c>
      <c r="H36" s="82" t="s">
        <v>47</v>
      </c>
      <c r="I36" s="81">
        <f t="shared" si="1"/>
        <v>0</v>
      </c>
    </row>
    <row r="37" spans="1:9" ht="14.5" x14ac:dyDescent="0.35">
      <c r="A37" s="165" t="s">
        <v>248</v>
      </c>
      <c r="B37" s="166"/>
      <c r="C37" s="166"/>
      <c r="D37" s="166"/>
      <c r="E37" s="167"/>
      <c r="F37" s="81">
        <f>SUM('Stavební rozpočet'!BO12:BO212)</f>
        <v>0</v>
      </c>
      <c r="G37" s="82" t="s">
        <v>47</v>
      </c>
      <c r="H37" s="82" t="s">
        <v>47</v>
      </c>
      <c r="I37" s="81">
        <f t="shared" si="1"/>
        <v>0</v>
      </c>
    </row>
    <row r="38" spans="1:9" ht="14.5" x14ac:dyDescent="0.35">
      <c r="A38" s="165" t="s">
        <v>289</v>
      </c>
      <c r="B38" s="166"/>
      <c r="C38" s="166"/>
      <c r="D38" s="166"/>
      <c r="E38" s="167"/>
      <c r="F38" s="81">
        <f>SUM('Stavební rozpočet'!BP12:BP212)</f>
        <v>0</v>
      </c>
      <c r="G38" s="82" t="s">
        <v>47</v>
      </c>
      <c r="H38" s="82" t="s">
        <v>47</v>
      </c>
      <c r="I38" s="81">
        <f t="shared" si="1"/>
        <v>0</v>
      </c>
    </row>
    <row r="39" spans="1:9" ht="14.5" x14ac:dyDescent="0.35">
      <c r="A39" s="165" t="s">
        <v>290</v>
      </c>
      <c r="B39" s="166"/>
      <c r="C39" s="166"/>
      <c r="D39" s="166"/>
      <c r="E39" s="167"/>
      <c r="F39" s="81">
        <f>SUM('Stavební rozpočet'!BQ12:BQ212)</f>
        <v>0</v>
      </c>
      <c r="G39" s="82" t="s">
        <v>47</v>
      </c>
      <c r="H39" s="82" t="s">
        <v>47</v>
      </c>
      <c r="I39" s="81">
        <f t="shared" si="1"/>
        <v>0</v>
      </c>
    </row>
    <row r="40" spans="1:9" ht="14.5" x14ac:dyDescent="0.35">
      <c r="A40" s="165" t="s">
        <v>253</v>
      </c>
      <c r="B40" s="166"/>
      <c r="C40" s="166"/>
      <c r="D40" s="166"/>
      <c r="E40" s="167"/>
      <c r="F40" s="81">
        <f>SUM('Stavební rozpočet'!BR12:BR212)</f>
        <v>0</v>
      </c>
      <c r="G40" s="82" t="s">
        <v>47</v>
      </c>
      <c r="H40" s="82" t="s">
        <v>47</v>
      </c>
      <c r="I40" s="81">
        <f t="shared" si="1"/>
        <v>0</v>
      </c>
    </row>
    <row r="41" spans="1:9" ht="14.5" x14ac:dyDescent="0.35">
      <c r="A41" s="165" t="s">
        <v>254</v>
      </c>
      <c r="B41" s="166"/>
      <c r="C41" s="166"/>
      <c r="D41" s="166"/>
      <c r="E41" s="167"/>
      <c r="F41" s="81">
        <f>SUM('Stavební rozpočet'!BS12:BS212)</f>
        <v>0</v>
      </c>
      <c r="G41" s="82" t="s">
        <v>47</v>
      </c>
      <c r="H41" s="82" t="s">
        <v>47</v>
      </c>
      <c r="I41" s="81">
        <f t="shared" si="1"/>
        <v>0</v>
      </c>
    </row>
    <row r="42" spans="1:9" ht="14.5" x14ac:dyDescent="0.35">
      <c r="A42" s="165" t="s">
        <v>162</v>
      </c>
      <c r="B42" s="166"/>
      <c r="C42" s="166"/>
      <c r="D42" s="166"/>
      <c r="E42" s="167"/>
      <c r="F42" s="81">
        <f>SUM('Stavební rozpočet'!BT12:BT212)</f>
        <v>0</v>
      </c>
      <c r="G42" s="82" t="s">
        <v>47</v>
      </c>
      <c r="H42" s="82" t="s">
        <v>47</v>
      </c>
      <c r="I42" s="81">
        <f t="shared" si="1"/>
        <v>0</v>
      </c>
    </row>
    <row r="43" spans="1:9" ht="14.5" x14ac:dyDescent="0.35">
      <c r="A43" s="165" t="s">
        <v>291</v>
      </c>
      <c r="B43" s="166"/>
      <c r="C43" s="166"/>
      <c r="D43" s="166"/>
      <c r="E43" s="167"/>
      <c r="F43" s="81">
        <f>SUM('Stavební rozpočet'!BU12:BU212)</f>
        <v>0</v>
      </c>
      <c r="G43" s="82" t="s">
        <v>47</v>
      </c>
      <c r="H43" s="82" t="s">
        <v>47</v>
      </c>
      <c r="I43" s="81">
        <f t="shared" si="1"/>
        <v>0</v>
      </c>
    </row>
    <row r="44" spans="1:9" ht="14.5" x14ac:dyDescent="0.35">
      <c r="A44" s="168" t="s">
        <v>292</v>
      </c>
      <c r="B44" s="169"/>
      <c r="C44" s="169"/>
      <c r="D44" s="169"/>
      <c r="E44" s="170"/>
      <c r="F44" s="83">
        <f>SUM('Stavební rozpočet'!BV12:BV212)</f>
        <v>0</v>
      </c>
      <c r="G44" s="84" t="s">
        <v>47</v>
      </c>
      <c r="H44" s="84" t="s">
        <v>47</v>
      </c>
      <c r="I44" s="83">
        <f t="shared" si="1"/>
        <v>0</v>
      </c>
    </row>
    <row r="45" spans="1:9" ht="14.5" x14ac:dyDescent="0.35">
      <c r="A45" s="171" t="s">
        <v>293</v>
      </c>
      <c r="B45" s="172"/>
      <c r="C45" s="172"/>
      <c r="D45" s="172"/>
      <c r="E45" s="173"/>
      <c r="F45" s="85" t="s">
        <v>47</v>
      </c>
      <c r="G45" s="86" t="s">
        <v>47</v>
      </c>
      <c r="H45" s="86" t="s">
        <v>47</v>
      </c>
      <c r="I45" s="87">
        <f>SUM(I35:I44)</f>
        <v>0</v>
      </c>
    </row>
  </sheetData>
  <mergeCells count="60">
    <mergeCell ref="A1:I1"/>
    <mergeCell ref="A2:B3"/>
    <mergeCell ref="A4:B5"/>
    <mergeCell ref="A6:B7"/>
    <mergeCell ref="A8:B9"/>
    <mergeCell ref="H2:H3"/>
    <mergeCell ref="H4:H5"/>
    <mergeCell ref="H6:H7"/>
    <mergeCell ref="H8:H9"/>
    <mergeCell ref="I2:I3"/>
    <mergeCell ref="I4:I5"/>
    <mergeCell ref="I6:I7"/>
    <mergeCell ref="I8:I9"/>
    <mergeCell ref="E2:E3"/>
    <mergeCell ref="E4:E5"/>
    <mergeCell ref="E6:E7"/>
    <mergeCell ref="E8:E9"/>
    <mergeCell ref="E10:E11"/>
    <mergeCell ref="F2:G3"/>
    <mergeCell ref="F4:G5"/>
    <mergeCell ref="F6:G7"/>
    <mergeCell ref="F8:G9"/>
    <mergeCell ref="F10:G11"/>
    <mergeCell ref="C2:D3"/>
    <mergeCell ref="C4:D5"/>
    <mergeCell ref="C6:D7"/>
    <mergeCell ref="C8:D9"/>
    <mergeCell ref="C10:D11"/>
    <mergeCell ref="I10:I11"/>
    <mergeCell ref="A13:E13"/>
    <mergeCell ref="A14:E14"/>
    <mergeCell ref="A15:E15"/>
    <mergeCell ref="A16:E16"/>
    <mergeCell ref="H10:H11"/>
    <mergeCell ref="A10:B11"/>
    <mergeCell ref="A17:E17"/>
    <mergeCell ref="A18:E18"/>
    <mergeCell ref="A20:E20"/>
    <mergeCell ref="A21:E21"/>
    <mergeCell ref="A22:E22"/>
    <mergeCell ref="A23:E23"/>
    <mergeCell ref="A24:E24"/>
    <mergeCell ref="A25:E25"/>
    <mergeCell ref="A26:E26"/>
    <mergeCell ref="A27:E27"/>
    <mergeCell ref="A29:E29"/>
    <mergeCell ref="F29:I29"/>
    <mergeCell ref="A33:E33"/>
    <mergeCell ref="A34:E34"/>
    <mergeCell ref="A35:E35"/>
    <mergeCell ref="A36:E36"/>
    <mergeCell ref="A37:E37"/>
    <mergeCell ref="A38:E38"/>
    <mergeCell ref="A39:E39"/>
    <mergeCell ref="A40:E40"/>
    <mergeCell ref="A41:E41"/>
    <mergeCell ref="A42:E42"/>
    <mergeCell ref="A43:E43"/>
    <mergeCell ref="A44:E44"/>
    <mergeCell ref="A45:E45"/>
  </mergeCells>
  <pageMargins left="0.393999993801117" right="0.393999993801117" top="0.59100002050399802" bottom="0.59100002050399802" header="0" footer="0"/>
  <pageSetup fitToHeight="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30"/>
  <sheetViews>
    <sheetView workbookViewId="0">
      <pane ySplit="11" topLeftCell="A12" activePane="bottomLeft" state="frozen"/>
      <selection pane="bottomLeft" activeCell="C29" sqref="C29:D29"/>
    </sheetView>
  </sheetViews>
  <sheetFormatPr defaultColWidth="12.1796875" defaultRowHeight="15" customHeight="1" x14ac:dyDescent="0.35"/>
  <cols>
    <col min="1" max="2" width="8.54296875" customWidth="1"/>
    <col min="3" max="3" width="71.453125" customWidth="1"/>
    <col min="4" max="4" width="12.1796875" customWidth="1"/>
    <col min="5" max="7" width="27.81640625" customWidth="1"/>
    <col min="8" max="9" width="0" hidden="1" customWidth="1"/>
  </cols>
  <sheetData>
    <row r="1" spans="1:9" ht="54.75" customHeight="1" x14ac:dyDescent="0.35">
      <c r="A1" s="114" t="s">
        <v>224</v>
      </c>
      <c r="B1" s="114"/>
      <c r="C1" s="114"/>
      <c r="D1" s="114"/>
      <c r="E1" s="114"/>
      <c r="F1" s="114"/>
      <c r="G1" s="114"/>
    </row>
    <row r="2" spans="1:9" ht="14.5" x14ac:dyDescent="0.35">
      <c r="A2" s="115" t="s">
        <v>1</v>
      </c>
      <c r="B2" s="107"/>
      <c r="C2" s="120" t="str">
        <f>'Stavební rozpočet'!C2</f>
        <v>25004_Pohl_odpočinkové_posezení_v_lomu</v>
      </c>
      <c r="D2" s="107" t="s">
        <v>2</v>
      </c>
      <c r="E2" s="107" t="s">
        <v>3</v>
      </c>
      <c r="F2" s="119" t="s">
        <v>4</v>
      </c>
      <c r="G2" s="123" t="str">
        <f>'Stavební rozpočet'!I2</f>
        <v> </v>
      </c>
    </row>
    <row r="3" spans="1:9" ht="15" customHeight="1" x14ac:dyDescent="0.35">
      <c r="A3" s="116"/>
      <c r="B3" s="92"/>
      <c r="C3" s="122"/>
      <c r="D3" s="92"/>
      <c r="E3" s="92"/>
      <c r="F3" s="92"/>
      <c r="G3" s="109"/>
    </row>
    <row r="4" spans="1:9" ht="14.5" x14ac:dyDescent="0.35">
      <c r="A4" s="117" t="s">
        <v>6</v>
      </c>
      <c r="B4" s="92"/>
      <c r="C4" s="91" t="str">
        <f>'Stavební rozpočet'!C4</f>
        <v>Posezení v přírodě</v>
      </c>
      <c r="D4" s="92" t="s">
        <v>8</v>
      </c>
      <c r="E4" s="92" t="s">
        <v>9</v>
      </c>
      <c r="F4" s="91" t="s">
        <v>10</v>
      </c>
      <c r="G4" s="124" t="str">
        <f>'Stavební rozpočet'!I4</f>
        <v> </v>
      </c>
    </row>
    <row r="5" spans="1:9" ht="15" customHeight="1" x14ac:dyDescent="0.35">
      <c r="A5" s="116"/>
      <c r="B5" s="92"/>
      <c r="C5" s="92"/>
      <c r="D5" s="92"/>
      <c r="E5" s="92"/>
      <c r="F5" s="92"/>
      <c r="G5" s="109"/>
    </row>
    <row r="6" spans="1:9" ht="14.5" x14ac:dyDescent="0.35">
      <c r="A6" s="117" t="s">
        <v>11</v>
      </c>
      <c r="B6" s="92"/>
      <c r="C6" s="91" t="str">
        <f>'Stavební rozpočet'!C6</f>
        <v>Bruntál - bývalý lom</v>
      </c>
      <c r="D6" s="92" t="s">
        <v>13</v>
      </c>
      <c r="E6" s="92" t="s">
        <v>3</v>
      </c>
      <c r="F6" s="91" t="s">
        <v>14</v>
      </c>
      <c r="G6" s="124" t="str">
        <f>'Stavební rozpočet'!I6</f>
        <v> </v>
      </c>
    </row>
    <row r="7" spans="1:9" ht="15" customHeight="1" x14ac:dyDescent="0.35">
      <c r="A7" s="116"/>
      <c r="B7" s="92"/>
      <c r="C7" s="92"/>
      <c r="D7" s="92"/>
      <c r="E7" s="92"/>
      <c r="F7" s="92"/>
      <c r="G7" s="109"/>
    </row>
    <row r="8" spans="1:9" ht="14.5" x14ac:dyDescent="0.35">
      <c r="A8" s="117" t="s">
        <v>17</v>
      </c>
      <c r="B8" s="92"/>
      <c r="C8" s="91" t="str">
        <f>'Stavební rozpočet'!I8</f>
        <v> </v>
      </c>
      <c r="D8" s="92" t="s">
        <v>16</v>
      </c>
      <c r="E8" s="92" t="s">
        <v>9</v>
      </c>
      <c r="F8" s="92" t="s">
        <v>16</v>
      </c>
      <c r="G8" s="124" t="str">
        <f>'Stavební rozpočet'!G8</f>
        <v>30.08.2025</v>
      </c>
    </row>
    <row r="9" spans="1:9" ht="14.5" x14ac:dyDescent="0.35">
      <c r="A9" s="118"/>
      <c r="B9" s="110"/>
      <c r="C9" s="110"/>
      <c r="D9" s="125"/>
      <c r="E9" s="110"/>
      <c r="F9" s="110"/>
      <c r="G9" s="111"/>
    </row>
    <row r="10" spans="1:9" ht="14.5" x14ac:dyDescent="0.35">
      <c r="A10" s="54" t="s">
        <v>225</v>
      </c>
      <c r="B10" s="55" t="s">
        <v>19</v>
      </c>
      <c r="C10" s="56" t="s">
        <v>20</v>
      </c>
      <c r="E10" s="57" t="s">
        <v>226</v>
      </c>
      <c r="F10" s="58" t="s">
        <v>227</v>
      </c>
      <c r="G10" s="58" t="s">
        <v>228</v>
      </c>
    </row>
    <row r="11" spans="1:9" ht="14.5" x14ac:dyDescent="0.35">
      <c r="A11" s="59" t="s">
        <v>51</v>
      </c>
      <c r="B11" s="60" t="s">
        <v>47</v>
      </c>
      <c r="C11" s="92" t="s">
        <v>48</v>
      </c>
      <c r="D11" s="92"/>
      <c r="E11" s="61">
        <f>ROUND('Stavební rozpočet'!H12,2)</f>
        <v>0</v>
      </c>
      <c r="F11" s="61">
        <f>ROUND('Stavební rozpočet'!I12,2)</f>
        <v>0</v>
      </c>
      <c r="G11" s="61">
        <f>ROUND('Stavební rozpočet'!J12,2)</f>
        <v>0</v>
      </c>
      <c r="H11" s="35" t="s">
        <v>229</v>
      </c>
      <c r="I11" s="33">
        <f t="shared" ref="I11:I29" si="0">IF(H11="F",0,G11)</f>
        <v>0</v>
      </c>
    </row>
    <row r="12" spans="1:9" ht="14.5" x14ac:dyDescent="0.35">
      <c r="A12" s="2" t="s">
        <v>51</v>
      </c>
      <c r="B12" s="3" t="s">
        <v>49</v>
      </c>
      <c r="C12" s="92" t="s">
        <v>50</v>
      </c>
      <c r="D12" s="92"/>
      <c r="E12" s="33">
        <f>ROUND('Stavební rozpočet'!H13,2)</f>
        <v>0</v>
      </c>
      <c r="F12" s="33">
        <f>ROUND('Stavební rozpočet'!I13,2)</f>
        <v>0</v>
      </c>
      <c r="G12" s="33">
        <f>ROUND('Stavební rozpočet'!J13,2)</f>
        <v>0</v>
      </c>
      <c r="H12" s="35" t="s">
        <v>230</v>
      </c>
      <c r="I12" s="33">
        <f t="shared" si="0"/>
        <v>0</v>
      </c>
    </row>
    <row r="13" spans="1:9" ht="14.5" x14ac:dyDescent="0.35">
      <c r="A13" s="2" t="s">
        <v>51</v>
      </c>
      <c r="B13" s="3" t="s">
        <v>64</v>
      </c>
      <c r="C13" s="92" t="s">
        <v>65</v>
      </c>
      <c r="D13" s="92"/>
      <c r="E13" s="33">
        <f>ROUND('Stavební rozpočet'!H18,2)</f>
        <v>0</v>
      </c>
      <c r="F13" s="33">
        <f>ROUND('Stavební rozpočet'!I18,2)</f>
        <v>0</v>
      </c>
      <c r="G13" s="33">
        <f>ROUND('Stavební rozpočet'!J18,2)</f>
        <v>0</v>
      </c>
      <c r="H13" s="35" t="s">
        <v>230</v>
      </c>
      <c r="I13" s="33">
        <f t="shared" si="0"/>
        <v>0</v>
      </c>
    </row>
    <row r="14" spans="1:9" ht="14.5" x14ac:dyDescent="0.35">
      <c r="A14" s="2" t="s">
        <v>51</v>
      </c>
      <c r="B14" s="3" t="s">
        <v>72</v>
      </c>
      <c r="C14" s="92" t="s">
        <v>73</v>
      </c>
      <c r="D14" s="92"/>
      <c r="E14" s="33">
        <f>ROUND('Stavební rozpočet'!H21,2)</f>
        <v>0</v>
      </c>
      <c r="F14" s="33">
        <f>ROUND('Stavební rozpočet'!I21,2)</f>
        <v>0</v>
      </c>
      <c r="G14" s="33">
        <f>ROUND('Stavební rozpočet'!J21,2)</f>
        <v>0</v>
      </c>
      <c r="H14" s="35" t="s">
        <v>230</v>
      </c>
      <c r="I14" s="33">
        <f t="shared" si="0"/>
        <v>0</v>
      </c>
    </row>
    <row r="15" spans="1:9" ht="14.5" x14ac:dyDescent="0.35">
      <c r="A15" s="2" t="s">
        <v>51</v>
      </c>
      <c r="B15" s="3" t="s">
        <v>93</v>
      </c>
      <c r="C15" s="92" t="s">
        <v>94</v>
      </c>
      <c r="D15" s="92"/>
      <c r="E15" s="33">
        <f>ROUND('Stavební rozpočet'!H30,2)</f>
        <v>0</v>
      </c>
      <c r="F15" s="33">
        <f>ROUND('Stavební rozpočet'!I30,2)</f>
        <v>0</v>
      </c>
      <c r="G15" s="33">
        <f>ROUND('Stavební rozpočet'!J30,2)</f>
        <v>0</v>
      </c>
      <c r="H15" s="35" t="s">
        <v>230</v>
      </c>
      <c r="I15" s="33">
        <f t="shared" si="0"/>
        <v>0</v>
      </c>
    </row>
    <row r="16" spans="1:9" ht="14.5" x14ac:dyDescent="0.35">
      <c r="A16" s="2" t="s">
        <v>51</v>
      </c>
      <c r="B16" s="3" t="s">
        <v>101</v>
      </c>
      <c r="C16" s="92" t="s">
        <v>102</v>
      </c>
      <c r="D16" s="92"/>
      <c r="E16" s="33">
        <f>ROUND('Stavební rozpočet'!H33,2)</f>
        <v>0</v>
      </c>
      <c r="F16" s="33">
        <f>ROUND('Stavební rozpočet'!I33,2)</f>
        <v>0</v>
      </c>
      <c r="G16" s="33">
        <f>ROUND('Stavební rozpočet'!J33,2)</f>
        <v>0</v>
      </c>
      <c r="H16" s="35" t="s">
        <v>230</v>
      </c>
      <c r="I16" s="33">
        <f t="shared" si="0"/>
        <v>0</v>
      </c>
    </row>
    <row r="17" spans="1:9" ht="14.5" x14ac:dyDescent="0.35">
      <c r="A17" s="2" t="s">
        <v>51</v>
      </c>
      <c r="B17" s="3" t="s">
        <v>111</v>
      </c>
      <c r="C17" s="92" t="s">
        <v>112</v>
      </c>
      <c r="D17" s="92"/>
      <c r="E17" s="33">
        <f>ROUND('Stavební rozpočet'!H38,2)</f>
        <v>0</v>
      </c>
      <c r="F17" s="33">
        <f>ROUND('Stavební rozpočet'!I38,2)</f>
        <v>0</v>
      </c>
      <c r="G17" s="33">
        <f>ROUND('Stavební rozpočet'!J38,2)</f>
        <v>0</v>
      </c>
      <c r="H17" s="35" t="s">
        <v>230</v>
      </c>
      <c r="I17" s="33">
        <f t="shared" si="0"/>
        <v>0</v>
      </c>
    </row>
    <row r="18" spans="1:9" ht="14.5" x14ac:dyDescent="0.35">
      <c r="A18" s="2" t="s">
        <v>51</v>
      </c>
      <c r="B18" s="3" t="s">
        <v>118</v>
      </c>
      <c r="C18" s="92" t="s">
        <v>119</v>
      </c>
      <c r="D18" s="92"/>
      <c r="E18" s="33">
        <f>ROUND('Stavební rozpočet'!H41,2)</f>
        <v>0</v>
      </c>
      <c r="F18" s="33">
        <f>ROUND('Stavební rozpočet'!I41,2)</f>
        <v>0</v>
      </c>
      <c r="G18" s="33">
        <f>ROUND('Stavební rozpočet'!J41,2)</f>
        <v>0</v>
      </c>
      <c r="H18" s="35" t="s">
        <v>230</v>
      </c>
      <c r="I18" s="33">
        <f t="shared" si="0"/>
        <v>0</v>
      </c>
    </row>
    <row r="19" spans="1:9" ht="14.5" x14ac:dyDescent="0.35">
      <c r="A19" s="2" t="s">
        <v>51</v>
      </c>
      <c r="B19" s="3" t="s">
        <v>124</v>
      </c>
      <c r="C19" s="92" t="s">
        <v>125</v>
      </c>
      <c r="D19" s="92"/>
      <c r="E19" s="33">
        <f>ROUND('Stavební rozpočet'!H45,2)</f>
        <v>0</v>
      </c>
      <c r="F19" s="33">
        <f>ROUND('Stavební rozpočet'!I45,2)</f>
        <v>0</v>
      </c>
      <c r="G19" s="33">
        <f>ROUND('Stavební rozpočet'!J45,2)</f>
        <v>0</v>
      </c>
      <c r="H19" s="35" t="s">
        <v>230</v>
      </c>
      <c r="I19" s="33">
        <f t="shared" si="0"/>
        <v>0</v>
      </c>
    </row>
    <row r="20" spans="1:9" ht="14.5" x14ac:dyDescent="0.35">
      <c r="A20" s="2" t="s">
        <v>51</v>
      </c>
      <c r="B20" s="3" t="s">
        <v>130</v>
      </c>
      <c r="C20" s="92" t="s">
        <v>131</v>
      </c>
      <c r="D20" s="92"/>
      <c r="E20" s="33">
        <f>ROUND('Stavební rozpočet'!H48,2)</f>
        <v>0</v>
      </c>
      <c r="F20" s="33">
        <f>ROUND('Stavební rozpočet'!I48,2)</f>
        <v>0</v>
      </c>
      <c r="G20" s="33">
        <f>ROUND('Stavební rozpočet'!J48,2)</f>
        <v>0</v>
      </c>
      <c r="H20" s="35" t="s">
        <v>230</v>
      </c>
      <c r="I20" s="33">
        <f t="shared" si="0"/>
        <v>0</v>
      </c>
    </row>
    <row r="21" spans="1:9" ht="14.5" x14ac:dyDescent="0.35">
      <c r="A21" s="2" t="s">
        <v>51</v>
      </c>
      <c r="B21" s="3" t="s">
        <v>151</v>
      </c>
      <c r="C21" s="92" t="s">
        <v>152</v>
      </c>
      <c r="D21" s="92"/>
      <c r="E21" s="33">
        <f>ROUND('Stavební rozpočet'!H60,2)</f>
        <v>0</v>
      </c>
      <c r="F21" s="33">
        <f>ROUND('Stavební rozpočet'!I60,2)</f>
        <v>0</v>
      </c>
      <c r="G21" s="33">
        <f>ROUND('Stavební rozpočet'!J60,2)</f>
        <v>0</v>
      </c>
      <c r="H21" s="35" t="s">
        <v>229</v>
      </c>
      <c r="I21" s="33">
        <f t="shared" si="0"/>
        <v>0</v>
      </c>
    </row>
    <row r="22" spans="1:9" ht="14.5" x14ac:dyDescent="0.35">
      <c r="A22" s="2" t="s">
        <v>51</v>
      </c>
      <c r="B22" s="3" t="s">
        <v>153</v>
      </c>
      <c r="C22" s="92" t="s">
        <v>154</v>
      </c>
      <c r="D22" s="92"/>
      <c r="E22" s="33">
        <f>ROUND('Stavební rozpočet'!H61,2)</f>
        <v>0</v>
      </c>
      <c r="F22" s="33">
        <f>ROUND('Stavební rozpočet'!I61,2)</f>
        <v>0</v>
      </c>
      <c r="G22" s="33">
        <f>ROUND('Stavební rozpočet'!J61,2)</f>
        <v>0</v>
      </c>
      <c r="H22" s="35" t="s">
        <v>230</v>
      </c>
      <c r="I22" s="33">
        <f t="shared" si="0"/>
        <v>0</v>
      </c>
    </row>
    <row r="23" spans="1:9" ht="14.5" x14ac:dyDescent="0.35">
      <c r="A23" s="2" t="s">
        <v>51</v>
      </c>
      <c r="B23" s="3" t="s">
        <v>161</v>
      </c>
      <c r="C23" s="92" t="s">
        <v>162</v>
      </c>
      <c r="D23" s="92"/>
      <c r="E23" s="33">
        <f>ROUND('Stavební rozpočet'!H64,2)</f>
        <v>0</v>
      </c>
      <c r="F23" s="33">
        <f>ROUND('Stavební rozpočet'!I64,2)</f>
        <v>0</v>
      </c>
      <c r="G23" s="33">
        <f>ROUND('Stavební rozpočet'!J64,2)</f>
        <v>0</v>
      </c>
      <c r="H23" s="35" t="s">
        <v>230</v>
      </c>
      <c r="I23" s="33">
        <f t="shared" si="0"/>
        <v>0</v>
      </c>
    </row>
    <row r="24" spans="1:9" ht="14.5" x14ac:dyDescent="0.35">
      <c r="A24" s="2" t="s">
        <v>60</v>
      </c>
      <c r="B24" s="3" t="s">
        <v>47</v>
      </c>
      <c r="C24" s="92" t="s">
        <v>168</v>
      </c>
      <c r="D24" s="92"/>
      <c r="E24" s="33">
        <f>ROUND('Stavební rozpočet'!H67,2)</f>
        <v>0</v>
      </c>
      <c r="F24" s="33">
        <f>ROUND('Stavební rozpočet'!I67,2)</f>
        <v>0</v>
      </c>
      <c r="G24" s="33">
        <f>ROUND('Stavební rozpočet'!J67,2)</f>
        <v>0</v>
      </c>
      <c r="H24" s="35" t="s">
        <v>229</v>
      </c>
      <c r="I24" s="33">
        <f t="shared" si="0"/>
        <v>0</v>
      </c>
    </row>
    <row r="25" spans="1:9" ht="14.5" x14ac:dyDescent="0.35">
      <c r="A25" s="2" t="s">
        <v>60</v>
      </c>
      <c r="B25" s="3" t="s">
        <v>169</v>
      </c>
      <c r="C25" s="92" t="s">
        <v>170</v>
      </c>
      <c r="D25" s="92"/>
      <c r="E25" s="33">
        <f>ROUND('Stavební rozpočet'!H68,2)</f>
        <v>0</v>
      </c>
      <c r="F25" s="33">
        <f>ROUND('Stavební rozpočet'!I68,2)</f>
        <v>0</v>
      </c>
      <c r="G25" s="33">
        <f>ROUND('Stavební rozpočet'!J68,2)</f>
        <v>0</v>
      </c>
      <c r="H25" s="35" t="s">
        <v>230</v>
      </c>
      <c r="I25" s="33">
        <f t="shared" si="0"/>
        <v>0</v>
      </c>
    </row>
    <row r="26" spans="1:9" ht="14.5" x14ac:dyDescent="0.35">
      <c r="A26" s="2" t="s">
        <v>60</v>
      </c>
      <c r="B26" s="3" t="s">
        <v>118</v>
      </c>
      <c r="C26" s="92" t="s">
        <v>119</v>
      </c>
      <c r="D26" s="92"/>
      <c r="E26" s="33">
        <f>ROUND('Stavební rozpočet'!H72,2)</f>
        <v>0</v>
      </c>
      <c r="F26" s="33">
        <f>ROUND('Stavební rozpočet'!I72,2)</f>
        <v>0</v>
      </c>
      <c r="G26" s="33">
        <f>ROUND('Stavební rozpočet'!J72,2)</f>
        <v>0</v>
      </c>
      <c r="H26" s="35" t="s">
        <v>230</v>
      </c>
      <c r="I26" s="33">
        <f t="shared" si="0"/>
        <v>0</v>
      </c>
    </row>
    <row r="27" spans="1:9" ht="14.5" x14ac:dyDescent="0.35">
      <c r="A27" s="2" t="s">
        <v>66</v>
      </c>
      <c r="B27" s="3" t="s">
        <v>47</v>
      </c>
      <c r="C27" s="92" t="s">
        <v>179</v>
      </c>
      <c r="D27" s="92"/>
      <c r="E27" s="33">
        <f>ROUND('Stavební rozpočet'!H76,2)</f>
        <v>0</v>
      </c>
      <c r="F27" s="33">
        <f>ROUND('Stavební rozpočet'!I76,2)</f>
        <v>0</v>
      </c>
      <c r="G27" s="33">
        <f>ROUND('Stavební rozpočet'!J76,2)</f>
        <v>0</v>
      </c>
      <c r="H27" s="35" t="s">
        <v>229</v>
      </c>
      <c r="I27" s="33">
        <f t="shared" si="0"/>
        <v>0</v>
      </c>
    </row>
    <row r="28" spans="1:9" ht="14.5" x14ac:dyDescent="0.35">
      <c r="A28" s="2" t="s">
        <v>66</v>
      </c>
      <c r="B28" s="3" t="s">
        <v>130</v>
      </c>
      <c r="C28" s="92" t="s">
        <v>131</v>
      </c>
      <c r="D28" s="92"/>
      <c r="E28" s="33">
        <f>ROUND('Stavební rozpočet'!H77,2)</f>
        <v>0</v>
      </c>
      <c r="F28" s="33">
        <f>ROUND('Stavební rozpočet'!I77,2)</f>
        <v>0</v>
      </c>
      <c r="G28" s="33">
        <f>ROUND('Stavební rozpočet'!J77,2)</f>
        <v>0</v>
      </c>
      <c r="H28" s="35" t="s">
        <v>230</v>
      </c>
      <c r="I28" s="33">
        <f t="shared" si="0"/>
        <v>0</v>
      </c>
    </row>
    <row r="29" spans="1:9" ht="14.5" x14ac:dyDescent="0.35">
      <c r="A29" s="2" t="s">
        <v>66</v>
      </c>
      <c r="B29" s="3" t="s">
        <v>212</v>
      </c>
      <c r="C29" s="92" t="s">
        <v>213</v>
      </c>
      <c r="D29" s="92"/>
      <c r="E29" s="33">
        <f>ROUND('Stavební rozpočet'!H101,2)</f>
        <v>0</v>
      </c>
      <c r="F29" s="33">
        <f>ROUND('Stavební rozpočet'!I101,2)</f>
        <v>0</v>
      </c>
      <c r="G29" s="33">
        <f>ROUND('Stavební rozpočet'!J101,2)</f>
        <v>0</v>
      </c>
      <c r="H29" s="35" t="s">
        <v>230</v>
      </c>
      <c r="I29" s="33">
        <f t="shared" si="0"/>
        <v>0</v>
      </c>
    </row>
    <row r="30" spans="1:9" ht="14.5" x14ac:dyDescent="0.35">
      <c r="F30" s="4" t="s">
        <v>222</v>
      </c>
      <c r="G30" s="62">
        <f>ROUND(SUM(I11:I29),2)</f>
        <v>0</v>
      </c>
    </row>
  </sheetData>
  <mergeCells count="44">
    <mergeCell ref="A1:G1"/>
    <mergeCell ref="A2:B3"/>
    <mergeCell ref="A4:B5"/>
    <mergeCell ref="A6:B7"/>
    <mergeCell ref="A8:B9"/>
    <mergeCell ref="D2:D3"/>
    <mergeCell ref="D4:D5"/>
    <mergeCell ref="D6:D7"/>
    <mergeCell ref="D8:D9"/>
    <mergeCell ref="F2:F3"/>
    <mergeCell ref="F4:F5"/>
    <mergeCell ref="F6:F7"/>
    <mergeCell ref="F8:F9"/>
    <mergeCell ref="C2:C3"/>
    <mergeCell ref="C4:C5"/>
    <mergeCell ref="C6:C7"/>
    <mergeCell ref="G2:G3"/>
    <mergeCell ref="G4:G5"/>
    <mergeCell ref="G6:G7"/>
    <mergeCell ref="G8:G9"/>
    <mergeCell ref="C11:D11"/>
    <mergeCell ref="C8:C9"/>
    <mergeCell ref="E2:E3"/>
    <mergeCell ref="E4:E5"/>
    <mergeCell ref="E6:E7"/>
    <mergeCell ref="E8:E9"/>
    <mergeCell ref="C12:D12"/>
    <mergeCell ref="C13:D13"/>
    <mergeCell ref="C14:D14"/>
    <mergeCell ref="C15:D15"/>
    <mergeCell ref="C16:D16"/>
    <mergeCell ref="C17:D17"/>
    <mergeCell ref="C18:D18"/>
    <mergeCell ref="C19:D19"/>
    <mergeCell ref="C20:D20"/>
    <mergeCell ref="C21:D21"/>
    <mergeCell ref="C27:D27"/>
    <mergeCell ref="C28:D28"/>
    <mergeCell ref="C29:D29"/>
    <mergeCell ref="C22:D22"/>
    <mergeCell ref="C23:D23"/>
    <mergeCell ref="C24:D24"/>
    <mergeCell ref="C25:D25"/>
    <mergeCell ref="C26:D26"/>
  </mergeCells>
  <pageMargins left="0.393999993801117" right="0.393999993801117" top="0.59100002050399802" bottom="0.59100002050399802" header="0" footer="0"/>
  <pageSetup fitToHeight="0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13"/>
  <sheetViews>
    <sheetView workbookViewId="0">
      <selection activeCell="A13" sqref="A13:G13"/>
    </sheetView>
  </sheetViews>
  <sheetFormatPr defaultColWidth="12.1796875" defaultRowHeight="15" customHeight="1" x14ac:dyDescent="0.35"/>
  <cols>
    <col min="1" max="2" width="9.1796875" customWidth="1"/>
    <col min="3" max="3" width="14.26953125" customWidth="1"/>
    <col min="4" max="4" width="42.81640625" customWidth="1"/>
    <col min="5" max="5" width="14.26953125" customWidth="1"/>
    <col min="6" max="6" width="24.1796875" customWidth="1"/>
    <col min="7" max="7" width="15.7265625" customWidth="1"/>
    <col min="8" max="8" width="20" customWidth="1"/>
  </cols>
  <sheetData>
    <row r="1" spans="1:8" ht="54.75" customHeight="1" x14ac:dyDescent="0.35">
      <c r="A1" s="114" t="s">
        <v>231</v>
      </c>
      <c r="B1" s="114"/>
      <c r="C1" s="114"/>
      <c r="D1" s="114"/>
      <c r="E1" s="114"/>
      <c r="F1" s="114"/>
      <c r="G1" s="114"/>
      <c r="H1" s="114"/>
    </row>
    <row r="2" spans="1:8" ht="14.5" x14ac:dyDescent="0.35">
      <c r="A2" s="115" t="s">
        <v>1</v>
      </c>
      <c r="B2" s="107"/>
      <c r="C2" s="120" t="str">
        <f>'Stavební rozpočet'!C2</f>
        <v>25004_Pohl_odpočinkové_posezení_v_lomu</v>
      </c>
      <c r="D2" s="121"/>
      <c r="E2" s="119" t="s">
        <v>4</v>
      </c>
      <c r="F2" s="119" t="str">
        <f>'Stavební rozpočet'!I2</f>
        <v> </v>
      </c>
      <c r="G2" s="107"/>
      <c r="H2" s="108"/>
    </row>
    <row r="3" spans="1:8" ht="15" customHeight="1" x14ac:dyDescent="0.35">
      <c r="A3" s="116"/>
      <c r="B3" s="92"/>
      <c r="C3" s="122"/>
      <c r="D3" s="122"/>
      <c r="E3" s="92"/>
      <c r="F3" s="92"/>
      <c r="G3" s="92"/>
      <c r="H3" s="109"/>
    </row>
    <row r="4" spans="1:8" ht="14.5" x14ac:dyDescent="0.35">
      <c r="A4" s="117" t="s">
        <v>6</v>
      </c>
      <c r="B4" s="92"/>
      <c r="C4" s="91" t="str">
        <f>'Stavební rozpočet'!C4</f>
        <v>Posezení v přírodě</v>
      </c>
      <c r="D4" s="92"/>
      <c r="E4" s="91" t="s">
        <v>10</v>
      </c>
      <c r="F4" s="91" t="str">
        <f>'Stavební rozpočet'!I4</f>
        <v> </v>
      </c>
      <c r="G4" s="92"/>
      <c r="H4" s="109"/>
    </row>
    <row r="5" spans="1:8" ht="15" customHeight="1" x14ac:dyDescent="0.35">
      <c r="A5" s="116"/>
      <c r="B5" s="92"/>
      <c r="C5" s="92"/>
      <c r="D5" s="92"/>
      <c r="E5" s="92"/>
      <c r="F5" s="92"/>
      <c r="G5" s="92"/>
      <c r="H5" s="109"/>
    </row>
    <row r="6" spans="1:8" ht="14.5" x14ac:dyDescent="0.35">
      <c r="A6" s="117" t="s">
        <v>11</v>
      </c>
      <c r="B6" s="92"/>
      <c r="C6" s="91" t="str">
        <f>'Stavební rozpočet'!C6</f>
        <v>Bruntál - bývalý lom</v>
      </c>
      <c r="D6" s="92"/>
      <c r="E6" s="91" t="s">
        <v>14</v>
      </c>
      <c r="F6" s="91" t="str">
        <f>'Stavební rozpočet'!I6</f>
        <v> </v>
      </c>
      <c r="G6" s="92"/>
      <c r="H6" s="109"/>
    </row>
    <row r="7" spans="1:8" ht="15" customHeight="1" x14ac:dyDescent="0.35">
      <c r="A7" s="116"/>
      <c r="B7" s="92"/>
      <c r="C7" s="92"/>
      <c r="D7" s="92"/>
      <c r="E7" s="92"/>
      <c r="F7" s="92"/>
      <c r="G7" s="92"/>
      <c r="H7" s="109"/>
    </row>
    <row r="8" spans="1:8" ht="14.5" x14ac:dyDescent="0.35">
      <c r="A8" s="117" t="s">
        <v>17</v>
      </c>
      <c r="B8" s="92"/>
      <c r="C8" s="91" t="str">
        <f>'Stavební rozpočet'!I8</f>
        <v> </v>
      </c>
      <c r="D8" s="92"/>
      <c r="E8" s="91" t="s">
        <v>16</v>
      </c>
      <c r="F8" s="91" t="str">
        <f>'Stavební rozpočet'!G8</f>
        <v>30.08.2025</v>
      </c>
      <c r="G8" s="92"/>
      <c r="H8" s="109"/>
    </row>
    <row r="9" spans="1:8" ht="14.5" x14ac:dyDescent="0.35">
      <c r="A9" s="118"/>
      <c r="B9" s="110"/>
      <c r="C9" s="110"/>
      <c r="D9" s="110"/>
      <c r="E9" s="110"/>
      <c r="F9" s="110"/>
      <c r="G9" s="110"/>
      <c r="H9" s="111"/>
    </row>
    <row r="10" spans="1:8" ht="14.5" x14ac:dyDescent="0.35">
      <c r="A10" s="63" t="s">
        <v>18</v>
      </c>
      <c r="B10" s="64" t="s">
        <v>225</v>
      </c>
      <c r="C10" s="64" t="s">
        <v>19</v>
      </c>
      <c r="D10" s="126" t="s">
        <v>232</v>
      </c>
      <c r="E10" s="127"/>
      <c r="F10" s="64" t="s">
        <v>21</v>
      </c>
      <c r="G10" s="65" t="s">
        <v>22</v>
      </c>
      <c r="H10" s="66" t="s">
        <v>233</v>
      </c>
    </row>
    <row r="12" spans="1:8" ht="14.5" x14ac:dyDescent="0.35">
      <c r="A12" s="53" t="s">
        <v>223</v>
      </c>
    </row>
    <row r="13" spans="1:8" ht="12.75" customHeight="1" x14ac:dyDescent="0.35">
      <c r="A13" s="91" t="s">
        <v>47</v>
      </c>
      <c r="B13" s="92"/>
      <c r="C13" s="92"/>
      <c r="D13" s="92"/>
      <c r="E13" s="92"/>
      <c r="F13" s="92"/>
      <c r="G13" s="92"/>
    </row>
  </sheetData>
  <mergeCells count="19">
    <mergeCell ref="F2:H3"/>
    <mergeCell ref="F4:H5"/>
    <mergeCell ref="F6:H7"/>
    <mergeCell ref="F8:H9"/>
    <mergeCell ref="D10:E10"/>
    <mergeCell ref="A13:G13"/>
    <mergeCell ref="A1:H1"/>
    <mergeCell ref="A2:B3"/>
    <mergeCell ref="A4:B5"/>
    <mergeCell ref="A6:B7"/>
    <mergeCell ref="A8:B9"/>
    <mergeCell ref="E2:E3"/>
    <mergeCell ref="E4:E5"/>
    <mergeCell ref="E6:E7"/>
    <mergeCell ref="E8:E9"/>
    <mergeCell ref="C2:D3"/>
    <mergeCell ref="C4:D5"/>
    <mergeCell ref="C6:D7"/>
    <mergeCell ref="C8:D9"/>
  </mergeCells>
  <pageMargins left="0.393999993801117" right="0.393999993801117" top="0.59100002050399802" bottom="0.59100002050399802" header="0" footer="0"/>
  <pageSetup fitToHeight="0"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37"/>
  <sheetViews>
    <sheetView workbookViewId="0">
      <selection activeCell="A37" sqref="A37:I37"/>
    </sheetView>
  </sheetViews>
  <sheetFormatPr defaultColWidth="12.1796875" defaultRowHeight="15" customHeight="1" x14ac:dyDescent="0.35"/>
  <cols>
    <col min="1" max="1" width="9.1796875" customWidth="1"/>
    <col min="2" max="2" width="12.81640625" customWidth="1"/>
    <col min="3" max="3" width="27.1796875" customWidth="1"/>
    <col min="4" max="4" width="10" customWidth="1"/>
    <col min="5" max="5" width="14" customWidth="1"/>
    <col min="6" max="6" width="27.1796875" customWidth="1"/>
    <col min="7" max="7" width="9.1796875" customWidth="1"/>
    <col min="8" max="8" width="12.81640625" customWidth="1"/>
    <col min="9" max="9" width="27.1796875" customWidth="1"/>
  </cols>
  <sheetData>
    <row r="1" spans="1:9" ht="54.75" customHeight="1" x14ac:dyDescent="0.35">
      <c r="A1" s="163" t="s">
        <v>234</v>
      </c>
      <c r="B1" s="114"/>
      <c r="C1" s="114"/>
      <c r="D1" s="114"/>
      <c r="E1" s="114"/>
      <c r="F1" s="114"/>
      <c r="G1" s="114"/>
      <c r="H1" s="114"/>
      <c r="I1" s="114"/>
    </row>
    <row r="2" spans="1:9" ht="14.5" x14ac:dyDescent="0.35">
      <c r="A2" s="115" t="s">
        <v>1</v>
      </c>
      <c r="B2" s="107"/>
      <c r="C2" s="120" t="str">
        <f>'Stavební rozpočet'!C2</f>
        <v>25004_Pohl_odpočinkové_posezení_v_lomu</v>
      </c>
      <c r="D2" s="121"/>
      <c r="E2" s="119" t="s">
        <v>4</v>
      </c>
      <c r="F2" s="119" t="str">
        <f>'Stavební rozpočet'!I2</f>
        <v> </v>
      </c>
      <c r="G2" s="107"/>
      <c r="H2" s="119" t="s">
        <v>235</v>
      </c>
      <c r="I2" s="108" t="s">
        <v>47</v>
      </c>
    </row>
    <row r="3" spans="1:9" ht="15" customHeight="1" x14ac:dyDescent="0.35">
      <c r="A3" s="116"/>
      <c r="B3" s="92"/>
      <c r="C3" s="122"/>
      <c r="D3" s="122"/>
      <c r="E3" s="92"/>
      <c r="F3" s="92"/>
      <c r="G3" s="92"/>
      <c r="H3" s="92"/>
      <c r="I3" s="109"/>
    </row>
    <row r="4" spans="1:9" ht="14.5" x14ac:dyDescent="0.35">
      <c r="A4" s="117" t="s">
        <v>6</v>
      </c>
      <c r="B4" s="92"/>
      <c r="C4" s="91" t="str">
        <f>'Stavební rozpočet'!C4</f>
        <v>Posezení v přírodě</v>
      </c>
      <c r="D4" s="92"/>
      <c r="E4" s="91" t="s">
        <v>10</v>
      </c>
      <c r="F4" s="91" t="str">
        <f>'Stavební rozpočet'!I4</f>
        <v> </v>
      </c>
      <c r="G4" s="92"/>
      <c r="H4" s="91" t="s">
        <v>235</v>
      </c>
      <c r="I4" s="109" t="s">
        <v>47</v>
      </c>
    </row>
    <row r="5" spans="1:9" ht="15" customHeight="1" x14ac:dyDescent="0.35">
      <c r="A5" s="116"/>
      <c r="B5" s="92"/>
      <c r="C5" s="92"/>
      <c r="D5" s="92"/>
      <c r="E5" s="92"/>
      <c r="F5" s="92"/>
      <c r="G5" s="92"/>
      <c r="H5" s="92"/>
      <c r="I5" s="109"/>
    </row>
    <row r="6" spans="1:9" ht="14.5" x14ac:dyDescent="0.35">
      <c r="A6" s="117" t="s">
        <v>11</v>
      </c>
      <c r="B6" s="92"/>
      <c r="C6" s="91" t="str">
        <f>'Stavební rozpočet'!C6</f>
        <v>Bruntál - bývalý lom</v>
      </c>
      <c r="D6" s="92"/>
      <c r="E6" s="91" t="s">
        <v>14</v>
      </c>
      <c r="F6" s="91" t="str">
        <f>'Stavební rozpočet'!I6</f>
        <v> </v>
      </c>
      <c r="G6" s="92"/>
      <c r="H6" s="91" t="s">
        <v>235</v>
      </c>
      <c r="I6" s="109" t="s">
        <v>47</v>
      </c>
    </row>
    <row r="7" spans="1:9" ht="15" customHeight="1" x14ac:dyDescent="0.35">
      <c r="A7" s="116"/>
      <c r="B7" s="92"/>
      <c r="C7" s="92"/>
      <c r="D7" s="92"/>
      <c r="E7" s="92"/>
      <c r="F7" s="92"/>
      <c r="G7" s="92"/>
      <c r="H7" s="92"/>
      <c r="I7" s="109"/>
    </row>
    <row r="8" spans="1:9" ht="14.5" x14ac:dyDescent="0.35">
      <c r="A8" s="117" t="s">
        <v>8</v>
      </c>
      <c r="B8" s="92"/>
      <c r="C8" s="91" t="str">
        <f>'Stavební rozpočet'!G4</f>
        <v>30.08.2025</v>
      </c>
      <c r="D8" s="92"/>
      <c r="E8" s="91" t="s">
        <v>13</v>
      </c>
      <c r="F8" s="91" t="str">
        <f>'Stavební rozpočet'!G6</f>
        <v xml:space="preserve"> </v>
      </c>
      <c r="G8" s="92"/>
      <c r="H8" s="92" t="s">
        <v>236</v>
      </c>
      <c r="I8" s="164">
        <v>31</v>
      </c>
    </row>
    <row r="9" spans="1:9" ht="14.5" x14ac:dyDescent="0.35">
      <c r="A9" s="116"/>
      <c r="B9" s="92"/>
      <c r="C9" s="92"/>
      <c r="D9" s="92"/>
      <c r="E9" s="92"/>
      <c r="F9" s="92"/>
      <c r="G9" s="92"/>
      <c r="H9" s="92"/>
      <c r="I9" s="109"/>
    </row>
    <row r="10" spans="1:9" ht="14.5" x14ac:dyDescent="0.35">
      <c r="A10" s="117" t="s">
        <v>15</v>
      </c>
      <c r="B10" s="92"/>
      <c r="C10" s="91" t="str">
        <f>'Stavební rozpočet'!C8</f>
        <v xml:space="preserve"> </v>
      </c>
      <c r="D10" s="92"/>
      <c r="E10" s="91" t="s">
        <v>17</v>
      </c>
      <c r="F10" s="91" t="str">
        <f>'Stavební rozpočet'!I8</f>
        <v> </v>
      </c>
      <c r="G10" s="92"/>
      <c r="H10" s="92" t="s">
        <v>237</v>
      </c>
      <c r="I10" s="124" t="str">
        <f>'Stavební rozpočet'!G8</f>
        <v>30.08.2025</v>
      </c>
    </row>
    <row r="11" spans="1:9" ht="14.5" x14ac:dyDescent="0.35">
      <c r="A11" s="162"/>
      <c r="B11" s="125"/>
      <c r="C11" s="125"/>
      <c r="D11" s="125"/>
      <c r="E11" s="125"/>
      <c r="F11" s="125"/>
      <c r="G11" s="125"/>
      <c r="H11" s="125"/>
      <c r="I11" s="158"/>
    </row>
    <row r="12" spans="1:9" ht="23" x14ac:dyDescent="0.35">
      <c r="A12" s="159" t="s">
        <v>238</v>
      </c>
      <c r="B12" s="159"/>
      <c r="C12" s="159"/>
      <c r="D12" s="159"/>
      <c r="E12" s="159"/>
      <c r="F12" s="159"/>
      <c r="G12" s="159"/>
      <c r="H12" s="159"/>
      <c r="I12" s="159"/>
    </row>
    <row r="13" spans="1:9" ht="26.25" customHeight="1" x14ac:dyDescent="0.35">
      <c r="A13" s="67" t="s">
        <v>239</v>
      </c>
      <c r="B13" s="160" t="s">
        <v>240</v>
      </c>
      <c r="C13" s="161"/>
      <c r="D13" s="68" t="s">
        <v>241</v>
      </c>
      <c r="E13" s="160" t="s">
        <v>242</v>
      </c>
      <c r="F13" s="161"/>
      <c r="G13" s="68" t="s">
        <v>243</v>
      </c>
      <c r="H13" s="160" t="s">
        <v>244</v>
      </c>
      <c r="I13" s="161"/>
    </row>
    <row r="14" spans="1:9" ht="15.5" x14ac:dyDescent="0.35">
      <c r="A14" s="69" t="s">
        <v>245</v>
      </c>
      <c r="B14" s="70" t="s">
        <v>246</v>
      </c>
      <c r="C14" s="71">
        <f>SUM('Stavební rozpočet'!AB12:AB212)</f>
        <v>0</v>
      </c>
      <c r="D14" s="148" t="s">
        <v>247</v>
      </c>
      <c r="E14" s="149"/>
      <c r="F14" s="71">
        <f>VORN!I15</f>
        <v>0</v>
      </c>
      <c r="G14" s="148" t="s">
        <v>248</v>
      </c>
      <c r="H14" s="149"/>
      <c r="I14" s="72">
        <f>VORN!I21</f>
        <v>0</v>
      </c>
    </row>
    <row r="15" spans="1:9" ht="15.5" x14ac:dyDescent="0.35">
      <c r="A15" s="73" t="s">
        <v>47</v>
      </c>
      <c r="B15" s="70" t="s">
        <v>32</v>
      </c>
      <c r="C15" s="71">
        <f>SUM('Stavební rozpočet'!AC12:AC212)</f>
        <v>0</v>
      </c>
      <c r="D15" s="148" t="s">
        <v>249</v>
      </c>
      <c r="E15" s="149"/>
      <c r="F15" s="71">
        <f>VORN!I16</f>
        <v>0</v>
      </c>
      <c r="G15" s="148" t="s">
        <v>250</v>
      </c>
      <c r="H15" s="149"/>
      <c r="I15" s="72">
        <f>VORN!I22</f>
        <v>0</v>
      </c>
    </row>
    <row r="16" spans="1:9" ht="15.5" x14ac:dyDescent="0.35">
      <c r="A16" s="69" t="s">
        <v>251</v>
      </c>
      <c r="B16" s="70" t="s">
        <v>246</v>
      </c>
      <c r="C16" s="71">
        <f>SUM('Stavební rozpočet'!AD12:AD212)</f>
        <v>0</v>
      </c>
      <c r="D16" s="148" t="s">
        <v>252</v>
      </c>
      <c r="E16" s="149"/>
      <c r="F16" s="71">
        <f>VORN!I17</f>
        <v>0</v>
      </c>
      <c r="G16" s="148" t="s">
        <v>253</v>
      </c>
      <c r="H16" s="149"/>
      <c r="I16" s="72">
        <f>VORN!I23</f>
        <v>0</v>
      </c>
    </row>
    <row r="17" spans="1:9" ht="15.5" x14ac:dyDescent="0.35">
      <c r="A17" s="73" t="s">
        <v>47</v>
      </c>
      <c r="B17" s="70" t="s">
        <v>32</v>
      </c>
      <c r="C17" s="71">
        <f>SUM('Stavební rozpočet'!AE12:AE212)</f>
        <v>0</v>
      </c>
      <c r="D17" s="148" t="s">
        <v>47</v>
      </c>
      <c r="E17" s="149"/>
      <c r="F17" s="72" t="s">
        <v>47</v>
      </c>
      <c r="G17" s="148" t="s">
        <v>254</v>
      </c>
      <c r="H17" s="149"/>
      <c r="I17" s="72">
        <f>VORN!I24</f>
        <v>0</v>
      </c>
    </row>
    <row r="18" spans="1:9" ht="15.5" x14ac:dyDescent="0.35">
      <c r="A18" s="69" t="s">
        <v>255</v>
      </c>
      <c r="B18" s="70" t="s">
        <v>246</v>
      </c>
      <c r="C18" s="71">
        <f>SUM('Stavební rozpočet'!AF12:AF212)</f>
        <v>0</v>
      </c>
      <c r="D18" s="148" t="s">
        <v>47</v>
      </c>
      <c r="E18" s="149"/>
      <c r="F18" s="72" t="s">
        <v>47</v>
      </c>
      <c r="G18" s="148" t="s">
        <v>256</v>
      </c>
      <c r="H18" s="149"/>
      <c r="I18" s="72">
        <f>VORN!I25</f>
        <v>0</v>
      </c>
    </row>
    <row r="19" spans="1:9" ht="15.5" x14ac:dyDescent="0.35">
      <c r="A19" s="73" t="s">
        <v>47</v>
      </c>
      <c r="B19" s="70" t="s">
        <v>32</v>
      </c>
      <c r="C19" s="71">
        <f>SUM('Stavební rozpočet'!AG12:AG212)</f>
        <v>0</v>
      </c>
      <c r="D19" s="148" t="s">
        <v>47</v>
      </c>
      <c r="E19" s="149"/>
      <c r="F19" s="72" t="s">
        <v>47</v>
      </c>
      <c r="G19" s="148" t="s">
        <v>257</v>
      </c>
      <c r="H19" s="149"/>
      <c r="I19" s="72">
        <f>VORN!I26</f>
        <v>0</v>
      </c>
    </row>
    <row r="20" spans="1:9" ht="15.5" x14ac:dyDescent="0.35">
      <c r="A20" s="140" t="s">
        <v>258</v>
      </c>
      <c r="B20" s="141"/>
      <c r="C20" s="71">
        <f>SUM('Stavební rozpočet'!AH12:AH212)</f>
        <v>0</v>
      </c>
      <c r="D20" s="148" t="s">
        <v>47</v>
      </c>
      <c r="E20" s="149"/>
      <c r="F20" s="72" t="s">
        <v>47</v>
      </c>
      <c r="G20" s="148" t="s">
        <v>47</v>
      </c>
      <c r="H20" s="149"/>
      <c r="I20" s="72" t="s">
        <v>47</v>
      </c>
    </row>
    <row r="21" spans="1:9" ht="15.5" x14ac:dyDescent="0.35">
      <c r="A21" s="155" t="s">
        <v>259</v>
      </c>
      <c r="B21" s="156"/>
      <c r="C21" s="74">
        <f>SUM('Stavební rozpočet'!Z12:Z212)</f>
        <v>0</v>
      </c>
      <c r="D21" s="150" t="s">
        <v>47</v>
      </c>
      <c r="E21" s="151"/>
      <c r="F21" s="75" t="s">
        <v>47</v>
      </c>
      <c r="G21" s="150" t="s">
        <v>47</v>
      </c>
      <c r="H21" s="151"/>
      <c r="I21" s="75" t="s">
        <v>47</v>
      </c>
    </row>
    <row r="22" spans="1:9" ht="16.5" customHeight="1" x14ac:dyDescent="0.35">
      <c r="A22" s="157" t="s">
        <v>260</v>
      </c>
      <c r="B22" s="153"/>
      <c r="C22" s="76">
        <f>ROUND(SUM(C14:C21),2)</f>
        <v>0</v>
      </c>
      <c r="D22" s="152" t="s">
        <v>261</v>
      </c>
      <c r="E22" s="153"/>
      <c r="F22" s="76">
        <f>SUM(F14:F21)</f>
        <v>0</v>
      </c>
      <c r="G22" s="152" t="s">
        <v>262</v>
      </c>
      <c r="H22" s="153"/>
      <c r="I22" s="76">
        <f>SUM(I14:I21)</f>
        <v>0</v>
      </c>
    </row>
    <row r="23" spans="1:9" ht="15.5" x14ac:dyDescent="0.35">
      <c r="D23" s="140" t="s">
        <v>263</v>
      </c>
      <c r="E23" s="141"/>
      <c r="F23" s="71">
        <f>'Krycí list rozpočtu (1)'!F22+'Krycí list rozpočtu (2)'!F22+'Krycí list rozpočtu (3)'!F22</f>
        <v>0</v>
      </c>
      <c r="G23" s="154" t="s">
        <v>264</v>
      </c>
      <c r="H23" s="141"/>
      <c r="I23" s="71">
        <f>'Krycí list rozpočtu (1)'!I22+'Krycí list rozpočtu (2)'!I22+'Krycí list rozpočtu (3)'!I22</f>
        <v>0</v>
      </c>
    </row>
    <row r="24" spans="1:9" ht="15.5" x14ac:dyDescent="0.35">
      <c r="G24" s="140" t="s">
        <v>265</v>
      </c>
      <c r="H24" s="141"/>
      <c r="I24" s="74">
        <f>vorn_sum</f>
        <v>0</v>
      </c>
    </row>
    <row r="25" spans="1:9" ht="15.5" x14ac:dyDescent="0.35">
      <c r="G25" s="140" t="s">
        <v>266</v>
      </c>
      <c r="H25" s="141"/>
      <c r="I25" s="76">
        <f>'Krycí list rozpočtu (1)'!I23+'Krycí list rozpočtu (2)'!I23+'Krycí list rozpočtu (3)'!I23</f>
        <v>0</v>
      </c>
    </row>
    <row r="27" spans="1:9" ht="15.5" x14ac:dyDescent="0.35">
      <c r="A27" s="142" t="s">
        <v>267</v>
      </c>
      <c r="B27" s="143"/>
      <c r="C27" s="77">
        <f>ROUND(SUM('Stavební rozpočet'!AJ12:AJ212),2)</f>
        <v>0</v>
      </c>
    </row>
    <row r="28" spans="1:9" ht="15.5" x14ac:dyDescent="0.35">
      <c r="A28" s="144" t="s">
        <v>268</v>
      </c>
      <c r="B28" s="145"/>
      <c r="C28" s="78">
        <f>ROUND(SUM('Stavební rozpočet'!AK12:AK212),2)</f>
        <v>0</v>
      </c>
      <c r="D28" s="146" t="s">
        <v>269</v>
      </c>
      <c r="E28" s="143"/>
      <c r="F28" s="77">
        <f>ROUND(C28*(12/100),2)</f>
        <v>0</v>
      </c>
      <c r="G28" s="146" t="s">
        <v>270</v>
      </c>
      <c r="H28" s="143"/>
      <c r="I28" s="77">
        <f>ROUND(SUM(C27:C29),2)</f>
        <v>0</v>
      </c>
    </row>
    <row r="29" spans="1:9" ht="15.5" x14ac:dyDescent="0.35">
      <c r="A29" s="144" t="s">
        <v>271</v>
      </c>
      <c r="B29" s="145"/>
      <c r="C29" s="78">
        <f>ROUND(SUM('Stavební rozpočet'!AL12:AL212),2)</f>
        <v>0</v>
      </c>
      <c r="D29" s="147" t="s">
        <v>272</v>
      </c>
      <c r="E29" s="145"/>
      <c r="F29" s="78">
        <f>ROUND(C29*(21/100),2)</f>
        <v>0</v>
      </c>
      <c r="G29" s="147" t="s">
        <v>273</v>
      </c>
      <c r="H29" s="145"/>
      <c r="I29" s="78">
        <f>ROUND(SUM(F28:F29)+I28,2)</f>
        <v>0</v>
      </c>
    </row>
    <row r="31" spans="1:9" ht="15.5" x14ac:dyDescent="0.35">
      <c r="A31" s="137" t="s">
        <v>274</v>
      </c>
      <c r="B31" s="129"/>
      <c r="C31" s="130"/>
      <c r="D31" s="128" t="s">
        <v>275</v>
      </c>
      <c r="E31" s="129"/>
      <c r="F31" s="130"/>
      <c r="G31" s="128" t="s">
        <v>276</v>
      </c>
      <c r="H31" s="129"/>
      <c r="I31" s="130"/>
    </row>
    <row r="32" spans="1:9" ht="15.5" x14ac:dyDescent="0.35">
      <c r="A32" s="138" t="s">
        <v>47</v>
      </c>
      <c r="B32" s="132"/>
      <c r="C32" s="133"/>
      <c r="D32" s="131" t="s">
        <v>47</v>
      </c>
      <c r="E32" s="132"/>
      <c r="F32" s="133"/>
      <c r="G32" s="131" t="s">
        <v>47</v>
      </c>
      <c r="H32" s="132"/>
      <c r="I32" s="133"/>
    </row>
    <row r="33" spans="1:9" ht="15.5" x14ac:dyDescent="0.35">
      <c r="A33" s="138" t="s">
        <v>47</v>
      </c>
      <c r="B33" s="132"/>
      <c r="C33" s="133"/>
      <c r="D33" s="131" t="s">
        <v>47</v>
      </c>
      <c r="E33" s="132"/>
      <c r="F33" s="133"/>
      <c r="G33" s="131" t="s">
        <v>47</v>
      </c>
      <c r="H33" s="132"/>
      <c r="I33" s="133"/>
    </row>
    <row r="34" spans="1:9" ht="15.5" x14ac:dyDescent="0.35">
      <c r="A34" s="138" t="s">
        <v>47</v>
      </c>
      <c r="B34" s="132"/>
      <c r="C34" s="133"/>
      <c r="D34" s="131" t="s">
        <v>47</v>
      </c>
      <c r="E34" s="132"/>
      <c r="F34" s="133"/>
      <c r="G34" s="131" t="s">
        <v>47</v>
      </c>
      <c r="H34" s="132"/>
      <c r="I34" s="133"/>
    </row>
    <row r="35" spans="1:9" ht="15.5" x14ac:dyDescent="0.35">
      <c r="A35" s="139" t="s">
        <v>277</v>
      </c>
      <c r="B35" s="135"/>
      <c r="C35" s="136"/>
      <c r="D35" s="134" t="s">
        <v>277</v>
      </c>
      <c r="E35" s="135"/>
      <c r="F35" s="136"/>
      <c r="G35" s="134" t="s">
        <v>277</v>
      </c>
      <c r="H35" s="135"/>
      <c r="I35" s="136"/>
    </row>
    <row r="36" spans="1:9" ht="14.5" x14ac:dyDescent="0.35">
      <c r="A36" s="79" t="s">
        <v>223</v>
      </c>
    </row>
    <row r="37" spans="1:9" ht="12.75" customHeight="1" x14ac:dyDescent="0.35">
      <c r="A37" s="91" t="s">
        <v>47</v>
      </c>
      <c r="B37" s="92"/>
      <c r="C37" s="92"/>
      <c r="D37" s="92"/>
      <c r="E37" s="92"/>
      <c r="F37" s="92"/>
      <c r="G37" s="92"/>
      <c r="H37" s="92"/>
      <c r="I37" s="92"/>
    </row>
  </sheetData>
  <mergeCells count="83">
    <mergeCell ref="A1:I1"/>
    <mergeCell ref="A2:B3"/>
    <mergeCell ref="A4:B5"/>
    <mergeCell ref="A6:B7"/>
    <mergeCell ref="A8:B9"/>
    <mergeCell ref="F2:G3"/>
    <mergeCell ref="F4:G5"/>
    <mergeCell ref="F6:G7"/>
    <mergeCell ref="F8:G9"/>
    <mergeCell ref="I2:I3"/>
    <mergeCell ref="I4:I5"/>
    <mergeCell ref="I6:I7"/>
    <mergeCell ref="I8:I9"/>
    <mergeCell ref="C2:D3"/>
    <mergeCell ref="C4:D5"/>
    <mergeCell ref="C6:D7"/>
    <mergeCell ref="C8:D9"/>
    <mergeCell ref="C10:D11"/>
    <mergeCell ref="E2:E3"/>
    <mergeCell ref="E4:E5"/>
    <mergeCell ref="E6:E7"/>
    <mergeCell ref="E8:E9"/>
    <mergeCell ref="E10:E11"/>
    <mergeCell ref="H2:H3"/>
    <mergeCell ref="H4:H5"/>
    <mergeCell ref="H6:H7"/>
    <mergeCell ref="H8:H9"/>
    <mergeCell ref="H10:H11"/>
    <mergeCell ref="I10:I11"/>
    <mergeCell ref="A12:I12"/>
    <mergeCell ref="B13:C13"/>
    <mergeCell ref="E13:F13"/>
    <mergeCell ref="H13:I13"/>
    <mergeCell ref="F10:G11"/>
    <mergeCell ref="A10:B11"/>
    <mergeCell ref="A20:B20"/>
    <mergeCell ref="A21:B21"/>
    <mergeCell ref="A22:B22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G14:H14"/>
    <mergeCell ref="G15:H15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A27:B27"/>
    <mergeCell ref="A28:B28"/>
    <mergeCell ref="A29:B29"/>
    <mergeCell ref="D28:E28"/>
    <mergeCell ref="D29:E29"/>
    <mergeCell ref="G28:H28"/>
    <mergeCell ref="G29:H29"/>
    <mergeCell ref="A37:I37"/>
    <mergeCell ref="G31:I31"/>
    <mergeCell ref="G32:I32"/>
    <mergeCell ref="G33:I33"/>
    <mergeCell ref="G34:I34"/>
    <mergeCell ref="G35:I35"/>
    <mergeCell ref="D31:F31"/>
    <mergeCell ref="D32:F32"/>
    <mergeCell ref="D33:F33"/>
    <mergeCell ref="D34:F34"/>
    <mergeCell ref="D35:F35"/>
    <mergeCell ref="A31:C31"/>
    <mergeCell ref="A32:C32"/>
    <mergeCell ref="A33:C33"/>
    <mergeCell ref="A34:C34"/>
    <mergeCell ref="A35:C35"/>
  </mergeCells>
  <pageMargins left="0.393999993801117" right="0.393999993801117" top="0.59100002050399802" bottom="0.59100002050399802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I45"/>
  <sheetViews>
    <sheetView workbookViewId="0">
      <selection activeCell="A45" sqref="A45:E45"/>
    </sheetView>
  </sheetViews>
  <sheetFormatPr defaultColWidth="12.1796875" defaultRowHeight="15" customHeight="1" x14ac:dyDescent="0.35"/>
  <cols>
    <col min="1" max="1" width="9.1796875" customWidth="1"/>
    <col min="2" max="2" width="12.81640625" customWidth="1"/>
    <col min="3" max="3" width="22.81640625" customWidth="1"/>
    <col min="4" max="4" width="10" customWidth="1"/>
    <col min="5" max="5" width="14" customWidth="1"/>
    <col min="6" max="6" width="22.81640625" customWidth="1"/>
    <col min="7" max="7" width="9.1796875" customWidth="1"/>
    <col min="8" max="8" width="17.1796875" customWidth="1"/>
    <col min="9" max="9" width="22.81640625" customWidth="1"/>
  </cols>
  <sheetData>
    <row r="1" spans="1:9" ht="54.75" customHeight="1" x14ac:dyDescent="0.35">
      <c r="A1" s="163" t="s">
        <v>152</v>
      </c>
      <c r="B1" s="114"/>
      <c r="C1" s="114"/>
      <c r="D1" s="114"/>
      <c r="E1" s="114"/>
      <c r="F1" s="114"/>
      <c r="G1" s="114"/>
      <c r="H1" s="114"/>
      <c r="I1" s="114"/>
    </row>
    <row r="2" spans="1:9" ht="14.5" x14ac:dyDescent="0.35">
      <c r="A2" s="115" t="s">
        <v>1</v>
      </c>
      <c r="B2" s="107"/>
      <c r="C2" s="120" t="str">
        <f>'Stavební rozpočet'!C2</f>
        <v>25004_Pohl_odpočinkové_posezení_v_lomu</v>
      </c>
      <c r="D2" s="121"/>
      <c r="E2" s="119" t="s">
        <v>4</v>
      </c>
      <c r="F2" s="119" t="str">
        <f>'Stavební rozpočet'!I2</f>
        <v> </v>
      </c>
      <c r="G2" s="107"/>
      <c r="H2" s="119" t="s">
        <v>235</v>
      </c>
      <c r="I2" s="108" t="s">
        <v>47</v>
      </c>
    </row>
    <row r="3" spans="1:9" ht="15" customHeight="1" x14ac:dyDescent="0.35">
      <c r="A3" s="116"/>
      <c r="B3" s="92"/>
      <c r="C3" s="122"/>
      <c r="D3" s="122"/>
      <c r="E3" s="92"/>
      <c r="F3" s="92"/>
      <c r="G3" s="92"/>
      <c r="H3" s="92"/>
      <c r="I3" s="109"/>
    </row>
    <row r="4" spans="1:9" ht="14.5" x14ac:dyDescent="0.35">
      <c r="A4" s="117" t="s">
        <v>6</v>
      </c>
      <c r="B4" s="92"/>
      <c r="C4" s="91" t="str">
        <f>'Stavební rozpočet'!C4</f>
        <v>Posezení v přírodě</v>
      </c>
      <c r="D4" s="92"/>
      <c r="E4" s="91" t="s">
        <v>10</v>
      </c>
      <c r="F4" s="91" t="str">
        <f>'Stavební rozpočet'!I4</f>
        <v> </v>
      </c>
      <c r="G4" s="92"/>
      <c r="H4" s="91" t="s">
        <v>235</v>
      </c>
      <c r="I4" s="109" t="s">
        <v>47</v>
      </c>
    </row>
    <row r="5" spans="1:9" ht="15" customHeight="1" x14ac:dyDescent="0.35">
      <c r="A5" s="116"/>
      <c r="B5" s="92"/>
      <c r="C5" s="92"/>
      <c r="D5" s="92"/>
      <c r="E5" s="92"/>
      <c r="F5" s="92"/>
      <c r="G5" s="92"/>
      <c r="H5" s="92"/>
      <c r="I5" s="109"/>
    </row>
    <row r="6" spans="1:9" ht="14.5" x14ac:dyDescent="0.35">
      <c r="A6" s="117" t="s">
        <v>11</v>
      </c>
      <c r="B6" s="92"/>
      <c r="C6" s="91" t="str">
        <f>'Stavební rozpočet'!C6</f>
        <v>Bruntál - bývalý lom</v>
      </c>
      <c r="D6" s="92"/>
      <c r="E6" s="91" t="s">
        <v>14</v>
      </c>
      <c r="F6" s="91" t="str">
        <f>'Stavební rozpočet'!I6</f>
        <v> </v>
      </c>
      <c r="G6" s="92"/>
      <c r="H6" s="91" t="s">
        <v>235</v>
      </c>
      <c r="I6" s="109" t="s">
        <v>47</v>
      </c>
    </row>
    <row r="7" spans="1:9" ht="15" customHeight="1" x14ac:dyDescent="0.35">
      <c r="A7" s="116"/>
      <c r="B7" s="92"/>
      <c r="C7" s="92"/>
      <c r="D7" s="92"/>
      <c r="E7" s="92"/>
      <c r="F7" s="92"/>
      <c r="G7" s="92"/>
      <c r="H7" s="92"/>
      <c r="I7" s="109"/>
    </row>
    <row r="8" spans="1:9" ht="14.5" x14ac:dyDescent="0.35">
      <c r="A8" s="117" t="s">
        <v>8</v>
      </c>
      <c r="B8" s="92"/>
      <c r="C8" s="91" t="str">
        <f>'Stavební rozpočet'!G4</f>
        <v>30.08.2025</v>
      </c>
      <c r="D8" s="92"/>
      <c r="E8" s="91" t="s">
        <v>13</v>
      </c>
      <c r="F8" s="91" t="str">
        <f>'Stavební rozpočet'!G6</f>
        <v xml:space="preserve"> </v>
      </c>
      <c r="G8" s="92"/>
      <c r="H8" s="92" t="s">
        <v>236</v>
      </c>
      <c r="I8" s="164">
        <v>31</v>
      </c>
    </row>
    <row r="9" spans="1:9" ht="14.5" x14ac:dyDescent="0.35">
      <c r="A9" s="116"/>
      <c r="B9" s="92"/>
      <c r="C9" s="92"/>
      <c r="D9" s="92"/>
      <c r="E9" s="92"/>
      <c r="F9" s="92"/>
      <c r="G9" s="92"/>
      <c r="H9" s="92"/>
      <c r="I9" s="109"/>
    </row>
    <row r="10" spans="1:9" ht="14.5" x14ac:dyDescent="0.35">
      <c r="A10" s="117" t="s">
        <v>15</v>
      </c>
      <c r="B10" s="92"/>
      <c r="C10" s="91" t="str">
        <f>'Stavební rozpočet'!C8</f>
        <v xml:space="preserve"> </v>
      </c>
      <c r="D10" s="92"/>
      <c r="E10" s="91" t="s">
        <v>17</v>
      </c>
      <c r="F10" s="91" t="str">
        <f>'Stavební rozpočet'!I8</f>
        <v> </v>
      </c>
      <c r="G10" s="92"/>
      <c r="H10" s="92" t="s">
        <v>237</v>
      </c>
      <c r="I10" s="124" t="str">
        <f>'Stavební rozpočet'!G8</f>
        <v>30.08.2025</v>
      </c>
    </row>
    <row r="11" spans="1:9" ht="14.5" x14ac:dyDescent="0.35">
      <c r="A11" s="162"/>
      <c r="B11" s="125"/>
      <c r="C11" s="125"/>
      <c r="D11" s="125"/>
      <c r="E11" s="125"/>
      <c r="F11" s="125"/>
      <c r="G11" s="125"/>
      <c r="H11" s="125"/>
      <c r="I11" s="158"/>
    </row>
    <row r="13" spans="1:9" ht="15.5" x14ac:dyDescent="0.35">
      <c r="A13" s="180" t="s">
        <v>278</v>
      </c>
      <c r="B13" s="180"/>
      <c r="C13" s="180"/>
      <c r="D13" s="180"/>
      <c r="E13" s="180"/>
    </row>
    <row r="14" spans="1:9" ht="14.5" x14ac:dyDescent="0.35">
      <c r="A14" s="181" t="s">
        <v>279</v>
      </c>
      <c r="B14" s="182"/>
      <c r="C14" s="182"/>
      <c r="D14" s="182"/>
      <c r="E14" s="183"/>
      <c r="F14" s="80" t="s">
        <v>280</v>
      </c>
      <c r="G14" s="80" t="s">
        <v>281</v>
      </c>
      <c r="H14" s="80" t="s">
        <v>282</v>
      </c>
      <c r="I14" s="80" t="s">
        <v>280</v>
      </c>
    </row>
    <row r="15" spans="1:9" ht="14.5" x14ac:dyDescent="0.35">
      <c r="A15" s="165" t="s">
        <v>247</v>
      </c>
      <c r="B15" s="166"/>
      <c r="C15" s="166"/>
      <c r="D15" s="166"/>
      <c r="E15" s="167"/>
      <c r="F15" s="81">
        <v>0</v>
      </c>
      <c r="G15" s="82" t="s">
        <v>47</v>
      </c>
      <c r="H15" s="82" t="s">
        <v>47</v>
      </c>
      <c r="I15" s="81">
        <f>F15</f>
        <v>0</v>
      </c>
    </row>
    <row r="16" spans="1:9" ht="14.5" x14ac:dyDescent="0.35">
      <c r="A16" s="165" t="s">
        <v>249</v>
      </c>
      <c r="B16" s="166"/>
      <c r="C16" s="166"/>
      <c r="D16" s="166"/>
      <c r="E16" s="167"/>
      <c r="F16" s="81">
        <v>0</v>
      </c>
      <c r="G16" s="82" t="s">
        <v>47</v>
      </c>
      <c r="H16" s="82" t="s">
        <v>47</v>
      </c>
      <c r="I16" s="81">
        <f>F16</f>
        <v>0</v>
      </c>
    </row>
    <row r="17" spans="1:9" ht="14.5" x14ac:dyDescent="0.35">
      <c r="A17" s="168" t="s">
        <v>252</v>
      </c>
      <c r="B17" s="169"/>
      <c r="C17" s="169"/>
      <c r="D17" s="169"/>
      <c r="E17" s="170"/>
      <c r="F17" s="83">
        <v>0</v>
      </c>
      <c r="G17" s="84" t="s">
        <v>47</v>
      </c>
      <c r="H17" s="84" t="s">
        <v>47</v>
      </c>
      <c r="I17" s="83">
        <f>F17</f>
        <v>0</v>
      </c>
    </row>
    <row r="18" spans="1:9" ht="14.5" x14ac:dyDescent="0.35">
      <c r="A18" s="171" t="s">
        <v>283</v>
      </c>
      <c r="B18" s="172"/>
      <c r="C18" s="172"/>
      <c r="D18" s="172"/>
      <c r="E18" s="173"/>
      <c r="F18" s="85" t="s">
        <v>47</v>
      </c>
      <c r="G18" s="86" t="s">
        <v>47</v>
      </c>
      <c r="H18" s="86" t="s">
        <v>47</v>
      </c>
      <c r="I18" s="87">
        <f>SUM(I15:I17)</f>
        <v>0</v>
      </c>
    </row>
    <row r="20" spans="1:9" ht="14.5" x14ac:dyDescent="0.35">
      <c r="A20" s="181" t="s">
        <v>244</v>
      </c>
      <c r="B20" s="182"/>
      <c r="C20" s="182"/>
      <c r="D20" s="182"/>
      <c r="E20" s="183"/>
      <c r="F20" s="80" t="s">
        <v>280</v>
      </c>
      <c r="G20" s="80" t="s">
        <v>281</v>
      </c>
      <c r="H20" s="80" t="s">
        <v>282</v>
      </c>
      <c r="I20" s="80" t="s">
        <v>280</v>
      </c>
    </row>
    <row r="21" spans="1:9" ht="14.5" x14ac:dyDescent="0.35">
      <c r="A21" s="165" t="s">
        <v>248</v>
      </c>
      <c r="B21" s="166"/>
      <c r="C21" s="166"/>
      <c r="D21" s="166"/>
      <c r="E21" s="167"/>
      <c r="F21" s="81">
        <v>0</v>
      </c>
      <c r="G21" s="82" t="s">
        <v>47</v>
      </c>
      <c r="H21" s="82" t="s">
        <v>47</v>
      </c>
      <c r="I21" s="81">
        <f t="shared" ref="I21:I26" si="0">F21</f>
        <v>0</v>
      </c>
    </row>
    <row r="22" spans="1:9" ht="14.5" x14ac:dyDescent="0.35">
      <c r="A22" s="165" t="s">
        <v>250</v>
      </c>
      <c r="B22" s="166"/>
      <c r="C22" s="166"/>
      <c r="D22" s="166"/>
      <c r="E22" s="167"/>
      <c r="F22" s="81">
        <v>0</v>
      </c>
      <c r="G22" s="82" t="s">
        <v>47</v>
      </c>
      <c r="H22" s="82" t="s">
        <v>47</v>
      </c>
      <c r="I22" s="81">
        <f t="shared" si="0"/>
        <v>0</v>
      </c>
    </row>
    <row r="23" spans="1:9" ht="14.5" x14ac:dyDescent="0.35">
      <c r="A23" s="165" t="s">
        <v>253</v>
      </c>
      <c r="B23" s="166"/>
      <c r="C23" s="166"/>
      <c r="D23" s="166"/>
      <c r="E23" s="167"/>
      <c r="F23" s="81">
        <v>0</v>
      </c>
      <c r="G23" s="82" t="s">
        <v>47</v>
      </c>
      <c r="H23" s="82" t="s">
        <v>47</v>
      </c>
      <c r="I23" s="81">
        <f t="shared" si="0"/>
        <v>0</v>
      </c>
    </row>
    <row r="24" spans="1:9" ht="14.5" x14ac:dyDescent="0.35">
      <c r="A24" s="165" t="s">
        <v>254</v>
      </c>
      <c r="B24" s="166"/>
      <c r="C24" s="166"/>
      <c r="D24" s="166"/>
      <c r="E24" s="167"/>
      <c r="F24" s="81">
        <v>0</v>
      </c>
      <c r="G24" s="82" t="s">
        <v>47</v>
      </c>
      <c r="H24" s="82" t="s">
        <v>47</v>
      </c>
      <c r="I24" s="81">
        <f t="shared" si="0"/>
        <v>0</v>
      </c>
    </row>
    <row r="25" spans="1:9" ht="14.5" x14ac:dyDescent="0.35">
      <c r="A25" s="165" t="s">
        <v>256</v>
      </c>
      <c r="B25" s="166"/>
      <c r="C25" s="166"/>
      <c r="D25" s="166"/>
      <c r="E25" s="167"/>
      <c r="F25" s="81">
        <v>0</v>
      </c>
      <c r="G25" s="82" t="s">
        <v>47</v>
      </c>
      <c r="H25" s="82" t="s">
        <v>47</v>
      </c>
      <c r="I25" s="81">
        <f t="shared" si="0"/>
        <v>0</v>
      </c>
    </row>
    <row r="26" spans="1:9" ht="14.5" x14ac:dyDescent="0.35">
      <c r="A26" s="168" t="s">
        <v>257</v>
      </c>
      <c r="B26" s="169"/>
      <c r="C26" s="169"/>
      <c r="D26" s="169"/>
      <c r="E26" s="170"/>
      <c r="F26" s="83">
        <v>0</v>
      </c>
      <c r="G26" s="84" t="s">
        <v>47</v>
      </c>
      <c r="H26" s="84" t="s">
        <v>47</v>
      </c>
      <c r="I26" s="83">
        <f t="shared" si="0"/>
        <v>0</v>
      </c>
    </row>
    <row r="27" spans="1:9" ht="14.5" x14ac:dyDescent="0.35">
      <c r="A27" s="171" t="s">
        <v>284</v>
      </c>
      <c r="B27" s="172"/>
      <c r="C27" s="172"/>
      <c r="D27" s="172"/>
      <c r="E27" s="173"/>
      <c r="F27" s="85" t="s">
        <v>47</v>
      </c>
      <c r="G27" s="86" t="s">
        <v>47</v>
      </c>
      <c r="H27" s="86" t="s">
        <v>47</v>
      </c>
      <c r="I27" s="87">
        <f>SUM(I21:I26)</f>
        <v>0</v>
      </c>
    </row>
    <row r="29" spans="1:9" ht="15.5" x14ac:dyDescent="0.35">
      <c r="A29" s="174" t="s">
        <v>285</v>
      </c>
      <c r="B29" s="175"/>
      <c r="C29" s="175"/>
      <c r="D29" s="175"/>
      <c r="E29" s="176"/>
      <c r="F29" s="177">
        <f>I18+I27</f>
        <v>0</v>
      </c>
      <c r="G29" s="178"/>
      <c r="H29" s="178"/>
      <c r="I29" s="179"/>
    </row>
    <row r="33" spans="1:9" ht="15.5" x14ac:dyDescent="0.35">
      <c r="A33" s="180" t="s">
        <v>286</v>
      </c>
      <c r="B33" s="180"/>
      <c r="C33" s="180"/>
      <c r="D33" s="180"/>
      <c r="E33" s="180"/>
    </row>
    <row r="34" spans="1:9" ht="14.5" x14ac:dyDescent="0.35">
      <c r="A34" s="181" t="s">
        <v>287</v>
      </c>
      <c r="B34" s="182"/>
      <c r="C34" s="182"/>
      <c r="D34" s="182"/>
      <c r="E34" s="183"/>
      <c r="F34" s="80" t="s">
        <v>280</v>
      </c>
      <c r="G34" s="80" t="s">
        <v>281</v>
      </c>
      <c r="H34" s="80" t="s">
        <v>282</v>
      </c>
      <c r="I34" s="80" t="s">
        <v>280</v>
      </c>
    </row>
    <row r="35" spans="1:9" ht="14.5" x14ac:dyDescent="0.35">
      <c r="A35" s="165" t="s">
        <v>154</v>
      </c>
      <c r="B35" s="166"/>
      <c r="C35" s="166"/>
      <c r="D35" s="166"/>
      <c r="E35" s="167"/>
      <c r="F35" s="81">
        <f>SUM('Stavební rozpočet'!BM12:BM212)</f>
        <v>0</v>
      </c>
      <c r="G35" s="82" t="s">
        <v>47</v>
      </c>
      <c r="H35" s="82" t="s">
        <v>47</v>
      </c>
      <c r="I35" s="81">
        <f t="shared" ref="I35:I44" si="1">F35</f>
        <v>0</v>
      </c>
    </row>
    <row r="36" spans="1:9" ht="14.5" x14ac:dyDescent="0.35">
      <c r="A36" s="165" t="s">
        <v>288</v>
      </c>
      <c r="B36" s="166"/>
      <c r="C36" s="166"/>
      <c r="D36" s="166"/>
      <c r="E36" s="167"/>
      <c r="F36" s="81">
        <f>SUM('Stavební rozpočet'!BN12:BN212)</f>
        <v>0</v>
      </c>
      <c r="G36" s="82" t="s">
        <v>47</v>
      </c>
      <c r="H36" s="82" t="s">
        <v>47</v>
      </c>
      <c r="I36" s="81">
        <f t="shared" si="1"/>
        <v>0</v>
      </c>
    </row>
    <row r="37" spans="1:9" ht="14.5" x14ac:dyDescent="0.35">
      <c r="A37" s="165" t="s">
        <v>248</v>
      </c>
      <c r="B37" s="166"/>
      <c r="C37" s="166"/>
      <c r="D37" s="166"/>
      <c r="E37" s="167"/>
      <c r="F37" s="81">
        <f>SUM('Stavební rozpočet'!BO12:BO212)</f>
        <v>0</v>
      </c>
      <c r="G37" s="82" t="s">
        <v>47</v>
      </c>
      <c r="H37" s="82" t="s">
        <v>47</v>
      </c>
      <c r="I37" s="81">
        <f t="shared" si="1"/>
        <v>0</v>
      </c>
    </row>
    <row r="38" spans="1:9" ht="14.5" x14ac:dyDescent="0.35">
      <c r="A38" s="165" t="s">
        <v>289</v>
      </c>
      <c r="B38" s="166"/>
      <c r="C38" s="166"/>
      <c r="D38" s="166"/>
      <c r="E38" s="167"/>
      <c r="F38" s="81">
        <f>SUM('Stavební rozpočet'!BP12:BP212)</f>
        <v>0</v>
      </c>
      <c r="G38" s="82" t="s">
        <v>47</v>
      </c>
      <c r="H38" s="82" t="s">
        <v>47</v>
      </c>
      <c r="I38" s="81">
        <f t="shared" si="1"/>
        <v>0</v>
      </c>
    </row>
    <row r="39" spans="1:9" ht="14.5" x14ac:dyDescent="0.35">
      <c r="A39" s="165" t="s">
        <v>290</v>
      </c>
      <c r="B39" s="166"/>
      <c r="C39" s="166"/>
      <c r="D39" s="166"/>
      <c r="E39" s="167"/>
      <c r="F39" s="81">
        <f>SUM('Stavební rozpočet'!BQ12:BQ212)</f>
        <v>0</v>
      </c>
      <c r="G39" s="82" t="s">
        <v>47</v>
      </c>
      <c r="H39" s="82" t="s">
        <v>47</v>
      </c>
      <c r="I39" s="81">
        <f t="shared" si="1"/>
        <v>0</v>
      </c>
    </row>
    <row r="40" spans="1:9" ht="14.5" x14ac:dyDescent="0.35">
      <c r="A40" s="165" t="s">
        <v>253</v>
      </c>
      <c r="B40" s="166"/>
      <c r="C40" s="166"/>
      <c r="D40" s="166"/>
      <c r="E40" s="167"/>
      <c r="F40" s="81">
        <f>SUM('Stavební rozpočet'!BR12:BR212)</f>
        <v>0</v>
      </c>
      <c r="G40" s="82" t="s">
        <v>47</v>
      </c>
      <c r="H40" s="82" t="s">
        <v>47</v>
      </c>
      <c r="I40" s="81">
        <f t="shared" si="1"/>
        <v>0</v>
      </c>
    </row>
    <row r="41" spans="1:9" ht="14.5" x14ac:dyDescent="0.35">
      <c r="A41" s="165" t="s">
        <v>254</v>
      </c>
      <c r="B41" s="166"/>
      <c r="C41" s="166"/>
      <c r="D41" s="166"/>
      <c r="E41" s="167"/>
      <c r="F41" s="81">
        <f>SUM('Stavební rozpočet'!BS12:BS212)</f>
        <v>0</v>
      </c>
      <c r="G41" s="82" t="s">
        <v>47</v>
      </c>
      <c r="H41" s="82" t="s">
        <v>47</v>
      </c>
      <c r="I41" s="81">
        <f t="shared" si="1"/>
        <v>0</v>
      </c>
    </row>
    <row r="42" spans="1:9" ht="14.5" x14ac:dyDescent="0.35">
      <c r="A42" s="165" t="s">
        <v>162</v>
      </c>
      <c r="B42" s="166"/>
      <c r="C42" s="166"/>
      <c r="D42" s="166"/>
      <c r="E42" s="167"/>
      <c r="F42" s="81">
        <f>SUM('Stavební rozpočet'!BT12:BT212)</f>
        <v>0</v>
      </c>
      <c r="G42" s="82" t="s">
        <v>47</v>
      </c>
      <c r="H42" s="82" t="s">
        <v>47</v>
      </c>
      <c r="I42" s="81">
        <f t="shared" si="1"/>
        <v>0</v>
      </c>
    </row>
    <row r="43" spans="1:9" ht="14.5" x14ac:dyDescent="0.35">
      <c r="A43" s="165" t="s">
        <v>291</v>
      </c>
      <c r="B43" s="166"/>
      <c r="C43" s="166"/>
      <c r="D43" s="166"/>
      <c r="E43" s="167"/>
      <c r="F43" s="81">
        <f>SUM('Stavební rozpočet'!BU12:BU212)</f>
        <v>0</v>
      </c>
      <c r="G43" s="82" t="s">
        <v>47</v>
      </c>
      <c r="H43" s="82" t="s">
        <v>47</v>
      </c>
      <c r="I43" s="81">
        <f t="shared" si="1"/>
        <v>0</v>
      </c>
    </row>
    <row r="44" spans="1:9" ht="14.5" x14ac:dyDescent="0.35">
      <c r="A44" s="168" t="s">
        <v>292</v>
      </c>
      <c r="B44" s="169"/>
      <c r="C44" s="169"/>
      <c r="D44" s="169"/>
      <c r="E44" s="170"/>
      <c r="F44" s="83">
        <f>SUM('Stavební rozpočet'!BV12:BV212)</f>
        <v>0</v>
      </c>
      <c r="G44" s="84" t="s">
        <v>47</v>
      </c>
      <c r="H44" s="84" t="s">
        <v>47</v>
      </c>
      <c r="I44" s="83">
        <f t="shared" si="1"/>
        <v>0</v>
      </c>
    </row>
    <row r="45" spans="1:9" ht="14.5" x14ac:dyDescent="0.35">
      <c r="A45" s="171" t="s">
        <v>293</v>
      </c>
      <c r="B45" s="172"/>
      <c r="C45" s="172"/>
      <c r="D45" s="172"/>
      <c r="E45" s="173"/>
      <c r="F45" s="85" t="s">
        <v>47</v>
      </c>
      <c r="G45" s="86" t="s">
        <v>47</v>
      </c>
      <c r="H45" s="86" t="s">
        <v>47</v>
      </c>
      <c r="I45" s="87">
        <f>SUM(I35:I44)</f>
        <v>0</v>
      </c>
    </row>
  </sheetData>
  <mergeCells count="60">
    <mergeCell ref="A1:I1"/>
    <mergeCell ref="A2:B3"/>
    <mergeCell ref="A4:B5"/>
    <mergeCell ref="A6:B7"/>
    <mergeCell ref="A8:B9"/>
    <mergeCell ref="H2:H3"/>
    <mergeCell ref="H4:H5"/>
    <mergeCell ref="H6:H7"/>
    <mergeCell ref="H8:H9"/>
    <mergeCell ref="I2:I3"/>
    <mergeCell ref="I4:I5"/>
    <mergeCell ref="I6:I7"/>
    <mergeCell ref="I8:I9"/>
    <mergeCell ref="E2:E3"/>
    <mergeCell ref="E4:E5"/>
    <mergeCell ref="E6:E7"/>
    <mergeCell ref="E8:E9"/>
    <mergeCell ref="E10:E11"/>
    <mergeCell ref="F2:G3"/>
    <mergeCell ref="F4:G5"/>
    <mergeCell ref="F6:G7"/>
    <mergeCell ref="F8:G9"/>
    <mergeCell ref="F10:G11"/>
    <mergeCell ref="C2:D3"/>
    <mergeCell ref="C4:D5"/>
    <mergeCell ref="C6:D7"/>
    <mergeCell ref="C8:D9"/>
    <mergeCell ref="C10:D11"/>
    <mergeCell ref="I10:I11"/>
    <mergeCell ref="A13:E13"/>
    <mergeCell ref="A14:E14"/>
    <mergeCell ref="A15:E15"/>
    <mergeCell ref="A16:E16"/>
    <mergeCell ref="H10:H11"/>
    <mergeCell ref="A10:B11"/>
    <mergeCell ref="A17:E17"/>
    <mergeCell ref="A18:E18"/>
    <mergeCell ref="A20:E20"/>
    <mergeCell ref="A21:E21"/>
    <mergeCell ref="A22:E22"/>
    <mergeCell ref="A23:E23"/>
    <mergeCell ref="A24:E24"/>
    <mergeCell ref="A25:E25"/>
    <mergeCell ref="A26:E26"/>
    <mergeCell ref="A27:E27"/>
    <mergeCell ref="A29:E29"/>
    <mergeCell ref="F29:I29"/>
    <mergeCell ref="A33:E33"/>
    <mergeCell ref="A34:E34"/>
    <mergeCell ref="A35:E35"/>
    <mergeCell ref="A36:E36"/>
    <mergeCell ref="A37:E37"/>
    <mergeCell ref="A38:E38"/>
    <mergeCell ref="A39:E39"/>
    <mergeCell ref="A40:E40"/>
    <mergeCell ref="A41:E41"/>
    <mergeCell ref="A42:E42"/>
    <mergeCell ref="A43:E43"/>
    <mergeCell ref="A44:E44"/>
    <mergeCell ref="A45:E45"/>
  </mergeCells>
  <pageMargins left="0.393999993801117" right="0.393999993801117" top="0.59100002050399802" bottom="0.59100002050399802" header="0" footer="0"/>
  <pageSetup fitToHeight="0"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I35"/>
  <sheetViews>
    <sheetView workbookViewId="0">
      <selection activeCell="A35" sqref="A35:I35"/>
    </sheetView>
  </sheetViews>
  <sheetFormatPr defaultColWidth="12.1796875" defaultRowHeight="15" customHeight="1" x14ac:dyDescent="0.35"/>
  <cols>
    <col min="1" max="1" width="9.1796875" customWidth="1"/>
    <col min="2" max="2" width="12.81640625" customWidth="1"/>
    <col min="3" max="3" width="27.1796875" customWidth="1"/>
    <col min="4" max="4" width="10" customWidth="1"/>
    <col min="5" max="5" width="14" customWidth="1"/>
    <col min="6" max="6" width="27.1796875" customWidth="1"/>
    <col min="7" max="7" width="9.1796875" customWidth="1"/>
    <col min="8" max="8" width="12.81640625" customWidth="1"/>
    <col min="9" max="9" width="27.1796875" customWidth="1"/>
  </cols>
  <sheetData>
    <row r="1" spans="1:9" ht="54.75" customHeight="1" x14ac:dyDescent="0.35">
      <c r="A1" s="163" t="s">
        <v>294</v>
      </c>
      <c r="B1" s="114"/>
      <c r="C1" s="114"/>
      <c r="D1" s="114"/>
      <c r="E1" s="114"/>
      <c r="F1" s="114"/>
      <c r="G1" s="114"/>
      <c r="H1" s="114"/>
      <c r="I1" s="114"/>
    </row>
    <row r="2" spans="1:9" ht="14.5" x14ac:dyDescent="0.35">
      <c r="A2" s="115" t="s">
        <v>1</v>
      </c>
      <c r="B2" s="107"/>
      <c r="C2" s="120" t="str">
        <f>'Stavební rozpočet'!C2</f>
        <v>25004_Pohl_odpočinkové_posezení_v_lomu</v>
      </c>
      <c r="D2" s="121"/>
      <c r="E2" s="119" t="s">
        <v>4</v>
      </c>
      <c r="F2" s="119" t="str">
        <f>'Stavební rozpočet'!I2</f>
        <v> </v>
      </c>
      <c r="G2" s="107"/>
      <c r="H2" s="119" t="s">
        <v>235</v>
      </c>
      <c r="I2" s="108" t="s">
        <v>47</v>
      </c>
    </row>
    <row r="3" spans="1:9" ht="15" customHeight="1" x14ac:dyDescent="0.35">
      <c r="A3" s="116"/>
      <c r="B3" s="92"/>
      <c r="C3" s="122"/>
      <c r="D3" s="122"/>
      <c r="E3" s="92"/>
      <c r="F3" s="92"/>
      <c r="G3" s="92"/>
      <c r="H3" s="92"/>
      <c r="I3" s="109"/>
    </row>
    <row r="4" spans="1:9" ht="14.5" x14ac:dyDescent="0.35">
      <c r="A4" s="117" t="s">
        <v>6</v>
      </c>
      <c r="B4" s="92"/>
      <c r="C4" s="91" t="str">
        <f>'Stavební rozpočet'!C4</f>
        <v>Posezení v přírodě</v>
      </c>
      <c r="D4" s="92"/>
      <c r="E4" s="91" t="s">
        <v>10</v>
      </c>
      <c r="F4" s="91" t="str">
        <f>'Stavební rozpočet'!I4</f>
        <v> </v>
      </c>
      <c r="G4" s="92"/>
      <c r="H4" s="91" t="s">
        <v>235</v>
      </c>
      <c r="I4" s="109" t="s">
        <v>47</v>
      </c>
    </row>
    <row r="5" spans="1:9" ht="15" customHeight="1" x14ac:dyDescent="0.35">
      <c r="A5" s="116"/>
      <c r="B5" s="92"/>
      <c r="C5" s="92"/>
      <c r="D5" s="92"/>
      <c r="E5" s="92"/>
      <c r="F5" s="92"/>
      <c r="G5" s="92"/>
      <c r="H5" s="92"/>
      <c r="I5" s="109"/>
    </row>
    <row r="6" spans="1:9" ht="14.5" x14ac:dyDescent="0.35">
      <c r="A6" s="117" t="s">
        <v>11</v>
      </c>
      <c r="B6" s="92"/>
      <c r="C6" s="91" t="str">
        <f>'Stavební rozpočet'!C6</f>
        <v>Bruntál - bývalý lom</v>
      </c>
      <c r="D6" s="92"/>
      <c r="E6" s="91" t="s">
        <v>14</v>
      </c>
      <c r="F6" s="91" t="str">
        <f>'Stavební rozpočet'!I6</f>
        <v> </v>
      </c>
      <c r="G6" s="92"/>
      <c r="H6" s="91" t="s">
        <v>235</v>
      </c>
      <c r="I6" s="109" t="s">
        <v>47</v>
      </c>
    </row>
    <row r="7" spans="1:9" ht="15" customHeight="1" x14ac:dyDescent="0.35">
      <c r="A7" s="116"/>
      <c r="B7" s="92"/>
      <c r="C7" s="92"/>
      <c r="D7" s="92"/>
      <c r="E7" s="92"/>
      <c r="F7" s="92"/>
      <c r="G7" s="92"/>
      <c r="H7" s="92"/>
      <c r="I7" s="109"/>
    </row>
    <row r="8" spans="1:9" ht="14.5" x14ac:dyDescent="0.35">
      <c r="A8" s="117" t="s">
        <v>8</v>
      </c>
      <c r="B8" s="92"/>
      <c r="C8" s="91" t="str">
        <f>'Stavební rozpočet'!G4</f>
        <v>30.08.2025</v>
      </c>
      <c r="D8" s="92"/>
      <c r="E8" s="91" t="s">
        <v>13</v>
      </c>
      <c r="F8" s="91" t="str">
        <f>'Stavební rozpočet'!G6</f>
        <v xml:space="preserve"> </v>
      </c>
      <c r="G8" s="92"/>
      <c r="H8" s="92" t="s">
        <v>236</v>
      </c>
      <c r="I8" s="164">
        <v>19</v>
      </c>
    </row>
    <row r="9" spans="1:9" ht="14.5" x14ac:dyDescent="0.35">
      <c r="A9" s="116"/>
      <c r="B9" s="92"/>
      <c r="C9" s="92"/>
      <c r="D9" s="92"/>
      <c r="E9" s="92"/>
      <c r="F9" s="92"/>
      <c r="G9" s="92"/>
      <c r="H9" s="92"/>
      <c r="I9" s="109"/>
    </row>
    <row r="10" spans="1:9" ht="14.5" x14ac:dyDescent="0.35">
      <c r="A10" s="117" t="s">
        <v>15</v>
      </c>
      <c r="B10" s="92"/>
      <c r="C10" s="91" t="str">
        <f>'Stavební rozpočet'!C8</f>
        <v xml:space="preserve"> </v>
      </c>
      <c r="D10" s="92"/>
      <c r="E10" s="91" t="s">
        <v>17</v>
      </c>
      <c r="F10" s="91" t="str">
        <f>'Stavební rozpočet'!I8</f>
        <v> </v>
      </c>
      <c r="G10" s="92"/>
      <c r="H10" s="92" t="s">
        <v>237</v>
      </c>
      <c r="I10" s="124" t="str">
        <f>'Stavební rozpočet'!G8</f>
        <v>30.08.2025</v>
      </c>
    </row>
    <row r="11" spans="1:9" ht="14.5" x14ac:dyDescent="0.35">
      <c r="A11" s="162"/>
      <c r="B11" s="125"/>
      <c r="C11" s="125"/>
      <c r="D11" s="125"/>
      <c r="E11" s="125"/>
      <c r="F11" s="125"/>
      <c r="G11" s="125"/>
      <c r="H11" s="125"/>
      <c r="I11" s="158"/>
    </row>
    <row r="12" spans="1:9" ht="23" x14ac:dyDescent="0.35">
      <c r="A12" s="159" t="s">
        <v>238</v>
      </c>
      <c r="B12" s="159"/>
      <c r="C12" s="159"/>
      <c r="D12" s="159"/>
      <c r="E12" s="159"/>
      <c r="F12" s="159"/>
      <c r="G12" s="159"/>
      <c r="H12" s="159"/>
      <c r="I12" s="159"/>
    </row>
    <row r="13" spans="1:9" ht="26.25" customHeight="1" x14ac:dyDescent="0.35">
      <c r="A13" s="67" t="s">
        <v>239</v>
      </c>
      <c r="B13" s="160" t="s">
        <v>240</v>
      </c>
      <c r="C13" s="161"/>
      <c r="D13" s="68" t="s">
        <v>241</v>
      </c>
      <c r="E13" s="160" t="s">
        <v>242</v>
      </c>
      <c r="F13" s="161"/>
      <c r="G13" s="68" t="s">
        <v>243</v>
      </c>
      <c r="H13" s="160" t="s">
        <v>244</v>
      </c>
      <c r="I13" s="161"/>
    </row>
    <row r="14" spans="1:9" ht="15.5" x14ac:dyDescent="0.35">
      <c r="A14" s="69" t="s">
        <v>245</v>
      </c>
      <c r="B14" s="70" t="s">
        <v>246</v>
      </c>
      <c r="C14" s="71">
        <f>SUMIF('Stavební rozpočet'!AI12:AI212,"1",'Stavební rozpočet'!AB12:AB212)</f>
        <v>0</v>
      </c>
      <c r="D14" s="148" t="s">
        <v>247</v>
      </c>
      <c r="E14" s="149"/>
      <c r="F14" s="71">
        <f>'VORN objektu (1)'!I15</f>
        <v>0</v>
      </c>
      <c r="G14" s="148" t="s">
        <v>248</v>
      </c>
      <c r="H14" s="149"/>
      <c r="I14" s="72">
        <f>'VORN objektu (1)'!I21</f>
        <v>0</v>
      </c>
    </row>
    <row r="15" spans="1:9" ht="15.5" x14ac:dyDescent="0.35">
      <c r="A15" s="73" t="s">
        <v>47</v>
      </c>
      <c r="B15" s="70" t="s">
        <v>32</v>
      </c>
      <c r="C15" s="71">
        <f>SUMIF('Stavební rozpočet'!AI12:AI212,"1",'Stavební rozpočet'!AC12:AC212)</f>
        <v>0</v>
      </c>
      <c r="D15" s="148" t="s">
        <v>249</v>
      </c>
      <c r="E15" s="149"/>
      <c r="F15" s="71">
        <f>'VORN objektu (1)'!I16</f>
        <v>0</v>
      </c>
      <c r="G15" s="148" t="s">
        <v>250</v>
      </c>
      <c r="H15" s="149"/>
      <c r="I15" s="72">
        <f>'VORN objektu (1)'!I22</f>
        <v>0</v>
      </c>
    </row>
    <row r="16" spans="1:9" ht="15.5" x14ac:dyDescent="0.35">
      <c r="A16" s="69" t="s">
        <v>251</v>
      </c>
      <c r="B16" s="70" t="s">
        <v>246</v>
      </c>
      <c r="C16" s="71">
        <f>SUMIF('Stavební rozpočet'!AI12:AI212,"1",'Stavební rozpočet'!AD12:AD212)</f>
        <v>0</v>
      </c>
      <c r="D16" s="148" t="s">
        <v>252</v>
      </c>
      <c r="E16" s="149"/>
      <c r="F16" s="71">
        <f>'VORN objektu (1)'!I17</f>
        <v>0</v>
      </c>
      <c r="G16" s="148" t="s">
        <v>253</v>
      </c>
      <c r="H16" s="149"/>
      <c r="I16" s="72">
        <f>'VORN objektu (1)'!I23</f>
        <v>0</v>
      </c>
    </row>
    <row r="17" spans="1:9" ht="15.5" x14ac:dyDescent="0.35">
      <c r="A17" s="73" t="s">
        <v>47</v>
      </c>
      <c r="B17" s="70" t="s">
        <v>32</v>
      </c>
      <c r="C17" s="71">
        <f>SUMIF('Stavební rozpočet'!AI12:AI212,"1",'Stavební rozpočet'!AE12:AE212)</f>
        <v>0</v>
      </c>
      <c r="D17" s="148" t="s">
        <v>47</v>
      </c>
      <c r="E17" s="149"/>
      <c r="F17" s="72" t="s">
        <v>47</v>
      </c>
      <c r="G17" s="148" t="s">
        <v>254</v>
      </c>
      <c r="H17" s="149"/>
      <c r="I17" s="72">
        <f>'VORN objektu (1)'!I24</f>
        <v>0</v>
      </c>
    </row>
    <row r="18" spans="1:9" ht="15.5" x14ac:dyDescent="0.35">
      <c r="A18" s="69" t="s">
        <v>255</v>
      </c>
      <c r="B18" s="70" t="s">
        <v>246</v>
      </c>
      <c r="C18" s="71">
        <f>SUMIF('Stavební rozpočet'!AI12:AI212,"1",'Stavební rozpočet'!AF12:AF212)</f>
        <v>0</v>
      </c>
      <c r="D18" s="148" t="s">
        <v>47</v>
      </c>
      <c r="E18" s="149"/>
      <c r="F18" s="72" t="s">
        <v>47</v>
      </c>
      <c r="G18" s="148" t="s">
        <v>256</v>
      </c>
      <c r="H18" s="149"/>
      <c r="I18" s="72">
        <f>'VORN objektu (1)'!I25</f>
        <v>0</v>
      </c>
    </row>
    <row r="19" spans="1:9" ht="15.5" x14ac:dyDescent="0.35">
      <c r="A19" s="73" t="s">
        <v>47</v>
      </c>
      <c r="B19" s="70" t="s">
        <v>32</v>
      </c>
      <c r="C19" s="71">
        <f>SUMIF('Stavební rozpočet'!AI12:AI212,"1",'Stavební rozpočet'!AG12:AG212)</f>
        <v>0</v>
      </c>
      <c r="D19" s="148" t="s">
        <v>47</v>
      </c>
      <c r="E19" s="149"/>
      <c r="F19" s="72" t="s">
        <v>47</v>
      </c>
      <c r="G19" s="148" t="s">
        <v>257</v>
      </c>
      <c r="H19" s="149"/>
      <c r="I19" s="72">
        <f>'VORN objektu (1)'!I26</f>
        <v>0</v>
      </c>
    </row>
    <row r="20" spans="1:9" ht="15.5" x14ac:dyDescent="0.35">
      <c r="A20" s="140" t="s">
        <v>258</v>
      </c>
      <c r="B20" s="141"/>
      <c r="C20" s="71">
        <f>SUMIF('Stavební rozpočet'!AI12:AI212,"1",'Stavební rozpočet'!AH12:AH212)</f>
        <v>0</v>
      </c>
      <c r="D20" s="148" t="s">
        <v>47</v>
      </c>
      <c r="E20" s="149"/>
      <c r="F20" s="72" t="s">
        <v>47</v>
      </c>
      <c r="G20" s="148" t="s">
        <v>47</v>
      </c>
      <c r="H20" s="149"/>
      <c r="I20" s="72" t="s">
        <v>47</v>
      </c>
    </row>
    <row r="21" spans="1:9" ht="15.5" x14ac:dyDescent="0.35">
      <c r="A21" s="155" t="s">
        <v>259</v>
      </c>
      <c r="B21" s="156"/>
      <c r="C21" s="71">
        <f>SUMIF('Stavební rozpočet'!AI12:AI212,"1",'Stavební rozpočet'!Z12:Z212)</f>
        <v>0</v>
      </c>
      <c r="D21" s="150" t="s">
        <v>47</v>
      </c>
      <c r="E21" s="151"/>
      <c r="F21" s="75" t="s">
        <v>47</v>
      </c>
      <c r="G21" s="150" t="s">
        <v>47</v>
      </c>
      <c r="H21" s="151"/>
      <c r="I21" s="75" t="s">
        <v>47</v>
      </c>
    </row>
    <row r="22" spans="1:9" ht="16.5" customHeight="1" x14ac:dyDescent="0.35">
      <c r="A22" s="157" t="s">
        <v>260</v>
      </c>
      <c r="B22" s="153"/>
      <c r="C22" s="71">
        <f>ROUND(SUM(C14:C21),2)</f>
        <v>0</v>
      </c>
      <c r="D22" s="152" t="s">
        <v>261</v>
      </c>
      <c r="E22" s="153"/>
      <c r="F22" s="76">
        <f>SUM(F14:F21)</f>
        <v>0</v>
      </c>
      <c r="G22" s="152" t="s">
        <v>262</v>
      </c>
      <c r="H22" s="153"/>
      <c r="I22" s="76">
        <f>SUM(I14:I21)</f>
        <v>0</v>
      </c>
    </row>
    <row r="23" spans="1:9" ht="15.5" x14ac:dyDescent="0.35">
      <c r="G23" s="140" t="s">
        <v>265</v>
      </c>
      <c r="H23" s="141"/>
      <c r="I23" s="71">
        <f>'VORN objektu (1)'!I45</f>
        <v>0</v>
      </c>
    </row>
    <row r="25" spans="1:9" ht="15.5" x14ac:dyDescent="0.35">
      <c r="A25" s="142" t="s">
        <v>267</v>
      </c>
      <c r="B25" s="143"/>
      <c r="C25" s="77">
        <f>ROUND(('Stavební rozpočet'!AS13+'Stavební rozpočet'!AS18+'Stavební rozpočet'!AS21+'Stavební rozpočet'!AS30+'Stavební rozpočet'!AS33+'Stavební rozpočet'!AS38+'Stavební rozpočet'!AS41+'Stavební rozpočet'!AS45+'Stavební rozpočet'!AS48+'Stavební rozpočet'!AS60+'Stavební rozpočet'!AS61+'Stavební rozpočet'!AS64),2)</f>
        <v>0</v>
      </c>
    </row>
    <row r="26" spans="1:9" ht="15.5" x14ac:dyDescent="0.35">
      <c r="A26" s="144" t="s">
        <v>268</v>
      </c>
      <c r="B26" s="145"/>
      <c r="C26" s="78">
        <f>ROUND(('Stavební rozpočet'!AT13+'Stavební rozpočet'!AT18+'Stavební rozpočet'!AT21+'Stavební rozpočet'!AT30+'Stavební rozpočet'!AT33+'Stavební rozpočet'!AT38+'Stavební rozpočet'!AT41+'Stavební rozpočet'!AT45+'Stavební rozpočet'!AT48+'Stavební rozpočet'!AT60+'Stavební rozpočet'!AT61+'Stavební rozpočet'!AT64),2)</f>
        <v>0</v>
      </c>
      <c r="D26" s="146" t="s">
        <v>269</v>
      </c>
      <c r="E26" s="143"/>
      <c r="F26" s="77">
        <f>ROUND(C26*(12/100),2)</f>
        <v>0</v>
      </c>
      <c r="G26" s="146" t="s">
        <v>270</v>
      </c>
      <c r="H26" s="143"/>
      <c r="I26" s="77">
        <f>ROUND(SUM(C25:C27),2)</f>
        <v>0</v>
      </c>
    </row>
    <row r="27" spans="1:9" ht="15.5" x14ac:dyDescent="0.35">
      <c r="A27" s="144" t="s">
        <v>271</v>
      </c>
      <c r="B27" s="145"/>
      <c r="C27" s="78">
        <f>ROUND(('Stavební rozpočet'!AU13+'Stavební rozpočet'!AU18+'Stavební rozpočet'!AU21+'Stavební rozpočet'!AU30+'Stavební rozpočet'!AU33+'Stavební rozpočet'!AU38+'Stavební rozpočet'!AU41+'Stavební rozpočet'!AU45+'Stavební rozpočet'!AU48+'Stavební rozpočet'!AU60+'Stavební rozpočet'!AU61+'Stavební rozpočet'!AU64),2)</f>
        <v>0</v>
      </c>
      <c r="D27" s="147" t="s">
        <v>272</v>
      </c>
      <c r="E27" s="145"/>
      <c r="F27" s="78">
        <f>ROUND(C27*(21/100),2)</f>
        <v>0</v>
      </c>
      <c r="G27" s="147" t="s">
        <v>273</v>
      </c>
      <c r="H27" s="145"/>
      <c r="I27" s="78">
        <f>ROUND(SUM(F26:F27)+I26,2)</f>
        <v>0</v>
      </c>
    </row>
    <row r="29" spans="1:9" ht="15.5" x14ac:dyDescent="0.35">
      <c r="A29" s="137" t="s">
        <v>274</v>
      </c>
      <c r="B29" s="129"/>
      <c r="C29" s="130"/>
      <c r="D29" s="128" t="s">
        <v>275</v>
      </c>
      <c r="E29" s="129"/>
      <c r="F29" s="130"/>
      <c r="G29" s="128" t="s">
        <v>276</v>
      </c>
      <c r="H29" s="129"/>
      <c r="I29" s="130"/>
    </row>
    <row r="30" spans="1:9" ht="15.5" x14ac:dyDescent="0.35">
      <c r="A30" s="138" t="s">
        <v>47</v>
      </c>
      <c r="B30" s="132"/>
      <c r="C30" s="133"/>
      <c r="D30" s="131" t="s">
        <v>47</v>
      </c>
      <c r="E30" s="132"/>
      <c r="F30" s="133"/>
      <c r="G30" s="131" t="s">
        <v>47</v>
      </c>
      <c r="H30" s="132"/>
      <c r="I30" s="133"/>
    </row>
    <row r="31" spans="1:9" ht="15.5" x14ac:dyDescent="0.35">
      <c r="A31" s="138" t="s">
        <v>47</v>
      </c>
      <c r="B31" s="132"/>
      <c r="C31" s="133"/>
      <c r="D31" s="131" t="s">
        <v>47</v>
      </c>
      <c r="E31" s="132"/>
      <c r="F31" s="133"/>
      <c r="G31" s="131" t="s">
        <v>47</v>
      </c>
      <c r="H31" s="132"/>
      <c r="I31" s="133"/>
    </row>
    <row r="32" spans="1:9" ht="15.5" x14ac:dyDescent="0.35">
      <c r="A32" s="138" t="s">
        <v>47</v>
      </c>
      <c r="B32" s="132"/>
      <c r="C32" s="133"/>
      <c r="D32" s="131" t="s">
        <v>47</v>
      </c>
      <c r="E32" s="132"/>
      <c r="F32" s="133"/>
      <c r="G32" s="131" t="s">
        <v>47</v>
      </c>
      <c r="H32" s="132"/>
      <c r="I32" s="133"/>
    </row>
    <row r="33" spans="1:9" ht="15.5" x14ac:dyDescent="0.35">
      <c r="A33" s="139" t="s">
        <v>277</v>
      </c>
      <c r="B33" s="135"/>
      <c r="C33" s="136"/>
      <c r="D33" s="134" t="s">
        <v>277</v>
      </c>
      <c r="E33" s="135"/>
      <c r="F33" s="136"/>
      <c r="G33" s="134" t="s">
        <v>277</v>
      </c>
      <c r="H33" s="135"/>
      <c r="I33" s="136"/>
    </row>
    <row r="34" spans="1:9" ht="14.5" x14ac:dyDescent="0.35">
      <c r="A34" s="79" t="s">
        <v>223</v>
      </c>
    </row>
    <row r="35" spans="1:9" ht="12.75" customHeight="1" x14ac:dyDescent="0.35">
      <c r="A35" s="91" t="s">
        <v>47</v>
      </c>
      <c r="B35" s="92"/>
      <c r="C35" s="92"/>
      <c r="D35" s="92"/>
      <c r="E35" s="92"/>
      <c r="F35" s="92"/>
      <c r="G35" s="92"/>
      <c r="H35" s="92"/>
      <c r="I35" s="92"/>
    </row>
  </sheetData>
  <mergeCells count="80">
    <mergeCell ref="A1:I1"/>
    <mergeCell ref="A2:B3"/>
    <mergeCell ref="A4:B5"/>
    <mergeCell ref="A6:B7"/>
    <mergeCell ref="A8:B9"/>
    <mergeCell ref="F2:G3"/>
    <mergeCell ref="F4:G5"/>
    <mergeCell ref="F6:G7"/>
    <mergeCell ref="F8:G9"/>
    <mergeCell ref="I2:I3"/>
    <mergeCell ref="I4:I5"/>
    <mergeCell ref="I6:I7"/>
    <mergeCell ref="I8:I9"/>
    <mergeCell ref="C2:D3"/>
    <mergeCell ref="C4:D5"/>
    <mergeCell ref="C6:D7"/>
    <mergeCell ref="C8:D9"/>
    <mergeCell ref="C10:D11"/>
    <mergeCell ref="E2:E3"/>
    <mergeCell ref="E4:E5"/>
    <mergeCell ref="E6:E7"/>
    <mergeCell ref="E8:E9"/>
    <mergeCell ref="E10:E11"/>
    <mergeCell ref="H2:H3"/>
    <mergeCell ref="H4:H5"/>
    <mergeCell ref="H6:H7"/>
    <mergeCell ref="H8:H9"/>
    <mergeCell ref="H10:H11"/>
    <mergeCell ref="I10:I11"/>
    <mergeCell ref="A12:I12"/>
    <mergeCell ref="B13:C13"/>
    <mergeCell ref="E13:F13"/>
    <mergeCell ref="H13:I13"/>
    <mergeCell ref="F10:G11"/>
    <mergeCell ref="A10:B11"/>
    <mergeCell ref="A20:B20"/>
    <mergeCell ref="A21:B21"/>
    <mergeCell ref="A22:B22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G14:H14"/>
    <mergeCell ref="G15:H15"/>
    <mergeCell ref="G16:H16"/>
    <mergeCell ref="G17:H17"/>
    <mergeCell ref="G18:H18"/>
    <mergeCell ref="G19:H19"/>
    <mergeCell ref="G20:H20"/>
    <mergeCell ref="G21:H21"/>
    <mergeCell ref="G22:H22"/>
    <mergeCell ref="G23:H23"/>
    <mergeCell ref="A25:B25"/>
    <mergeCell ref="A26:B26"/>
    <mergeCell ref="A27:B27"/>
    <mergeCell ref="D26:E26"/>
    <mergeCell ref="D27:E27"/>
    <mergeCell ref="G26:H26"/>
    <mergeCell ref="G27:H27"/>
    <mergeCell ref="A29:C29"/>
    <mergeCell ref="A30:C30"/>
    <mergeCell ref="A31:C31"/>
    <mergeCell ref="G29:I29"/>
    <mergeCell ref="G30:I30"/>
    <mergeCell ref="G31:I31"/>
    <mergeCell ref="D29:F29"/>
    <mergeCell ref="D30:F30"/>
    <mergeCell ref="D31:F31"/>
    <mergeCell ref="D32:F32"/>
    <mergeCell ref="D33:F33"/>
    <mergeCell ref="G32:I32"/>
    <mergeCell ref="G33:I33"/>
    <mergeCell ref="A35:I35"/>
    <mergeCell ref="A32:C32"/>
    <mergeCell ref="A33:C33"/>
  </mergeCells>
  <pageMargins left="0.393999993801117" right="0.393999993801117" top="0.59100002050399802" bottom="0.59100002050399802" header="0" footer="0"/>
  <pageSetup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I45"/>
  <sheetViews>
    <sheetView workbookViewId="0">
      <selection activeCell="A45" sqref="A45:E45"/>
    </sheetView>
  </sheetViews>
  <sheetFormatPr defaultColWidth="12.1796875" defaultRowHeight="15" customHeight="1" x14ac:dyDescent="0.35"/>
  <cols>
    <col min="1" max="1" width="9.1796875" customWidth="1"/>
    <col min="2" max="2" width="12.81640625" customWidth="1"/>
    <col min="3" max="3" width="22.81640625" customWidth="1"/>
    <col min="4" max="4" width="10" customWidth="1"/>
    <col min="5" max="5" width="14" customWidth="1"/>
    <col min="6" max="6" width="22.81640625" customWidth="1"/>
    <col min="7" max="7" width="9.1796875" customWidth="1"/>
    <col min="8" max="8" width="17.1796875" customWidth="1"/>
    <col min="9" max="9" width="22.81640625" customWidth="1"/>
  </cols>
  <sheetData>
    <row r="1" spans="1:9" ht="54.75" customHeight="1" x14ac:dyDescent="0.35">
      <c r="A1" s="163" t="s">
        <v>295</v>
      </c>
      <c r="B1" s="114"/>
      <c r="C1" s="114"/>
      <c r="D1" s="114"/>
      <c r="E1" s="114"/>
      <c r="F1" s="114"/>
      <c r="G1" s="114"/>
      <c r="H1" s="114"/>
      <c r="I1" s="114"/>
    </row>
    <row r="2" spans="1:9" ht="14.5" x14ac:dyDescent="0.35">
      <c r="A2" s="115" t="s">
        <v>1</v>
      </c>
      <c r="B2" s="107"/>
      <c r="C2" s="120" t="str">
        <f>'Stavební rozpočet'!C2</f>
        <v>25004_Pohl_odpočinkové_posezení_v_lomu</v>
      </c>
      <c r="D2" s="121"/>
      <c r="E2" s="119" t="s">
        <v>4</v>
      </c>
      <c r="F2" s="119" t="str">
        <f>'Stavební rozpočet'!I2</f>
        <v> </v>
      </c>
      <c r="G2" s="107"/>
      <c r="H2" s="119" t="s">
        <v>235</v>
      </c>
      <c r="I2" s="108" t="s">
        <v>47</v>
      </c>
    </row>
    <row r="3" spans="1:9" ht="15" customHeight="1" x14ac:dyDescent="0.35">
      <c r="A3" s="116"/>
      <c r="B3" s="92"/>
      <c r="C3" s="122"/>
      <c r="D3" s="122"/>
      <c r="E3" s="92"/>
      <c r="F3" s="92"/>
      <c r="G3" s="92"/>
      <c r="H3" s="92"/>
      <c r="I3" s="109"/>
    </row>
    <row r="4" spans="1:9" ht="14.5" x14ac:dyDescent="0.35">
      <c r="A4" s="117" t="s">
        <v>6</v>
      </c>
      <c r="B4" s="92"/>
      <c r="C4" s="91" t="str">
        <f>'Stavební rozpočet'!C4</f>
        <v>Posezení v přírodě</v>
      </c>
      <c r="D4" s="92"/>
      <c r="E4" s="91" t="s">
        <v>10</v>
      </c>
      <c r="F4" s="91" t="str">
        <f>'Stavební rozpočet'!I4</f>
        <v> </v>
      </c>
      <c r="G4" s="92"/>
      <c r="H4" s="91" t="s">
        <v>235</v>
      </c>
      <c r="I4" s="109" t="s">
        <v>47</v>
      </c>
    </row>
    <row r="5" spans="1:9" ht="15" customHeight="1" x14ac:dyDescent="0.35">
      <c r="A5" s="116"/>
      <c r="B5" s="92"/>
      <c r="C5" s="92"/>
      <c r="D5" s="92"/>
      <c r="E5" s="92"/>
      <c r="F5" s="92"/>
      <c r="G5" s="92"/>
      <c r="H5" s="92"/>
      <c r="I5" s="109"/>
    </row>
    <row r="6" spans="1:9" ht="14.5" x14ac:dyDescent="0.35">
      <c r="A6" s="117" t="s">
        <v>11</v>
      </c>
      <c r="B6" s="92"/>
      <c r="C6" s="91" t="str">
        <f>'Stavební rozpočet'!C6</f>
        <v>Bruntál - bývalý lom</v>
      </c>
      <c r="D6" s="92"/>
      <c r="E6" s="91" t="s">
        <v>14</v>
      </c>
      <c r="F6" s="91" t="str">
        <f>'Stavební rozpočet'!I6</f>
        <v> </v>
      </c>
      <c r="G6" s="92"/>
      <c r="H6" s="91" t="s">
        <v>235</v>
      </c>
      <c r="I6" s="109" t="s">
        <v>47</v>
      </c>
    </row>
    <row r="7" spans="1:9" ht="15" customHeight="1" x14ac:dyDescent="0.35">
      <c r="A7" s="116"/>
      <c r="B7" s="92"/>
      <c r="C7" s="92"/>
      <c r="D7" s="92"/>
      <c r="E7" s="92"/>
      <c r="F7" s="92"/>
      <c r="G7" s="92"/>
      <c r="H7" s="92"/>
      <c r="I7" s="109"/>
    </row>
    <row r="8" spans="1:9" ht="14.5" x14ac:dyDescent="0.35">
      <c r="A8" s="117" t="s">
        <v>8</v>
      </c>
      <c r="B8" s="92"/>
      <c r="C8" s="91" t="str">
        <f>'Stavební rozpočet'!G4</f>
        <v>30.08.2025</v>
      </c>
      <c r="D8" s="92"/>
      <c r="E8" s="91" t="s">
        <v>13</v>
      </c>
      <c r="F8" s="91" t="str">
        <f>'Stavební rozpočet'!G6</f>
        <v xml:space="preserve"> </v>
      </c>
      <c r="G8" s="92"/>
      <c r="H8" s="92" t="s">
        <v>236</v>
      </c>
      <c r="I8" s="164">
        <v>19</v>
      </c>
    </row>
    <row r="9" spans="1:9" ht="14.5" x14ac:dyDescent="0.35">
      <c r="A9" s="116"/>
      <c r="B9" s="92"/>
      <c r="C9" s="92"/>
      <c r="D9" s="92"/>
      <c r="E9" s="92"/>
      <c r="F9" s="92"/>
      <c r="G9" s="92"/>
      <c r="H9" s="92"/>
      <c r="I9" s="109"/>
    </row>
    <row r="10" spans="1:9" ht="14.5" x14ac:dyDescent="0.35">
      <c r="A10" s="117" t="s">
        <v>15</v>
      </c>
      <c r="B10" s="92"/>
      <c r="C10" s="91" t="str">
        <f>'Stavební rozpočet'!C8</f>
        <v xml:space="preserve"> </v>
      </c>
      <c r="D10" s="92"/>
      <c r="E10" s="91" t="s">
        <v>17</v>
      </c>
      <c r="F10" s="91" t="str">
        <f>'Stavební rozpočet'!I8</f>
        <v> </v>
      </c>
      <c r="G10" s="92"/>
      <c r="H10" s="92" t="s">
        <v>237</v>
      </c>
      <c r="I10" s="124" t="str">
        <f>'Stavební rozpočet'!G8</f>
        <v>30.08.2025</v>
      </c>
    </row>
    <row r="11" spans="1:9" ht="14.5" x14ac:dyDescent="0.35">
      <c r="A11" s="162"/>
      <c r="B11" s="125"/>
      <c r="C11" s="125"/>
      <c r="D11" s="125"/>
      <c r="E11" s="125"/>
      <c r="F11" s="125"/>
      <c r="G11" s="125"/>
      <c r="H11" s="125"/>
      <c r="I11" s="158"/>
    </row>
    <row r="13" spans="1:9" ht="15.5" x14ac:dyDescent="0.35">
      <c r="A13" s="180" t="s">
        <v>278</v>
      </c>
      <c r="B13" s="180"/>
      <c r="C13" s="180"/>
      <c r="D13" s="180"/>
      <c r="E13" s="180"/>
    </row>
    <row r="14" spans="1:9" ht="14.5" x14ac:dyDescent="0.35">
      <c r="A14" s="181" t="s">
        <v>279</v>
      </c>
      <c r="B14" s="182"/>
      <c r="C14" s="182"/>
      <c r="D14" s="182"/>
      <c r="E14" s="183"/>
      <c r="F14" s="80" t="s">
        <v>280</v>
      </c>
      <c r="G14" s="80" t="s">
        <v>281</v>
      </c>
      <c r="H14" s="80" t="s">
        <v>282</v>
      </c>
      <c r="I14" s="80" t="s">
        <v>280</v>
      </c>
    </row>
    <row r="15" spans="1:9" ht="14.5" x14ac:dyDescent="0.35">
      <c r="A15" s="165" t="s">
        <v>247</v>
      </c>
      <c r="B15" s="166"/>
      <c r="C15" s="166"/>
      <c r="D15" s="166"/>
      <c r="E15" s="167"/>
      <c r="F15" s="81">
        <v>0</v>
      </c>
      <c r="G15" s="82" t="s">
        <v>47</v>
      </c>
      <c r="H15" s="82" t="s">
        <v>47</v>
      </c>
      <c r="I15" s="81">
        <f>F15</f>
        <v>0</v>
      </c>
    </row>
    <row r="16" spans="1:9" ht="14.5" x14ac:dyDescent="0.35">
      <c r="A16" s="165" t="s">
        <v>249</v>
      </c>
      <c r="B16" s="166"/>
      <c r="C16" s="166"/>
      <c r="D16" s="166"/>
      <c r="E16" s="167"/>
      <c r="F16" s="81">
        <v>0</v>
      </c>
      <c r="G16" s="82" t="s">
        <v>47</v>
      </c>
      <c r="H16" s="82" t="s">
        <v>47</v>
      </c>
      <c r="I16" s="81">
        <f>F16</f>
        <v>0</v>
      </c>
    </row>
    <row r="17" spans="1:9" ht="14.5" x14ac:dyDescent="0.35">
      <c r="A17" s="168" t="s">
        <v>252</v>
      </c>
      <c r="B17" s="169"/>
      <c r="C17" s="169"/>
      <c r="D17" s="169"/>
      <c r="E17" s="170"/>
      <c r="F17" s="83">
        <v>0</v>
      </c>
      <c r="G17" s="84" t="s">
        <v>47</v>
      </c>
      <c r="H17" s="84" t="s">
        <v>47</v>
      </c>
      <c r="I17" s="83">
        <f>F17</f>
        <v>0</v>
      </c>
    </row>
    <row r="18" spans="1:9" ht="14.5" x14ac:dyDescent="0.35">
      <c r="A18" s="171" t="s">
        <v>283</v>
      </c>
      <c r="B18" s="172"/>
      <c r="C18" s="172"/>
      <c r="D18" s="172"/>
      <c r="E18" s="173"/>
      <c r="F18" s="85" t="s">
        <v>47</v>
      </c>
      <c r="G18" s="86" t="s">
        <v>47</v>
      </c>
      <c r="H18" s="86" t="s">
        <v>47</v>
      </c>
      <c r="I18" s="87">
        <f>SUM(I15:I17)</f>
        <v>0</v>
      </c>
    </row>
    <row r="20" spans="1:9" ht="14.5" x14ac:dyDescent="0.35">
      <c r="A20" s="181" t="s">
        <v>244</v>
      </c>
      <c r="B20" s="182"/>
      <c r="C20" s="182"/>
      <c r="D20" s="182"/>
      <c r="E20" s="183"/>
      <c r="F20" s="80" t="s">
        <v>280</v>
      </c>
      <c r="G20" s="80" t="s">
        <v>281</v>
      </c>
      <c r="H20" s="80" t="s">
        <v>282</v>
      </c>
      <c r="I20" s="80" t="s">
        <v>280</v>
      </c>
    </row>
    <row r="21" spans="1:9" ht="14.5" x14ac:dyDescent="0.35">
      <c r="A21" s="165" t="s">
        <v>248</v>
      </c>
      <c r="B21" s="166"/>
      <c r="C21" s="166"/>
      <c r="D21" s="166"/>
      <c r="E21" s="167"/>
      <c r="F21" s="81">
        <v>0</v>
      </c>
      <c r="G21" s="82" t="s">
        <v>47</v>
      </c>
      <c r="H21" s="82" t="s">
        <v>47</v>
      </c>
      <c r="I21" s="81">
        <f t="shared" ref="I21:I26" si="0">F21</f>
        <v>0</v>
      </c>
    </row>
    <row r="22" spans="1:9" ht="14.5" x14ac:dyDescent="0.35">
      <c r="A22" s="165" t="s">
        <v>250</v>
      </c>
      <c r="B22" s="166"/>
      <c r="C22" s="166"/>
      <c r="D22" s="166"/>
      <c r="E22" s="167"/>
      <c r="F22" s="81">
        <v>0</v>
      </c>
      <c r="G22" s="82" t="s">
        <v>47</v>
      </c>
      <c r="H22" s="82" t="s">
        <v>47</v>
      </c>
      <c r="I22" s="81">
        <f t="shared" si="0"/>
        <v>0</v>
      </c>
    </row>
    <row r="23" spans="1:9" ht="14.5" x14ac:dyDescent="0.35">
      <c r="A23" s="165" t="s">
        <v>253</v>
      </c>
      <c r="B23" s="166"/>
      <c r="C23" s="166"/>
      <c r="D23" s="166"/>
      <c r="E23" s="167"/>
      <c r="F23" s="81">
        <v>0</v>
      </c>
      <c r="G23" s="82" t="s">
        <v>47</v>
      </c>
      <c r="H23" s="82" t="s">
        <v>47</v>
      </c>
      <c r="I23" s="81">
        <f t="shared" si="0"/>
        <v>0</v>
      </c>
    </row>
    <row r="24" spans="1:9" ht="14.5" x14ac:dyDescent="0.35">
      <c r="A24" s="165" t="s">
        <v>254</v>
      </c>
      <c r="B24" s="166"/>
      <c r="C24" s="166"/>
      <c r="D24" s="166"/>
      <c r="E24" s="167"/>
      <c r="F24" s="81">
        <v>0</v>
      </c>
      <c r="G24" s="82" t="s">
        <v>47</v>
      </c>
      <c r="H24" s="82" t="s">
        <v>47</v>
      </c>
      <c r="I24" s="81">
        <f t="shared" si="0"/>
        <v>0</v>
      </c>
    </row>
    <row r="25" spans="1:9" ht="14.5" x14ac:dyDescent="0.35">
      <c r="A25" s="165" t="s">
        <v>256</v>
      </c>
      <c r="B25" s="166"/>
      <c r="C25" s="166"/>
      <c r="D25" s="166"/>
      <c r="E25" s="167"/>
      <c r="F25" s="81">
        <v>0</v>
      </c>
      <c r="G25" s="82" t="s">
        <v>47</v>
      </c>
      <c r="H25" s="82" t="s">
        <v>47</v>
      </c>
      <c r="I25" s="81">
        <f t="shared" si="0"/>
        <v>0</v>
      </c>
    </row>
    <row r="26" spans="1:9" ht="14.5" x14ac:dyDescent="0.35">
      <c r="A26" s="168" t="s">
        <v>257</v>
      </c>
      <c r="B26" s="169"/>
      <c r="C26" s="169"/>
      <c r="D26" s="169"/>
      <c r="E26" s="170"/>
      <c r="F26" s="83">
        <v>0</v>
      </c>
      <c r="G26" s="84" t="s">
        <v>47</v>
      </c>
      <c r="H26" s="84" t="s">
        <v>47</v>
      </c>
      <c r="I26" s="83">
        <f t="shared" si="0"/>
        <v>0</v>
      </c>
    </row>
    <row r="27" spans="1:9" ht="14.5" x14ac:dyDescent="0.35">
      <c r="A27" s="171" t="s">
        <v>284</v>
      </c>
      <c r="B27" s="172"/>
      <c r="C27" s="172"/>
      <c r="D27" s="172"/>
      <c r="E27" s="173"/>
      <c r="F27" s="85" t="s">
        <v>47</v>
      </c>
      <c r="G27" s="86" t="s">
        <v>47</v>
      </c>
      <c r="H27" s="86" t="s">
        <v>47</v>
      </c>
      <c r="I27" s="87">
        <f>SUM(I21:I26)</f>
        <v>0</v>
      </c>
    </row>
    <row r="29" spans="1:9" ht="15.5" x14ac:dyDescent="0.35">
      <c r="A29" s="174" t="s">
        <v>285</v>
      </c>
      <c r="B29" s="175"/>
      <c r="C29" s="175"/>
      <c r="D29" s="175"/>
      <c r="E29" s="176"/>
      <c r="F29" s="177">
        <f>I18+I27</f>
        <v>0</v>
      </c>
      <c r="G29" s="178"/>
      <c r="H29" s="178"/>
      <c r="I29" s="179"/>
    </row>
    <row r="33" spans="1:9" ht="15.5" x14ac:dyDescent="0.35">
      <c r="A33" s="180" t="s">
        <v>286</v>
      </c>
      <c r="B33" s="180"/>
      <c r="C33" s="180"/>
      <c r="D33" s="180"/>
      <c r="E33" s="180"/>
    </row>
    <row r="34" spans="1:9" ht="14.5" x14ac:dyDescent="0.35">
      <c r="A34" s="181" t="s">
        <v>287</v>
      </c>
      <c r="B34" s="182"/>
      <c r="C34" s="182"/>
      <c r="D34" s="182"/>
      <c r="E34" s="183"/>
      <c r="F34" s="80" t="s">
        <v>280</v>
      </c>
      <c r="G34" s="80" t="s">
        <v>281</v>
      </c>
      <c r="H34" s="80" t="s">
        <v>282</v>
      </c>
      <c r="I34" s="80" t="s">
        <v>280</v>
      </c>
    </row>
    <row r="35" spans="1:9" ht="14.5" x14ac:dyDescent="0.35">
      <c r="A35" s="165" t="s">
        <v>154</v>
      </c>
      <c r="B35" s="166"/>
      <c r="C35" s="166"/>
      <c r="D35" s="166"/>
      <c r="E35" s="167"/>
      <c r="F35" s="81">
        <f>SUM('Stavební rozpočet'!BM12:BM212)</f>
        <v>0</v>
      </c>
      <c r="G35" s="82" t="s">
        <v>47</v>
      </c>
      <c r="H35" s="82" t="s">
        <v>47</v>
      </c>
      <c r="I35" s="81">
        <f t="shared" ref="I35:I44" si="1">F35</f>
        <v>0</v>
      </c>
    </row>
    <row r="36" spans="1:9" ht="14.5" x14ac:dyDescent="0.35">
      <c r="A36" s="165" t="s">
        <v>288</v>
      </c>
      <c r="B36" s="166"/>
      <c r="C36" s="166"/>
      <c r="D36" s="166"/>
      <c r="E36" s="167"/>
      <c r="F36" s="81">
        <f>SUM('Stavební rozpočet'!BN12:BN212)</f>
        <v>0</v>
      </c>
      <c r="G36" s="82" t="s">
        <v>47</v>
      </c>
      <c r="H36" s="82" t="s">
        <v>47</v>
      </c>
      <c r="I36" s="81">
        <f t="shared" si="1"/>
        <v>0</v>
      </c>
    </row>
    <row r="37" spans="1:9" ht="14.5" x14ac:dyDescent="0.35">
      <c r="A37" s="165" t="s">
        <v>248</v>
      </c>
      <c r="B37" s="166"/>
      <c r="C37" s="166"/>
      <c r="D37" s="166"/>
      <c r="E37" s="167"/>
      <c r="F37" s="81">
        <f>SUM('Stavební rozpočet'!BO12:BO212)</f>
        <v>0</v>
      </c>
      <c r="G37" s="82" t="s">
        <v>47</v>
      </c>
      <c r="H37" s="82" t="s">
        <v>47</v>
      </c>
      <c r="I37" s="81">
        <f t="shared" si="1"/>
        <v>0</v>
      </c>
    </row>
    <row r="38" spans="1:9" ht="14.5" x14ac:dyDescent="0.35">
      <c r="A38" s="165" t="s">
        <v>289</v>
      </c>
      <c r="B38" s="166"/>
      <c r="C38" s="166"/>
      <c r="D38" s="166"/>
      <c r="E38" s="167"/>
      <c r="F38" s="81">
        <f>SUM('Stavební rozpočet'!BP12:BP212)</f>
        <v>0</v>
      </c>
      <c r="G38" s="82" t="s">
        <v>47</v>
      </c>
      <c r="H38" s="82" t="s">
        <v>47</v>
      </c>
      <c r="I38" s="81">
        <f t="shared" si="1"/>
        <v>0</v>
      </c>
    </row>
    <row r="39" spans="1:9" ht="14.5" x14ac:dyDescent="0.35">
      <c r="A39" s="165" t="s">
        <v>290</v>
      </c>
      <c r="B39" s="166"/>
      <c r="C39" s="166"/>
      <c r="D39" s="166"/>
      <c r="E39" s="167"/>
      <c r="F39" s="81">
        <f>SUM('Stavební rozpočet'!BQ12:BQ212)</f>
        <v>0</v>
      </c>
      <c r="G39" s="82" t="s">
        <v>47</v>
      </c>
      <c r="H39" s="82" t="s">
        <v>47</v>
      </c>
      <c r="I39" s="81">
        <f t="shared" si="1"/>
        <v>0</v>
      </c>
    </row>
    <row r="40" spans="1:9" ht="14.5" x14ac:dyDescent="0.35">
      <c r="A40" s="165" t="s">
        <v>253</v>
      </c>
      <c r="B40" s="166"/>
      <c r="C40" s="166"/>
      <c r="D40" s="166"/>
      <c r="E40" s="167"/>
      <c r="F40" s="81">
        <f>SUM('Stavební rozpočet'!BR12:BR212)</f>
        <v>0</v>
      </c>
      <c r="G40" s="82" t="s">
        <v>47</v>
      </c>
      <c r="H40" s="82" t="s">
        <v>47</v>
      </c>
      <c r="I40" s="81">
        <f t="shared" si="1"/>
        <v>0</v>
      </c>
    </row>
    <row r="41" spans="1:9" ht="14.5" x14ac:dyDescent="0.35">
      <c r="A41" s="165" t="s">
        <v>254</v>
      </c>
      <c r="B41" s="166"/>
      <c r="C41" s="166"/>
      <c r="D41" s="166"/>
      <c r="E41" s="167"/>
      <c r="F41" s="81">
        <f>SUM('Stavební rozpočet'!BS12:BS212)</f>
        <v>0</v>
      </c>
      <c r="G41" s="82" t="s">
        <v>47</v>
      </c>
      <c r="H41" s="82" t="s">
        <v>47</v>
      </c>
      <c r="I41" s="81">
        <f t="shared" si="1"/>
        <v>0</v>
      </c>
    </row>
    <row r="42" spans="1:9" ht="14.5" x14ac:dyDescent="0.35">
      <c r="A42" s="165" t="s">
        <v>162</v>
      </c>
      <c r="B42" s="166"/>
      <c r="C42" s="166"/>
      <c r="D42" s="166"/>
      <c r="E42" s="167"/>
      <c r="F42" s="81">
        <f>SUM('Stavební rozpočet'!BT12:BT212)</f>
        <v>0</v>
      </c>
      <c r="G42" s="82" t="s">
        <v>47</v>
      </c>
      <c r="H42" s="82" t="s">
        <v>47</v>
      </c>
      <c r="I42" s="81">
        <f t="shared" si="1"/>
        <v>0</v>
      </c>
    </row>
    <row r="43" spans="1:9" ht="14.5" x14ac:dyDescent="0.35">
      <c r="A43" s="165" t="s">
        <v>291</v>
      </c>
      <c r="B43" s="166"/>
      <c r="C43" s="166"/>
      <c r="D43" s="166"/>
      <c r="E43" s="167"/>
      <c r="F43" s="81">
        <f>SUM('Stavební rozpočet'!BU12:BU212)</f>
        <v>0</v>
      </c>
      <c r="G43" s="82" t="s">
        <v>47</v>
      </c>
      <c r="H43" s="82" t="s">
        <v>47</v>
      </c>
      <c r="I43" s="81">
        <f t="shared" si="1"/>
        <v>0</v>
      </c>
    </row>
    <row r="44" spans="1:9" ht="14.5" x14ac:dyDescent="0.35">
      <c r="A44" s="168" t="s">
        <v>292</v>
      </c>
      <c r="B44" s="169"/>
      <c r="C44" s="169"/>
      <c r="D44" s="169"/>
      <c r="E44" s="170"/>
      <c r="F44" s="83">
        <f>SUM('Stavební rozpočet'!BV12:BV212)</f>
        <v>0</v>
      </c>
      <c r="G44" s="84" t="s">
        <v>47</v>
      </c>
      <c r="H44" s="84" t="s">
        <v>47</v>
      </c>
      <c r="I44" s="83">
        <f t="shared" si="1"/>
        <v>0</v>
      </c>
    </row>
    <row r="45" spans="1:9" ht="14.5" x14ac:dyDescent="0.35">
      <c r="A45" s="171" t="s">
        <v>293</v>
      </c>
      <c r="B45" s="172"/>
      <c r="C45" s="172"/>
      <c r="D45" s="172"/>
      <c r="E45" s="173"/>
      <c r="F45" s="85" t="s">
        <v>47</v>
      </c>
      <c r="G45" s="86" t="s">
        <v>47</v>
      </c>
      <c r="H45" s="86" t="s">
        <v>47</v>
      </c>
      <c r="I45" s="87">
        <f>SUM(I35:I44)</f>
        <v>0</v>
      </c>
    </row>
  </sheetData>
  <mergeCells count="60">
    <mergeCell ref="A1:I1"/>
    <mergeCell ref="A2:B3"/>
    <mergeCell ref="A4:B5"/>
    <mergeCell ref="A6:B7"/>
    <mergeCell ref="A8:B9"/>
    <mergeCell ref="H2:H3"/>
    <mergeCell ref="H4:H5"/>
    <mergeCell ref="H6:H7"/>
    <mergeCell ref="H8:H9"/>
    <mergeCell ref="I2:I3"/>
    <mergeCell ref="I4:I5"/>
    <mergeCell ref="I6:I7"/>
    <mergeCell ref="I8:I9"/>
    <mergeCell ref="E2:E3"/>
    <mergeCell ref="E4:E5"/>
    <mergeCell ref="E6:E7"/>
    <mergeCell ref="E8:E9"/>
    <mergeCell ref="E10:E11"/>
    <mergeCell ref="F2:G3"/>
    <mergeCell ref="F4:G5"/>
    <mergeCell ref="F6:G7"/>
    <mergeCell ref="F8:G9"/>
    <mergeCell ref="F10:G11"/>
    <mergeCell ref="C2:D3"/>
    <mergeCell ref="C4:D5"/>
    <mergeCell ref="C6:D7"/>
    <mergeCell ref="C8:D9"/>
    <mergeCell ref="C10:D11"/>
    <mergeCell ref="I10:I11"/>
    <mergeCell ref="A13:E13"/>
    <mergeCell ref="A14:E14"/>
    <mergeCell ref="A15:E15"/>
    <mergeCell ref="A16:E16"/>
    <mergeCell ref="H10:H11"/>
    <mergeCell ref="A10:B11"/>
    <mergeCell ref="A17:E17"/>
    <mergeCell ref="A18:E18"/>
    <mergeCell ref="A20:E20"/>
    <mergeCell ref="A21:E21"/>
    <mergeCell ref="A22:E22"/>
    <mergeCell ref="A23:E23"/>
    <mergeCell ref="A24:E24"/>
    <mergeCell ref="A25:E25"/>
    <mergeCell ref="A26:E26"/>
    <mergeCell ref="A27:E27"/>
    <mergeCell ref="A29:E29"/>
    <mergeCell ref="F29:I29"/>
    <mergeCell ref="A33:E33"/>
    <mergeCell ref="A34:E34"/>
    <mergeCell ref="A35:E35"/>
    <mergeCell ref="A36:E36"/>
    <mergeCell ref="A37:E37"/>
    <mergeCell ref="A38:E38"/>
    <mergeCell ref="A39:E39"/>
    <mergeCell ref="A40:E40"/>
    <mergeCell ref="A41:E41"/>
    <mergeCell ref="A42:E42"/>
    <mergeCell ref="A43:E43"/>
    <mergeCell ref="A44:E44"/>
    <mergeCell ref="A45:E45"/>
  </mergeCells>
  <pageMargins left="0.393999993801117" right="0.393999993801117" top="0.59100002050399802" bottom="0.59100002050399802" header="0" footer="0"/>
  <pageSetup fitToHeight="0" orientation="landscape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I35"/>
  <sheetViews>
    <sheetView workbookViewId="0">
      <selection activeCell="A35" sqref="A35:I35"/>
    </sheetView>
  </sheetViews>
  <sheetFormatPr defaultColWidth="12.1796875" defaultRowHeight="15" customHeight="1" x14ac:dyDescent="0.35"/>
  <cols>
    <col min="1" max="1" width="9.1796875" customWidth="1"/>
    <col min="2" max="2" width="12.81640625" customWidth="1"/>
    <col min="3" max="3" width="27.1796875" customWidth="1"/>
    <col min="4" max="4" width="10" customWidth="1"/>
    <col min="5" max="5" width="14" customWidth="1"/>
    <col min="6" max="6" width="27.1796875" customWidth="1"/>
    <col min="7" max="7" width="9.1796875" customWidth="1"/>
    <col min="8" max="8" width="12.81640625" customWidth="1"/>
    <col min="9" max="9" width="27.1796875" customWidth="1"/>
  </cols>
  <sheetData>
    <row r="1" spans="1:9" ht="54.75" customHeight="1" x14ac:dyDescent="0.35">
      <c r="A1" s="163" t="s">
        <v>296</v>
      </c>
      <c r="B1" s="114"/>
      <c r="C1" s="114"/>
      <c r="D1" s="114"/>
      <c r="E1" s="114"/>
      <c r="F1" s="114"/>
      <c r="G1" s="114"/>
      <c r="H1" s="114"/>
      <c r="I1" s="114"/>
    </row>
    <row r="2" spans="1:9" ht="14.5" x14ac:dyDescent="0.35">
      <c r="A2" s="115" t="s">
        <v>1</v>
      </c>
      <c r="B2" s="107"/>
      <c r="C2" s="120" t="str">
        <f>'Stavební rozpočet'!C2</f>
        <v>25004_Pohl_odpočinkové_posezení_v_lomu</v>
      </c>
      <c r="D2" s="121"/>
      <c r="E2" s="119" t="s">
        <v>4</v>
      </c>
      <c r="F2" s="119" t="str">
        <f>'Stavební rozpočet'!I2</f>
        <v> </v>
      </c>
      <c r="G2" s="107"/>
      <c r="H2" s="119" t="s">
        <v>235</v>
      </c>
      <c r="I2" s="108" t="s">
        <v>47</v>
      </c>
    </row>
    <row r="3" spans="1:9" ht="15" customHeight="1" x14ac:dyDescent="0.35">
      <c r="A3" s="116"/>
      <c r="B3" s="92"/>
      <c r="C3" s="122"/>
      <c r="D3" s="122"/>
      <c r="E3" s="92"/>
      <c r="F3" s="92"/>
      <c r="G3" s="92"/>
      <c r="H3" s="92"/>
      <c r="I3" s="109"/>
    </row>
    <row r="4" spans="1:9" ht="14.5" x14ac:dyDescent="0.35">
      <c r="A4" s="117" t="s">
        <v>6</v>
      </c>
      <c r="B4" s="92"/>
      <c r="C4" s="91" t="str">
        <f>'Stavební rozpočet'!C4</f>
        <v>Posezení v přírodě</v>
      </c>
      <c r="D4" s="92"/>
      <c r="E4" s="91" t="s">
        <v>10</v>
      </c>
      <c r="F4" s="91" t="str">
        <f>'Stavební rozpočet'!I4</f>
        <v> </v>
      </c>
      <c r="G4" s="92"/>
      <c r="H4" s="91" t="s">
        <v>235</v>
      </c>
      <c r="I4" s="109" t="s">
        <v>47</v>
      </c>
    </row>
    <row r="5" spans="1:9" ht="15" customHeight="1" x14ac:dyDescent="0.35">
      <c r="A5" s="116"/>
      <c r="B5" s="92"/>
      <c r="C5" s="92"/>
      <c r="D5" s="92"/>
      <c r="E5" s="92"/>
      <c r="F5" s="92"/>
      <c r="G5" s="92"/>
      <c r="H5" s="92"/>
      <c r="I5" s="109"/>
    </row>
    <row r="6" spans="1:9" ht="14.5" x14ac:dyDescent="0.35">
      <c r="A6" s="117" t="s">
        <v>11</v>
      </c>
      <c r="B6" s="92"/>
      <c r="C6" s="91" t="str">
        <f>'Stavební rozpočet'!C6</f>
        <v>Bruntál - bývalý lom</v>
      </c>
      <c r="D6" s="92"/>
      <c r="E6" s="91" t="s">
        <v>14</v>
      </c>
      <c r="F6" s="91" t="str">
        <f>'Stavební rozpočet'!I6</f>
        <v> </v>
      </c>
      <c r="G6" s="92"/>
      <c r="H6" s="91" t="s">
        <v>235</v>
      </c>
      <c r="I6" s="109" t="s">
        <v>47</v>
      </c>
    </row>
    <row r="7" spans="1:9" ht="15" customHeight="1" x14ac:dyDescent="0.35">
      <c r="A7" s="116"/>
      <c r="B7" s="92"/>
      <c r="C7" s="92"/>
      <c r="D7" s="92"/>
      <c r="E7" s="92"/>
      <c r="F7" s="92"/>
      <c r="G7" s="92"/>
      <c r="H7" s="92"/>
      <c r="I7" s="109"/>
    </row>
    <row r="8" spans="1:9" ht="14.5" x14ac:dyDescent="0.35">
      <c r="A8" s="117" t="s">
        <v>8</v>
      </c>
      <c r="B8" s="92"/>
      <c r="C8" s="91" t="str">
        <f>'Stavební rozpočet'!G4</f>
        <v>30.08.2025</v>
      </c>
      <c r="D8" s="92"/>
      <c r="E8" s="91" t="s">
        <v>13</v>
      </c>
      <c r="F8" s="91" t="str">
        <f>'Stavební rozpočet'!G6</f>
        <v xml:space="preserve"> </v>
      </c>
      <c r="G8" s="92"/>
      <c r="H8" s="92" t="s">
        <v>236</v>
      </c>
      <c r="I8" s="164">
        <v>2</v>
      </c>
    </row>
    <row r="9" spans="1:9" ht="14.5" x14ac:dyDescent="0.35">
      <c r="A9" s="116"/>
      <c r="B9" s="92"/>
      <c r="C9" s="92"/>
      <c r="D9" s="92"/>
      <c r="E9" s="92"/>
      <c r="F9" s="92"/>
      <c r="G9" s="92"/>
      <c r="H9" s="92"/>
      <c r="I9" s="109"/>
    </row>
    <row r="10" spans="1:9" ht="14.5" x14ac:dyDescent="0.35">
      <c r="A10" s="117" t="s">
        <v>15</v>
      </c>
      <c r="B10" s="92"/>
      <c r="C10" s="91" t="str">
        <f>'Stavební rozpočet'!C8</f>
        <v xml:space="preserve"> </v>
      </c>
      <c r="D10" s="92"/>
      <c r="E10" s="91" t="s">
        <v>17</v>
      </c>
      <c r="F10" s="91" t="str">
        <f>'Stavební rozpočet'!I8</f>
        <v> </v>
      </c>
      <c r="G10" s="92"/>
      <c r="H10" s="92" t="s">
        <v>237</v>
      </c>
      <c r="I10" s="124" t="str">
        <f>'Stavební rozpočet'!G8</f>
        <v>30.08.2025</v>
      </c>
    </row>
    <row r="11" spans="1:9" ht="14.5" x14ac:dyDescent="0.35">
      <c r="A11" s="162"/>
      <c r="B11" s="125"/>
      <c r="C11" s="125"/>
      <c r="D11" s="125"/>
      <c r="E11" s="125"/>
      <c r="F11" s="125"/>
      <c r="G11" s="125"/>
      <c r="H11" s="125"/>
      <c r="I11" s="158"/>
    </row>
    <row r="12" spans="1:9" ht="23" x14ac:dyDescent="0.35">
      <c r="A12" s="159" t="s">
        <v>238</v>
      </c>
      <c r="B12" s="159"/>
      <c r="C12" s="159"/>
      <c r="D12" s="159"/>
      <c r="E12" s="159"/>
      <c r="F12" s="159"/>
      <c r="G12" s="159"/>
      <c r="H12" s="159"/>
      <c r="I12" s="159"/>
    </row>
    <row r="13" spans="1:9" ht="26.25" customHeight="1" x14ac:dyDescent="0.35">
      <c r="A13" s="67" t="s">
        <v>239</v>
      </c>
      <c r="B13" s="160" t="s">
        <v>240</v>
      </c>
      <c r="C13" s="161"/>
      <c r="D13" s="68" t="s">
        <v>241</v>
      </c>
      <c r="E13" s="160" t="s">
        <v>242</v>
      </c>
      <c r="F13" s="161"/>
      <c r="G13" s="68" t="s">
        <v>243</v>
      </c>
      <c r="H13" s="160" t="s">
        <v>244</v>
      </c>
      <c r="I13" s="161"/>
    </row>
    <row r="14" spans="1:9" ht="15.5" x14ac:dyDescent="0.35">
      <c r="A14" s="69" t="s">
        <v>245</v>
      </c>
      <c r="B14" s="70" t="s">
        <v>246</v>
      </c>
      <c r="C14" s="71">
        <f>SUMIF('Stavební rozpočet'!AI12:AI212,"2",'Stavební rozpočet'!AB12:AB212)</f>
        <v>0</v>
      </c>
      <c r="D14" s="148" t="s">
        <v>247</v>
      </c>
      <c r="E14" s="149"/>
      <c r="F14" s="71">
        <f>'VORN objektu (2)'!I15</f>
        <v>0</v>
      </c>
      <c r="G14" s="148" t="s">
        <v>248</v>
      </c>
      <c r="H14" s="149"/>
      <c r="I14" s="72">
        <f>'VORN objektu (2)'!I21</f>
        <v>0</v>
      </c>
    </row>
    <row r="15" spans="1:9" ht="15.5" x14ac:dyDescent="0.35">
      <c r="A15" s="73" t="s">
        <v>47</v>
      </c>
      <c r="B15" s="70" t="s">
        <v>32</v>
      </c>
      <c r="C15" s="71">
        <f>SUMIF('Stavební rozpočet'!AI12:AI212,"2",'Stavební rozpočet'!AC12:AC212)</f>
        <v>0</v>
      </c>
      <c r="D15" s="148" t="s">
        <v>249</v>
      </c>
      <c r="E15" s="149"/>
      <c r="F15" s="71">
        <f>'VORN objektu (2)'!I16</f>
        <v>0</v>
      </c>
      <c r="G15" s="148" t="s">
        <v>250</v>
      </c>
      <c r="H15" s="149"/>
      <c r="I15" s="72">
        <f>'VORN objektu (2)'!I22</f>
        <v>0</v>
      </c>
    </row>
    <row r="16" spans="1:9" ht="15.5" x14ac:dyDescent="0.35">
      <c r="A16" s="69" t="s">
        <v>251</v>
      </c>
      <c r="B16" s="70" t="s">
        <v>246</v>
      </c>
      <c r="C16" s="71">
        <f>SUMIF('Stavební rozpočet'!AI12:AI212,"2",'Stavební rozpočet'!AD12:AD212)</f>
        <v>0</v>
      </c>
      <c r="D16" s="148" t="s">
        <v>252</v>
      </c>
      <c r="E16" s="149"/>
      <c r="F16" s="71">
        <f>'VORN objektu (2)'!I17</f>
        <v>0</v>
      </c>
      <c r="G16" s="148" t="s">
        <v>253</v>
      </c>
      <c r="H16" s="149"/>
      <c r="I16" s="72">
        <f>'VORN objektu (2)'!I23</f>
        <v>0</v>
      </c>
    </row>
    <row r="17" spans="1:9" ht="15.5" x14ac:dyDescent="0.35">
      <c r="A17" s="73" t="s">
        <v>47</v>
      </c>
      <c r="B17" s="70" t="s">
        <v>32</v>
      </c>
      <c r="C17" s="71">
        <f>SUMIF('Stavební rozpočet'!AI12:AI212,"2",'Stavební rozpočet'!AE12:AE212)</f>
        <v>0</v>
      </c>
      <c r="D17" s="148" t="s">
        <v>47</v>
      </c>
      <c r="E17" s="149"/>
      <c r="F17" s="72" t="s">
        <v>47</v>
      </c>
      <c r="G17" s="148" t="s">
        <v>254</v>
      </c>
      <c r="H17" s="149"/>
      <c r="I17" s="72">
        <f>'VORN objektu (2)'!I24</f>
        <v>0</v>
      </c>
    </row>
    <row r="18" spans="1:9" ht="15.5" x14ac:dyDescent="0.35">
      <c r="A18" s="69" t="s">
        <v>255</v>
      </c>
      <c r="B18" s="70" t="s">
        <v>246</v>
      </c>
      <c r="C18" s="71">
        <f>SUMIF('Stavební rozpočet'!AI12:AI212,"2",'Stavební rozpočet'!AF12:AF212)</f>
        <v>0</v>
      </c>
      <c r="D18" s="148" t="s">
        <v>47</v>
      </c>
      <c r="E18" s="149"/>
      <c r="F18" s="72" t="s">
        <v>47</v>
      </c>
      <c r="G18" s="148" t="s">
        <v>256</v>
      </c>
      <c r="H18" s="149"/>
      <c r="I18" s="72">
        <f>'VORN objektu (2)'!I25</f>
        <v>0</v>
      </c>
    </row>
    <row r="19" spans="1:9" ht="15.5" x14ac:dyDescent="0.35">
      <c r="A19" s="73" t="s">
        <v>47</v>
      </c>
      <c r="B19" s="70" t="s">
        <v>32</v>
      </c>
      <c r="C19" s="71">
        <f>SUMIF('Stavební rozpočet'!AI12:AI212,"2",'Stavební rozpočet'!AG12:AG212)</f>
        <v>0</v>
      </c>
      <c r="D19" s="148" t="s">
        <v>47</v>
      </c>
      <c r="E19" s="149"/>
      <c r="F19" s="72" t="s">
        <v>47</v>
      </c>
      <c r="G19" s="148" t="s">
        <v>257</v>
      </c>
      <c r="H19" s="149"/>
      <c r="I19" s="72">
        <f>'VORN objektu (2)'!I26</f>
        <v>0</v>
      </c>
    </row>
    <row r="20" spans="1:9" ht="15.5" x14ac:dyDescent="0.35">
      <c r="A20" s="140" t="s">
        <v>258</v>
      </c>
      <c r="B20" s="141"/>
      <c r="C20" s="71">
        <f>SUMIF('Stavební rozpočet'!AI12:AI212,"2",'Stavební rozpočet'!AH12:AH212)</f>
        <v>0</v>
      </c>
      <c r="D20" s="148" t="s">
        <v>47</v>
      </c>
      <c r="E20" s="149"/>
      <c r="F20" s="72" t="s">
        <v>47</v>
      </c>
      <c r="G20" s="148" t="s">
        <v>47</v>
      </c>
      <c r="H20" s="149"/>
      <c r="I20" s="72" t="s">
        <v>47</v>
      </c>
    </row>
    <row r="21" spans="1:9" ht="15.5" x14ac:dyDescent="0.35">
      <c r="A21" s="155" t="s">
        <v>259</v>
      </c>
      <c r="B21" s="156"/>
      <c r="C21" s="71">
        <f>SUMIF('Stavební rozpočet'!AI12:AI212,"2",'Stavební rozpočet'!Z12:Z212)</f>
        <v>0</v>
      </c>
      <c r="D21" s="150" t="s">
        <v>47</v>
      </c>
      <c r="E21" s="151"/>
      <c r="F21" s="75" t="s">
        <v>47</v>
      </c>
      <c r="G21" s="150" t="s">
        <v>47</v>
      </c>
      <c r="H21" s="151"/>
      <c r="I21" s="75" t="s">
        <v>47</v>
      </c>
    </row>
    <row r="22" spans="1:9" ht="16.5" customHeight="1" x14ac:dyDescent="0.35">
      <c r="A22" s="157" t="s">
        <v>260</v>
      </c>
      <c r="B22" s="153"/>
      <c r="C22" s="71">
        <f>ROUND(SUM(C14:C21),2)</f>
        <v>0</v>
      </c>
      <c r="D22" s="152" t="s">
        <v>261</v>
      </c>
      <c r="E22" s="153"/>
      <c r="F22" s="76">
        <f>SUM(F14:F21)</f>
        <v>0</v>
      </c>
      <c r="G22" s="152" t="s">
        <v>262</v>
      </c>
      <c r="H22" s="153"/>
      <c r="I22" s="76">
        <f>SUM(I14:I21)</f>
        <v>0</v>
      </c>
    </row>
    <row r="23" spans="1:9" ht="15.5" x14ac:dyDescent="0.35">
      <c r="G23" s="140" t="s">
        <v>265</v>
      </c>
      <c r="H23" s="141"/>
      <c r="I23" s="71">
        <f>'VORN objektu (2)'!I45</f>
        <v>0</v>
      </c>
    </row>
    <row r="25" spans="1:9" ht="15.5" x14ac:dyDescent="0.35">
      <c r="A25" s="142" t="s">
        <v>267</v>
      </c>
      <c r="B25" s="143"/>
      <c r="C25" s="77">
        <f>ROUND(('Stavební rozpočet'!AS68+'Stavební rozpočet'!AS72),2)</f>
        <v>0</v>
      </c>
    </row>
    <row r="26" spans="1:9" ht="15.5" x14ac:dyDescent="0.35">
      <c r="A26" s="144" t="s">
        <v>268</v>
      </c>
      <c r="B26" s="145"/>
      <c r="C26" s="78">
        <f>ROUND(('Stavební rozpočet'!AT68+'Stavební rozpočet'!AT72),2)</f>
        <v>0</v>
      </c>
      <c r="D26" s="146" t="s">
        <v>269</v>
      </c>
      <c r="E26" s="143"/>
      <c r="F26" s="77">
        <f>ROUND(C26*(12/100),2)</f>
        <v>0</v>
      </c>
      <c r="G26" s="146" t="s">
        <v>270</v>
      </c>
      <c r="H26" s="143"/>
      <c r="I26" s="77">
        <f>ROUND(SUM(C25:C27),2)</f>
        <v>0</v>
      </c>
    </row>
    <row r="27" spans="1:9" ht="15.5" x14ac:dyDescent="0.35">
      <c r="A27" s="144" t="s">
        <v>271</v>
      </c>
      <c r="B27" s="145"/>
      <c r="C27" s="78">
        <f>ROUND(('Stavební rozpočet'!AU68+'Stavební rozpočet'!AU72),2)</f>
        <v>0</v>
      </c>
      <c r="D27" s="147" t="s">
        <v>272</v>
      </c>
      <c r="E27" s="145"/>
      <c r="F27" s="78">
        <f>ROUND(C27*(21/100),2)</f>
        <v>0</v>
      </c>
      <c r="G27" s="147" t="s">
        <v>273</v>
      </c>
      <c r="H27" s="145"/>
      <c r="I27" s="78">
        <f>ROUND(SUM(F26:F27)+I26,2)</f>
        <v>0</v>
      </c>
    </row>
    <row r="29" spans="1:9" ht="15.5" x14ac:dyDescent="0.35">
      <c r="A29" s="137" t="s">
        <v>274</v>
      </c>
      <c r="B29" s="129"/>
      <c r="C29" s="130"/>
      <c r="D29" s="128" t="s">
        <v>275</v>
      </c>
      <c r="E29" s="129"/>
      <c r="F29" s="130"/>
      <c r="G29" s="128" t="s">
        <v>276</v>
      </c>
      <c r="H29" s="129"/>
      <c r="I29" s="130"/>
    </row>
    <row r="30" spans="1:9" ht="15.5" x14ac:dyDescent="0.35">
      <c r="A30" s="138" t="s">
        <v>47</v>
      </c>
      <c r="B30" s="132"/>
      <c r="C30" s="133"/>
      <c r="D30" s="131" t="s">
        <v>47</v>
      </c>
      <c r="E30" s="132"/>
      <c r="F30" s="133"/>
      <c r="G30" s="131" t="s">
        <v>47</v>
      </c>
      <c r="H30" s="132"/>
      <c r="I30" s="133"/>
    </row>
    <row r="31" spans="1:9" ht="15.5" x14ac:dyDescent="0.35">
      <c r="A31" s="138" t="s">
        <v>47</v>
      </c>
      <c r="B31" s="132"/>
      <c r="C31" s="133"/>
      <c r="D31" s="131" t="s">
        <v>47</v>
      </c>
      <c r="E31" s="132"/>
      <c r="F31" s="133"/>
      <c r="G31" s="131" t="s">
        <v>47</v>
      </c>
      <c r="H31" s="132"/>
      <c r="I31" s="133"/>
    </row>
    <row r="32" spans="1:9" ht="15.5" x14ac:dyDescent="0.35">
      <c r="A32" s="138" t="s">
        <v>47</v>
      </c>
      <c r="B32" s="132"/>
      <c r="C32" s="133"/>
      <c r="D32" s="131" t="s">
        <v>47</v>
      </c>
      <c r="E32" s="132"/>
      <c r="F32" s="133"/>
      <c r="G32" s="131" t="s">
        <v>47</v>
      </c>
      <c r="H32" s="132"/>
      <c r="I32" s="133"/>
    </row>
    <row r="33" spans="1:9" ht="15.5" x14ac:dyDescent="0.35">
      <c r="A33" s="139" t="s">
        <v>277</v>
      </c>
      <c r="B33" s="135"/>
      <c r="C33" s="136"/>
      <c r="D33" s="134" t="s">
        <v>277</v>
      </c>
      <c r="E33" s="135"/>
      <c r="F33" s="136"/>
      <c r="G33" s="134" t="s">
        <v>277</v>
      </c>
      <c r="H33" s="135"/>
      <c r="I33" s="136"/>
    </row>
    <row r="34" spans="1:9" ht="14.5" x14ac:dyDescent="0.35">
      <c r="A34" s="79" t="s">
        <v>223</v>
      </c>
    </row>
    <row r="35" spans="1:9" ht="12.75" customHeight="1" x14ac:dyDescent="0.35">
      <c r="A35" s="91" t="s">
        <v>47</v>
      </c>
      <c r="B35" s="92"/>
      <c r="C35" s="92"/>
      <c r="D35" s="92"/>
      <c r="E35" s="92"/>
      <c r="F35" s="92"/>
      <c r="G35" s="92"/>
      <c r="H35" s="92"/>
      <c r="I35" s="92"/>
    </row>
  </sheetData>
  <mergeCells count="80">
    <mergeCell ref="A1:I1"/>
    <mergeCell ref="A2:B3"/>
    <mergeCell ref="A4:B5"/>
    <mergeCell ref="A6:B7"/>
    <mergeCell ref="A8:B9"/>
    <mergeCell ref="F2:G3"/>
    <mergeCell ref="F4:G5"/>
    <mergeCell ref="F6:G7"/>
    <mergeCell ref="F8:G9"/>
    <mergeCell ref="I2:I3"/>
    <mergeCell ref="I4:I5"/>
    <mergeCell ref="I6:I7"/>
    <mergeCell ref="I8:I9"/>
    <mergeCell ref="C2:D3"/>
    <mergeCell ref="C4:D5"/>
    <mergeCell ref="C6:D7"/>
    <mergeCell ref="C8:D9"/>
    <mergeCell ref="C10:D11"/>
    <mergeCell ref="E2:E3"/>
    <mergeCell ref="E4:E5"/>
    <mergeCell ref="E6:E7"/>
    <mergeCell ref="E8:E9"/>
    <mergeCell ref="E10:E11"/>
    <mergeCell ref="H2:H3"/>
    <mergeCell ref="H4:H5"/>
    <mergeCell ref="H6:H7"/>
    <mergeCell ref="H8:H9"/>
    <mergeCell ref="H10:H11"/>
    <mergeCell ref="I10:I11"/>
    <mergeCell ref="A12:I12"/>
    <mergeCell ref="B13:C13"/>
    <mergeCell ref="E13:F13"/>
    <mergeCell ref="H13:I13"/>
    <mergeCell ref="F10:G11"/>
    <mergeCell ref="A10:B11"/>
    <mergeCell ref="A20:B20"/>
    <mergeCell ref="A21:B21"/>
    <mergeCell ref="A22:B22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G14:H14"/>
    <mergeCell ref="G15:H15"/>
    <mergeCell ref="G16:H16"/>
    <mergeCell ref="G17:H17"/>
    <mergeCell ref="G18:H18"/>
    <mergeCell ref="G19:H19"/>
    <mergeCell ref="G20:H20"/>
    <mergeCell ref="G21:H21"/>
    <mergeCell ref="G22:H22"/>
    <mergeCell ref="G23:H23"/>
    <mergeCell ref="A25:B25"/>
    <mergeCell ref="A26:B26"/>
    <mergeCell ref="A27:B27"/>
    <mergeCell ref="D26:E26"/>
    <mergeCell ref="D27:E27"/>
    <mergeCell ref="G26:H26"/>
    <mergeCell ref="G27:H27"/>
    <mergeCell ref="A29:C29"/>
    <mergeCell ref="A30:C30"/>
    <mergeCell ref="A31:C31"/>
    <mergeCell ref="G29:I29"/>
    <mergeCell ref="G30:I30"/>
    <mergeCell ref="G31:I31"/>
    <mergeCell ref="D29:F29"/>
    <mergeCell ref="D30:F30"/>
    <mergeCell ref="D31:F31"/>
    <mergeCell ref="D32:F32"/>
    <mergeCell ref="D33:F33"/>
    <mergeCell ref="G32:I32"/>
    <mergeCell ref="G33:I33"/>
    <mergeCell ref="A35:I35"/>
    <mergeCell ref="A32:C32"/>
    <mergeCell ref="A33:C33"/>
  </mergeCells>
  <pageMargins left="0.393999993801117" right="0.393999993801117" top="0.59100002050399802" bottom="0.59100002050399802" header="0" footer="0"/>
  <pageSetup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I45"/>
  <sheetViews>
    <sheetView workbookViewId="0">
      <selection activeCell="A45" sqref="A45:E45"/>
    </sheetView>
  </sheetViews>
  <sheetFormatPr defaultColWidth="12.1796875" defaultRowHeight="15" customHeight="1" x14ac:dyDescent="0.35"/>
  <cols>
    <col min="1" max="1" width="9.1796875" customWidth="1"/>
    <col min="2" max="2" width="12.81640625" customWidth="1"/>
    <col min="3" max="3" width="22.81640625" customWidth="1"/>
    <col min="4" max="4" width="10" customWidth="1"/>
    <col min="5" max="5" width="14" customWidth="1"/>
    <col min="6" max="6" width="22.81640625" customWidth="1"/>
    <col min="7" max="7" width="9.1796875" customWidth="1"/>
    <col min="8" max="8" width="17.1796875" customWidth="1"/>
    <col min="9" max="9" width="22.81640625" customWidth="1"/>
  </cols>
  <sheetData>
    <row r="1" spans="1:9" ht="54.75" customHeight="1" x14ac:dyDescent="0.35">
      <c r="A1" s="163" t="s">
        <v>297</v>
      </c>
      <c r="B1" s="114"/>
      <c r="C1" s="114"/>
      <c r="D1" s="114"/>
      <c r="E1" s="114"/>
      <c r="F1" s="114"/>
      <c r="G1" s="114"/>
      <c r="H1" s="114"/>
      <c r="I1" s="114"/>
    </row>
    <row r="2" spans="1:9" ht="14.5" x14ac:dyDescent="0.35">
      <c r="A2" s="115" t="s">
        <v>1</v>
      </c>
      <c r="B2" s="107"/>
      <c r="C2" s="120" t="str">
        <f>'Stavební rozpočet'!C2</f>
        <v>25004_Pohl_odpočinkové_posezení_v_lomu</v>
      </c>
      <c r="D2" s="121"/>
      <c r="E2" s="119" t="s">
        <v>4</v>
      </c>
      <c r="F2" s="119" t="str">
        <f>'Stavební rozpočet'!I2</f>
        <v> </v>
      </c>
      <c r="G2" s="107"/>
      <c r="H2" s="119" t="s">
        <v>235</v>
      </c>
      <c r="I2" s="108" t="s">
        <v>47</v>
      </c>
    </row>
    <row r="3" spans="1:9" ht="15" customHeight="1" x14ac:dyDescent="0.35">
      <c r="A3" s="116"/>
      <c r="B3" s="92"/>
      <c r="C3" s="122"/>
      <c r="D3" s="122"/>
      <c r="E3" s="92"/>
      <c r="F3" s="92"/>
      <c r="G3" s="92"/>
      <c r="H3" s="92"/>
      <c r="I3" s="109"/>
    </row>
    <row r="4" spans="1:9" ht="14.5" x14ac:dyDescent="0.35">
      <c r="A4" s="117" t="s">
        <v>6</v>
      </c>
      <c r="B4" s="92"/>
      <c r="C4" s="91" t="str">
        <f>'Stavební rozpočet'!C4</f>
        <v>Posezení v přírodě</v>
      </c>
      <c r="D4" s="92"/>
      <c r="E4" s="91" t="s">
        <v>10</v>
      </c>
      <c r="F4" s="91" t="str">
        <f>'Stavební rozpočet'!I4</f>
        <v> </v>
      </c>
      <c r="G4" s="92"/>
      <c r="H4" s="91" t="s">
        <v>235</v>
      </c>
      <c r="I4" s="109" t="s">
        <v>47</v>
      </c>
    </row>
    <row r="5" spans="1:9" ht="15" customHeight="1" x14ac:dyDescent="0.35">
      <c r="A5" s="116"/>
      <c r="B5" s="92"/>
      <c r="C5" s="92"/>
      <c r="D5" s="92"/>
      <c r="E5" s="92"/>
      <c r="F5" s="92"/>
      <c r="G5" s="92"/>
      <c r="H5" s="92"/>
      <c r="I5" s="109"/>
    </row>
    <row r="6" spans="1:9" ht="14.5" x14ac:dyDescent="0.35">
      <c r="A6" s="117" t="s">
        <v>11</v>
      </c>
      <c r="B6" s="92"/>
      <c r="C6" s="91" t="str">
        <f>'Stavební rozpočet'!C6</f>
        <v>Bruntál - bývalý lom</v>
      </c>
      <c r="D6" s="92"/>
      <c r="E6" s="91" t="s">
        <v>14</v>
      </c>
      <c r="F6" s="91" t="str">
        <f>'Stavební rozpočet'!I6</f>
        <v> </v>
      </c>
      <c r="G6" s="92"/>
      <c r="H6" s="91" t="s">
        <v>235</v>
      </c>
      <c r="I6" s="109" t="s">
        <v>47</v>
      </c>
    </row>
    <row r="7" spans="1:9" ht="15" customHeight="1" x14ac:dyDescent="0.35">
      <c r="A7" s="116"/>
      <c r="B7" s="92"/>
      <c r="C7" s="92"/>
      <c r="D7" s="92"/>
      <c r="E7" s="92"/>
      <c r="F7" s="92"/>
      <c r="G7" s="92"/>
      <c r="H7" s="92"/>
      <c r="I7" s="109"/>
    </row>
    <row r="8" spans="1:9" ht="14.5" x14ac:dyDescent="0.35">
      <c r="A8" s="117" t="s">
        <v>8</v>
      </c>
      <c r="B8" s="92"/>
      <c r="C8" s="91" t="str">
        <f>'Stavební rozpočet'!G4</f>
        <v>30.08.2025</v>
      </c>
      <c r="D8" s="92"/>
      <c r="E8" s="91" t="s">
        <v>13</v>
      </c>
      <c r="F8" s="91" t="str">
        <f>'Stavební rozpočet'!G6</f>
        <v xml:space="preserve"> </v>
      </c>
      <c r="G8" s="92"/>
      <c r="H8" s="92" t="s">
        <v>236</v>
      </c>
      <c r="I8" s="164">
        <v>2</v>
      </c>
    </row>
    <row r="9" spans="1:9" ht="14.5" x14ac:dyDescent="0.35">
      <c r="A9" s="116"/>
      <c r="B9" s="92"/>
      <c r="C9" s="92"/>
      <c r="D9" s="92"/>
      <c r="E9" s="92"/>
      <c r="F9" s="92"/>
      <c r="G9" s="92"/>
      <c r="H9" s="92"/>
      <c r="I9" s="109"/>
    </row>
    <row r="10" spans="1:9" ht="14.5" x14ac:dyDescent="0.35">
      <c r="A10" s="117" t="s">
        <v>15</v>
      </c>
      <c r="B10" s="92"/>
      <c r="C10" s="91" t="str">
        <f>'Stavební rozpočet'!C8</f>
        <v xml:space="preserve"> </v>
      </c>
      <c r="D10" s="92"/>
      <c r="E10" s="91" t="s">
        <v>17</v>
      </c>
      <c r="F10" s="91" t="str">
        <f>'Stavební rozpočet'!I8</f>
        <v> </v>
      </c>
      <c r="G10" s="92"/>
      <c r="H10" s="92" t="s">
        <v>237</v>
      </c>
      <c r="I10" s="124" t="str">
        <f>'Stavební rozpočet'!G8</f>
        <v>30.08.2025</v>
      </c>
    </row>
    <row r="11" spans="1:9" ht="14.5" x14ac:dyDescent="0.35">
      <c r="A11" s="162"/>
      <c r="B11" s="125"/>
      <c r="C11" s="125"/>
      <c r="D11" s="125"/>
      <c r="E11" s="125"/>
      <c r="F11" s="125"/>
      <c r="G11" s="125"/>
      <c r="H11" s="125"/>
      <c r="I11" s="158"/>
    </row>
    <row r="13" spans="1:9" ht="15.5" x14ac:dyDescent="0.35">
      <c r="A13" s="180" t="s">
        <v>278</v>
      </c>
      <c r="B13" s="180"/>
      <c r="C13" s="180"/>
      <c r="D13" s="180"/>
      <c r="E13" s="180"/>
    </row>
    <row r="14" spans="1:9" ht="14.5" x14ac:dyDescent="0.35">
      <c r="A14" s="181" t="s">
        <v>279</v>
      </c>
      <c r="B14" s="182"/>
      <c r="C14" s="182"/>
      <c r="D14" s="182"/>
      <c r="E14" s="183"/>
      <c r="F14" s="80" t="s">
        <v>280</v>
      </c>
      <c r="G14" s="80" t="s">
        <v>281</v>
      </c>
      <c r="H14" s="80" t="s">
        <v>282</v>
      </c>
      <c r="I14" s="80" t="s">
        <v>280</v>
      </c>
    </row>
    <row r="15" spans="1:9" ht="14.5" x14ac:dyDescent="0.35">
      <c r="A15" s="165" t="s">
        <v>247</v>
      </c>
      <c r="B15" s="166"/>
      <c r="C15" s="166"/>
      <c r="D15" s="166"/>
      <c r="E15" s="167"/>
      <c r="F15" s="81">
        <v>0</v>
      </c>
      <c r="G15" s="82" t="s">
        <v>47</v>
      </c>
      <c r="H15" s="82" t="s">
        <v>47</v>
      </c>
      <c r="I15" s="81">
        <f>F15</f>
        <v>0</v>
      </c>
    </row>
    <row r="16" spans="1:9" ht="14.5" x14ac:dyDescent="0.35">
      <c r="A16" s="165" t="s">
        <v>249</v>
      </c>
      <c r="B16" s="166"/>
      <c r="C16" s="166"/>
      <c r="D16" s="166"/>
      <c r="E16" s="167"/>
      <c r="F16" s="81">
        <v>0</v>
      </c>
      <c r="G16" s="82" t="s">
        <v>47</v>
      </c>
      <c r="H16" s="82" t="s">
        <v>47</v>
      </c>
      <c r="I16" s="81">
        <f>F16</f>
        <v>0</v>
      </c>
    </row>
    <row r="17" spans="1:9" ht="14.5" x14ac:dyDescent="0.35">
      <c r="A17" s="168" t="s">
        <v>252</v>
      </c>
      <c r="B17" s="169"/>
      <c r="C17" s="169"/>
      <c r="D17" s="169"/>
      <c r="E17" s="170"/>
      <c r="F17" s="83">
        <v>0</v>
      </c>
      <c r="G17" s="84" t="s">
        <v>47</v>
      </c>
      <c r="H17" s="84" t="s">
        <v>47</v>
      </c>
      <c r="I17" s="83">
        <f>F17</f>
        <v>0</v>
      </c>
    </row>
    <row r="18" spans="1:9" ht="14.5" x14ac:dyDescent="0.35">
      <c r="A18" s="171" t="s">
        <v>283</v>
      </c>
      <c r="B18" s="172"/>
      <c r="C18" s="172"/>
      <c r="D18" s="172"/>
      <c r="E18" s="173"/>
      <c r="F18" s="85" t="s">
        <v>47</v>
      </c>
      <c r="G18" s="86" t="s">
        <v>47</v>
      </c>
      <c r="H18" s="86" t="s">
        <v>47</v>
      </c>
      <c r="I18" s="87">
        <f>SUM(I15:I17)</f>
        <v>0</v>
      </c>
    </row>
    <row r="20" spans="1:9" ht="14.5" x14ac:dyDescent="0.35">
      <c r="A20" s="181" t="s">
        <v>244</v>
      </c>
      <c r="B20" s="182"/>
      <c r="C20" s="182"/>
      <c r="D20" s="182"/>
      <c r="E20" s="183"/>
      <c r="F20" s="80" t="s">
        <v>280</v>
      </c>
      <c r="G20" s="80" t="s">
        <v>281</v>
      </c>
      <c r="H20" s="80" t="s">
        <v>282</v>
      </c>
      <c r="I20" s="80" t="s">
        <v>280</v>
      </c>
    </row>
    <row r="21" spans="1:9" ht="14.5" x14ac:dyDescent="0.35">
      <c r="A21" s="165" t="s">
        <v>248</v>
      </c>
      <c r="B21" s="166"/>
      <c r="C21" s="166"/>
      <c r="D21" s="166"/>
      <c r="E21" s="167"/>
      <c r="F21" s="81">
        <v>0</v>
      </c>
      <c r="G21" s="82" t="s">
        <v>47</v>
      </c>
      <c r="H21" s="82" t="s">
        <v>47</v>
      </c>
      <c r="I21" s="81">
        <f t="shared" ref="I21:I26" si="0">F21</f>
        <v>0</v>
      </c>
    </row>
    <row r="22" spans="1:9" ht="14.5" x14ac:dyDescent="0.35">
      <c r="A22" s="165" t="s">
        <v>250</v>
      </c>
      <c r="B22" s="166"/>
      <c r="C22" s="166"/>
      <c r="D22" s="166"/>
      <c r="E22" s="167"/>
      <c r="F22" s="81">
        <v>0</v>
      </c>
      <c r="G22" s="82" t="s">
        <v>47</v>
      </c>
      <c r="H22" s="82" t="s">
        <v>47</v>
      </c>
      <c r="I22" s="81">
        <f t="shared" si="0"/>
        <v>0</v>
      </c>
    </row>
    <row r="23" spans="1:9" ht="14.5" x14ac:dyDescent="0.35">
      <c r="A23" s="165" t="s">
        <v>253</v>
      </c>
      <c r="B23" s="166"/>
      <c r="C23" s="166"/>
      <c r="D23" s="166"/>
      <c r="E23" s="167"/>
      <c r="F23" s="81">
        <v>0</v>
      </c>
      <c r="G23" s="82" t="s">
        <v>47</v>
      </c>
      <c r="H23" s="82" t="s">
        <v>47</v>
      </c>
      <c r="I23" s="81">
        <f t="shared" si="0"/>
        <v>0</v>
      </c>
    </row>
    <row r="24" spans="1:9" ht="14.5" x14ac:dyDescent="0.35">
      <c r="A24" s="165" t="s">
        <v>254</v>
      </c>
      <c r="B24" s="166"/>
      <c r="C24" s="166"/>
      <c r="D24" s="166"/>
      <c r="E24" s="167"/>
      <c r="F24" s="81">
        <v>0</v>
      </c>
      <c r="G24" s="82" t="s">
        <v>47</v>
      </c>
      <c r="H24" s="82" t="s">
        <v>47</v>
      </c>
      <c r="I24" s="81">
        <f t="shared" si="0"/>
        <v>0</v>
      </c>
    </row>
    <row r="25" spans="1:9" ht="14.5" x14ac:dyDescent="0.35">
      <c r="A25" s="165" t="s">
        <v>256</v>
      </c>
      <c r="B25" s="166"/>
      <c r="C25" s="166"/>
      <c r="D25" s="166"/>
      <c r="E25" s="167"/>
      <c r="F25" s="81">
        <v>0</v>
      </c>
      <c r="G25" s="82" t="s">
        <v>47</v>
      </c>
      <c r="H25" s="82" t="s">
        <v>47</v>
      </c>
      <c r="I25" s="81">
        <f t="shared" si="0"/>
        <v>0</v>
      </c>
    </row>
    <row r="26" spans="1:9" ht="14.5" x14ac:dyDescent="0.35">
      <c r="A26" s="168" t="s">
        <v>257</v>
      </c>
      <c r="B26" s="169"/>
      <c r="C26" s="169"/>
      <c r="D26" s="169"/>
      <c r="E26" s="170"/>
      <c r="F26" s="83">
        <v>0</v>
      </c>
      <c r="G26" s="84" t="s">
        <v>47</v>
      </c>
      <c r="H26" s="84" t="s">
        <v>47</v>
      </c>
      <c r="I26" s="83">
        <f t="shared" si="0"/>
        <v>0</v>
      </c>
    </row>
    <row r="27" spans="1:9" ht="14.5" x14ac:dyDescent="0.35">
      <c r="A27" s="171" t="s">
        <v>284</v>
      </c>
      <c r="B27" s="172"/>
      <c r="C27" s="172"/>
      <c r="D27" s="172"/>
      <c r="E27" s="173"/>
      <c r="F27" s="85" t="s">
        <v>47</v>
      </c>
      <c r="G27" s="86" t="s">
        <v>47</v>
      </c>
      <c r="H27" s="86" t="s">
        <v>47</v>
      </c>
      <c r="I27" s="87">
        <f>SUM(I21:I26)</f>
        <v>0</v>
      </c>
    </row>
    <row r="29" spans="1:9" ht="15.5" x14ac:dyDescent="0.35">
      <c r="A29" s="174" t="s">
        <v>285</v>
      </c>
      <c r="B29" s="175"/>
      <c r="C29" s="175"/>
      <c r="D29" s="175"/>
      <c r="E29" s="176"/>
      <c r="F29" s="177">
        <f>I18+I27</f>
        <v>0</v>
      </c>
      <c r="G29" s="178"/>
      <c r="H29" s="178"/>
      <c r="I29" s="179"/>
    </row>
    <row r="33" spans="1:9" ht="15.5" x14ac:dyDescent="0.35">
      <c r="A33" s="180" t="s">
        <v>286</v>
      </c>
      <c r="B33" s="180"/>
      <c r="C33" s="180"/>
      <c r="D33" s="180"/>
      <c r="E33" s="180"/>
    </row>
    <row r="34" spans="1:9" ht="14.5" x14ac:dyDescent="0.35">
      <c r="A34" s="181" t="s">
        <v>287</v>
      </c>
      <c r="B34" s="182"/>
      <c r="C34" s="182"/>
      <c r="D34" s="182"/>
      <c r="E34" s="183"/>
      <c r="F34" s="80" t="s">
        <v>280</v>
      </c>
      <c r="G34" s="80" t="s">
        <v>281</v>
      </c>
      <c r="H34" s="80" t="s">
        <v>282</v>
      </c>
      <c r="I34" s="80" t="s">
        <v>280</v>
      </c>
    </row>
    <row r="35" spans="1:9" ht="14.5" x14ac:dyDescent="0.35">
      <c r="A35" s="165" t="s">
        <v>154</v>
      </c>
      <c r="B35" s="166"/>
      <c r="C35" s="166"/>
      <c r="D35" s="166"/>
      <c r="E35" s="167"/>
      <c r="F35" s="81">
        <f>SUM('Stavební rozpočet'!BM12:BM212)</f>
        <v>0</v>
      </c>
      <c r="G35" s="82" t="s">
        <v>47</v>
      </c>
      <c r="H35" s="82" t="s">
        <v>47</v>
      </c>
      <c r="I35" s="81">
        <f t="shared" ref="I35:I44" si="1">F35</f>
        <v>0</v>
      </c>
    </row>
    <row r="36" spans="1:9" ht="14.5" x14ac:dyDescent="0.35">
      <c r="A36" s="165" t="s">
        <v>288</v>
      </c>
      <c r="B36" s="166"/>
      <c r="C36" s="166"/>
      <c r="D36" s="166"/>
      <c r="E36" s="167"/>
      <c r="F36" s="81">
        <f>SUM('Stavební rozpočet'!BN12:BN212)</f>
        <v>0</v>
      </c>
      <c r="G36" s="82" t="s">
        <v>47</v>
      </c>
      <c r="H36" s="82" t="s">
        <v>47</v>
      </c>
      <c r="I36" s="81">
        <f t="shared" si="1"/>
        <v>0</v>
      </c>
    </row>
    <row r="37" spans="1:9" ht="14.5" x14ac:dyDescent="0.35">
      <c r="A37" s="165" t="s">
        <v>248</v>
      </c>
      <c r="B37" s="166"/>
      <c r="C37" s="166"/>
      <c r="D37" s="166"/>
      <c r="E37" s="167"/>
      <c r="F37" s="81">
        <f>SUM('Stavební rozpočet'!BO12:BO212)</f>
        <v>0</v>
      </c>
      <c r="G37" s="82" t="s">
        <v>47</v>
      </c>
      <c r="H37" s="82" t="s">
        <v>47</v>
      </c>
      <c r="I37" s="81">
        <f t="shared" si="1"/>
        <v>0</v>
      </c>
    </row>
    <row r="38" spans="1:9" ht="14.5" x14ac:dyDescent="0.35">
      <c r="A38" s="165" t="s">
        <v>289</v>
      </c>
      <c r="B38" s="166"/>
      <c r="C38" s="166"/>
      <c r="D38" s="166"/>
      <c r="E38" s="167"/>
      <c r="F38" s="81">
        <f>SUM('Stavební rozpočet'!BP12:BP212)</f>
        <v>0</v>
      </c>
      <c r="G38" s="82" t="s">
        <v>47</v>
      </c>
      <c r="H38" s="82" t="s">
        <v>47</v>
      </c>
      <c r="I38" s="81">
        <f t="shared" si="1"/>
        <v>0</v>
      </c>
    </row>
    <row r="39" spans="1:9" ht="14.5" x14ac:dyDescent="0.35">
      <c r="A39" s="165" t="s">
        <v>290</v>
      </c>
      <c r="B39" s="166"/>
      <c r="C39" s="166"/>
      <c r="D39" s="166"/>
      <c r="E39" s="167"/>
      <c r="F39" s="81">
        <f>SUM('Stavební rozpočet'!BQ12:BQ212)</f>
        <v>0</v>
      </c>
      <c r="G39" s="82" t="s">
        <v>47</v>
      </c>
      <c r="H39" s="82" t="s">
        <v>47</v>
      </c>
      <c r="I39" s="81">
        <f t="shared" si="1"/>
        <v>0</v>
      </c>
    </row>
    <row r="40" spans="1:9" ht="14.5" x14ac:dyDescent="0.35">
      <c r="A40" s="165" t="s">
        <v>253</v>
      </c>
      <c r="B40" s="166"/>
      <c r="C40" s="166"/>
      <c r="D40" s="166"/>
      <c r="E40" s="167"/>
      <c r="F40" s="81">
        <f>SUM('Stavební rozpočet'!BR12:BR212)</f>
        <v>0</v>
      </c>
      <c r="G40" s="82" t="s">
        <v>47</v>
      </c>
      <c r="H40" s="82" t="s">
        <v>47</v>
      </c>
      <c r="I40" s="81">
        <f t="shared" si="1"/>
        <v>0</v>
      </c>
    </row>
    <row r="41" spans="1:9" ht="14.5" x14ac:dyDescent="0.35">
      <c r="A41" s="165" t="s">
        <v>254</v>
      </c>
      <c r="B41" s="166"/>
      <c r="C41" s="166"/>
      <c r="D41" s="166"/>
      <c r="E41" s="167"/>
      <c r="F41" s="81">
        <f>SUM('Stavební rozpočet'!BS12:BS212)</f>
        <v>0</v>
      </c>
      <c r="G41" s="82" t="s">
        <v>47</v>
      </c>
      <c r="H41" s="82" t="s">
        <v>47</v>
      </c>
      <c r="I41" s="81">
        <f t="shared" si="1"/>
        <v>0</v>
      </c>
    </row>
    <row r="42" spans="1:9" ht="14.5" x14ac:dyDescent="0.35">
      <c r="A42" s="165" t="s">
        <v>162</v>
      </c>
      <c r="B42" s="166"/>
      <c r="C42" s="166"/>
      <c r="D42" s="166"/>
      <c r="E42" s="167"/>
      <c r="F42" s="81">
        <f>SUM('Stavební rozpočet'!BT12:BT212)</f>
        <v>0</v>
      </c>
      <c r="G42" s="82" t="s">
        <v>47</v>
      </c>
      <c r="H42" s="82" t="s">
        <v>47</v>
      </c>
      <c r="I42" s="81">
        <f t="shared" si="1"/>
        <v>0</v>
      </c>
    </row>
    <row r="43" spans="1:9" ht="14.5" x14ac:dyDescent="0.35">
      <c r="A43" s="165" t="s">
        <v>291</v>
      </c>
      <c r="B43" s="166"/>
      <c r="C43" s="166"/>
      <c r="D43" s="166"/>
      <c r="E43" s="167"/>
      <c r="F43" s="81">
        <f>SUM('Stavební rozpočet'!BU12:BU212)</f>
        <v>0</v>
      </c>
      <c r="G43" s="82" t="s">
        <v>47</v>
      </c>
      <c r="H43" s="82" t="s">
        <v>47</v>
      </c>
      <c r="I43" s="81">
        <f t="shared" si="1"/>
        <v>0</v>
      </c>
    </row>
    <row r="44" spans="1:9" ht="14.5" x14ac:dyDescent="0.35">
      <c r="A44" s="168" t="s">
        <v>292</v>
      </c>
      <c r="B44" s="169"/>
      <c r="C44" s="169"/>
      <c r="D44" s="169"/>
      <c r="E44" s="170"/>
      <c r="F44" s="83">
        <f>SUM('Stavební rozpočet'!BV12:BV212)</f>
        <v>0</v>
      </c>
      <c r="G44" s="84" t="s">
        <v>47</v>
      </c>
      <c r="H44" s="84" t="s">
        <v>47</v>
      </c>
      <c r="I44" s="83">
        <f t="shared" si="1"/>
        <v>0</v>
      </c>
    </row>
    <row r="45" spans="1:9" ht="14.5" x14ac:dyDescent="0.35">
      <c r="A45" s="171" t="s">
        <v>293</v>
      </c>
      <c r="B45" s="172"/>
      <c r="C45" s="172"/>
      <c r="D45" s="172"/>
      <c r="E45" s="173"/>
      <c r="F45" s="85" t="s">
        <v>47</v>
      </c>
      <c r="G45" s="86" t="s">
        <v>47</v>
      </c>
      <c r="H45" s="86" t="s">
        <v>47</v>
      </c>
      <c r="I45" s="87">
        <f>SUM(I35:I44)</f>
        <v>0</v>
      </c>
    </row>
  </sheetData>
  <mergeCells count="60">
    <mergeCell ref="A1:I1"/>
    <mergeCell ref="A2:B3"/>
    <mergeCell ref="A4:B5"/>
    <mergeCell ref="A6:B7"/>
    <mergeCell ref="A8:B9"/>
    <mergeCell ref="H2:H3"/>
    <mergeCell ref="H4:H5"/>
    <mergeCell ref="H6:H7"/>
    <mergeCell ref="H8:H9"/>
    <mergeCell ref="I2:I3"/>
    <mergeCell ref="I4:I5"/>
    <mergeCell ref="I6:I7"/>
    <mergeCell ref="I8:I9"/>
    <mergeCell ref="E2:E3"/>
    <mergeCell ref="E4:E5"/>
    <mergeCell ref="E6:E7"/>
    <mergeCell ref="E8:E9"/>
    <mergeCell ref="E10:E11"/>
    <mergeCell ref="F2:G3"/>
    <mergeCell ref="F4:G5"/>
    <mergeCell ref="F6:G7"/>
    <mergeCell ref="F8:G9"/>
    <mergeCell ref="F10:G11"/>
    <mergeCell ref="C2:D3"/>
    <mergeCell ref="C4:D5"/>
    <mergeCell ref="C6:D7"/>
    <mergeCell ref="C8:D9"/>
    <mergeCell ref="C10:D11"/>
    <mergeCell ref="I10:I11"/>
    <mergeCell ref="A13:E13"/>
    <mergeCell ref="A14:E14"/>
    <mergeCell ref="A15:E15"/>
    <mergeCell ref="A16:E16"/>
    <mergeCell ref="H10:H11"/>
    <mergeCell ref="A10:B11"/>
    <mergeCell ref="A17:E17"/>
    <mergeCell ref="A18:E18"/>
    <mergeCell ref="A20:E20"/>
    <mergeCell ref="A21:E21"/>
    <mergeCell ref="A22:E22"/>
    <mergeCell ref="A23:E23"/>
    <mergeCell ref="A24:E24"/>
    <mergeCell ref="A25:E25"/>
    <mergeCell ref="A26:E26"/>
    <mergeCell ref="A27:E27"/>
    <mergeCell ref="A29:E29"/>
    <mergeCell ref="F29:I29"/>
    <mergeCell ref="A33:E33"/>
    <mergeCell ref="A34:E34"/>
    <mergeCell ref="A35:E35"/>
    <mergeCell ref="A36:E36"/>
    <mergeCell ref="A37:E37"/>
    <mergeCell ref="A38:E38"/>
    <mergeCell ref="A39:E39"/>
    <mergeCell ref="A40:E40"/>
    <mergeCell ref="A41:E41"/>
    <mergeCell ref="A42:E42"/>
    <mergeCell ref="A43:E43"/>
    <mergeCell ref="A44:E44"/>
    <mergeCell ref="A45:E45"/>
  </mergeCells>
  <pageMargins left="0.393999993801117" right="0.393999993801117" top="0.59100002050399802" bottom="0.59100002050399802" header="0" footer="0"/>
  <pageSetup fitToHeight="0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11</vt:i4>
      </vt:variant>
      <vt:variant>
        <vt:lpstr>Pojmenované oblasti</vt:lpstr>
      </vt:variant>
      <vt:variant>
        <vt:i4>1</vt:i4>
      </vt:variant>
    </vt:vector>
  </HeadingPairs>
  <TitlesOfParts>
    <vt:vector size="12" baseType="lpstr">
      <vt:lpstr>Stavební rozpočet</vt:lpstr>
      <vt:lpstr>Stavební rozpočet - součet</vt:lpstr>
      <vt:lpstr>Výkaz výměr</vt:lpstr>
      <vt:lpstr>Krycí list rozpočtu</vt:lpstr>
      <vt:lpstr>VORN</vt:lpstr>
      <vt:lpstr>Krycí list rozpočtu (1)</vt:lpstr>
      <vt:lpstr>VORN objektu (1)</vt:lpstr>
      <vt:lpstr>Krycí list rozpočtu (2)</vt:lpstr>
      <vt:lpstr>VORN objektu (2)</vt:lpstr>
      <vt:lpstr>Krycí list rozpočtu (3)</vt:lpstr>
      <vt:lpstr>VORN objektu (3)</vt:lpstr>
      <vt:lpstr>vorn_sum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tydla</cp:lastModifiedBy>
  <dcterms:created xsi:type="dcterms:W3CDTF">2021-06-10T20:06:38Z</dcterms:created>
  <dcterms:modified xsi:type="dcterms:W3CDTF">2026-03-24T16:36:00Z</dcterms:modified>
</cp:coreProperties>
</file>