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6\Odpočívadla\"/>
    </mc:Choice>
  </mc:AlternateContent>
  <xr:revisionPtr revIDLastSave="0" documentId="8_{EB78D536-B8EC-456F-82C3-474CA1413CA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rycí list rozpočtu" sheetId="3" r:id="rId1"/>
    <sheet name="Stavební rozpočet - součet" sheetId="2" r:id="rId2"/>
    <sheet name="Stavební rozpočet" sheetId="1" r:id="rId3"/>
    <sheet name="VORN" sheetId="4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4" l="1"/>
  <c r="F44" i="4"/>
  <c r="F43" i="4"/>
  <c r="I43" i="4" s="1"/>
  <c r="F42" i="4"/>
  <c r="I42" i="4" s="1"/>
  <c r="I41" i="4"/>
  <c r="F41" i="4"/>
  <c r="I39" i="4"/>
  <c r="F39" i="4"/>
  <c r="F38" i="4"/>
  <c r="I38" i="4" s="1"/>
  <c r="F37" i="4"/>
  <c r="I37" i="4" s="1"/>
  <c r="F36" i="4"/>
  <c r="I36" i="4" s="1"/>
  <c r="F35" i="4"/>
  <c r="I35" i="4" s="1"/>
  <c r="I26" i="4"/>
  <c r="I25" i="4"/>
  <c r="I18" i="3" s="1"/>
  <c r="I24" i="4"/>
  <c r="I23" i="4"/>
  <c r="I16" i="3" s="1"/>
  <c r="I22" i="4"/>
  <c r="I27" i="4" s="1"/>
  <c r="F29" i="4" s="1"/>
  <c r="I21" i="4"/>
  <c r="I17" i="4"/>
  <c r="I16" i="4"/>
  <c r="I15" i="4"/>
  <c r="I18" i="4" s="1"/>
  <c r="I10" i="4"/>
  <c r="F10" i="4"/>
  <c r="C10" i="4"/>
  <c r="F8" i="4"/>
  <c r="C8" i="4"/>
  <c r="F6" i="4"/>
  <c r="C6" i="4"/>
  <c r="F4" i="4"/>
  <c r="C4" i="4"/>
  <c r="F2" i="4"/>
  <c r="C2" i="4"/>
  <c r="I19" i="3"/>
  <c r="I17" i="3"/>
  <c r="F16" i="3"/>
  <c r="F15" i="3"/>
  <c r="I14" i="3"/>
  <c r="I10" i="3"/>
  <c r="F10" i="3"/>
  <c r="C10" i="3"/>
  <c r="F8" i="3"/>
  <c r="C8" i="3"/>
  <c r="F6" i="3"/>
  <c r="C6" i="3"/>
  <c r="F4" i="3"/>
  <c r="C4" i="3"/>
  <c r="F2" i="3"/>
  <c r="C2" i="3"/>
  <c r="I23" i="2"/>
  <c r="G8" i="2"/>
  <c r="C8" i="2"/>
  <c r="G6" i="2"/>
  <c r="C6" i="2"/>
  <c r="G4" i="2"/>
  <c r="C4" i="2"/>
  <c r="G2" i="2"/>
  <c r="C2" i="2"/>
  <c r="BR93" i="1"/>
  <c r="F40" i="4" s="1"/>
  <c r="I40" i="4" s="1"/>
  <c r="BJ93" i="1"/>
  <c r="BF93" i="1"/>
  <c r="BD93" i="1"/>
  <c r="AP93" i="1"/>
  <c r="I93" i="1" s="1"/>
  <c r="I92" i="1" s="1"/>
  <c r="AO93" i="1"/>
  <c r="AK93" i="1"/>
  <c r="AJ93" i="1"/>
  <c r="AH93" i="1"/>
  <c r="AG93" i="1"/>
  <c r="AF93" i="1"/>
  <c r="AE93" i="1"/>
  <c r="AD93" i="1"/>
  <c r="AC93" i="1"/>
  <c r="AB93" i="1"/>
  <c r="Z93" i="1"/>
  <c r="J93" i="1"/>
  <c r="AL93" i="1" s="1"/>
  <c r="AU92" i="1" s="1"/>
  <c r="AT92" i="1"/>
  <c r="AS92" i="1"/>
  <c r="J92" i="1"/>
  <c r="G24" i="2" s="1"/>
  <c r="I24" i="2" s="1"/>
  <c r="BJ89" i="1"/>
  <c r="BF89" i="1"/>
  <c r="BD89" i="1"/>
  <c r="AX89" i="1"/>
  <c r="AP89" i="1"/>
  <c r="BI89" i="1" s="1"/>
  <c r="AE89" i="1" s="1"/>
  <c r="AO89" i="1"/>
  <c r="AW89" i="1" s="1"/>
  <c r="AK89" i="1"/>
  <c r="AJ89" i="1"/>
  <c r="AH89" i="1"/>
  <c r="AG89" i="1"/>
  <c r="AF89" i="1"/>
  <c r="AC89" i="1"/>
  <c r="AB89" i="1"/>
  <c r="Z89" i="1"/>
  <c r="J89" i="1"/>
  <c r="AL89" i="1" s="1"/>
  <c r="I89" i="1"/>
  <c r="BJ84" i="1"/>
  <c r="BF84" i="1"/>
  <c r="BD84" i="1"/>
  <c r="AP84" i="1"/>
  <c r="BI84" i="1" s="1"/>
  <c r="AE84" i="1" s="1"/>
  <c r="AO84" i="1"/>
  <c r="BH84" i="1" s="1"/>
  <c r="AD84" i="1" s="1"/>
  <c r="AK84" i="1"/>
  <c r="AT83" i="1" s="1"/>
  <c r="AJ84" i="1"/>
  <c r="AH84" i="1"/>
  <c r="AG84" i="1"/>
  <c r="AF84" i="1"/>
  <c r="AC84" i="1"/>
  <c r="AB84" i="1"/>
  <c r="Z84" i="1"/>
  <c r="J84" i="1"/>
  <c r="J83" i="1" s="1"/>
  <c r="G22" i="2" s="1"/>
  <c r="I22" i="2" s="1"/>
  <c r="BJ81" i="1"/>
  <c r="Z81" i="1" s="1"/>
  <c r="BF81" i="1"/>
  <c r="BD81" i="1"/>
  <c r="AP81" i="1"/>
  <c r="AX81" i="1" s="1"/>
  <c r="AO81" i="1"/>
  <c r="BH81" i="1" s="1"/>
  <c r="AK81" i="1"/>
  <c r="AJ81" i="1"/>
  <c r="AH81" i="1"/>
  <c r="AG81" i="1"/>
  <c r="AF81" i="1"/>
  <c r="AE81" i="1"/>
  <c r="AD81" i="1"/>
  <c r="AC81" i="1"/>
  <c r="AB81" i="1"/>
  <c r="J81" i="1"/>
  <c r="AL81" i="1" s="1"/>
  <c r="BJ79" i="1"/>
  <c r="BI79" i="1"/>
  <c r="BH79" i="1"/>
  <c r="BF79" i="1"/>
  <c r="BD79" i="1"/>
  <c r="AW79" i="1"/>
  <c r="AP79" i="1"/>
  <c r="AX79" i="1" s="1"/>
  <c r="AO79" i="1"/>
  <c r="AK79" i="1"/>
  <c r="AJ79" i="1"/>
  <c r="AH79" i="1"/>
  <c r="AG79" i="1"/>
  <c r="AF79" i="1"/>
  <c r="AE79" i="1"/>
  <c r="AD79" i="1"/>
  <c r="AC79" i="1"/>
  <c r="AB79" i="1"/>
  <c r="Z79" i="1"/>
  <c r="J79" i="1"/>
  <c r="I79" i="1"/>
  <c r="H79" i="1"/>
  <c r="BJ77" i="1"/>
  <c r="BF77" i="1"/>
  <c r="BD77" i="1"/>
  <c r="AP77" i="1"/>
  <c r="BI77" i="1" s="1"/>
  <c r="AE77" i="1" s="1"/>
  <c r="AO77" i="1"/>
  <c r="AK77" i="1"/>
  <c r="AJ77" i="1"/>
  <c r="AS76" i="1" s="1"/>
  <c r="AH77" i="1"/>
  <c r="AG77" i="1"/>
  <c r="AF77" i="1"/>
  <c r="AC77" i="1"/>
  <c r="AB77" i="1"/>
  <c r="Z77" i="1"/>
  <c r="J77" i="1"/>
  <c r="AL77" i="1" s="1"/>
  <c r="BJ74" i="1"/>
  <c r="Z74" i="1" s="1"/>
  <c r="BI74" i="1"/>
  <c r="BF74" i="1"/>
  <c r="BD74" i="1"/>
  <c r="AP74" i="1"/>
  <c r="I74" i="1" s="1"/>
  <c r="AO74" i="1"/>
  <c r="BH74" i="1" s="1"/>
  <c r="AK74" i="1"/>
  <c r="AJ74" i="1"/>
  <c r="AH74" i="1"/>
  <c r="AG74" i="1"/>
  <c r="AF74" i="1"/>
  <c r="AE74" i="1"/>
  <c r="AD74" i="1"/>
  <c r="AC74" i="1"/>
  <c r="AB74" i="1"/>
  <c r="J74" i="1"/>
  <c r="AL74" i="1" s="1"/>
  <c r="BJ72" i="1"/>
  <c r="BI72" i="1"/>
  <c r="AE72" i="1" s="1"/>
  <c r="BH72" i="1"/>
  <c r="AD72" i="1" s="1"/>
  <c r="BF72" i="1"/>
  <c r="BD72" i="1"/>
  <c r="AP72" i="1"/>
  <c r="AX72" i="1" s="1"/>
  <c r="AO72" i="1"/>
  <c r="H72" i="1" s="1"/>
  <c r="AK72" i="1"/>
  <c r="AJ72" i="1"/>
  <c r="AS71" i="1" s="1"/>
  <c r="AH72" i="1"/>
  <c r="AG72" i="1"/>
  <c r="AF72" i="1"/>
  <c r="AC72" i="1"/>
  <c r="AB72" i="1"/>
  <c r="Z72" i="1"/>
  <c r="J72" i="1"/>
  <c r="I72" i="1"/>
  <c r="BJ69" i="1"/>
  <c r="Z69" i="1" s="1"/>
  <c r="BF69" i="1"/>
  <c r="BD69" i="1"/>
  <c r="AP69" i="1"/>
  <c r="BI69" i="1" s="1"/>
  <c r="AO69" i="1"/>
  <c r="AW69" i="1" s="1"/>
  <c r="AL69" i="1"/>
  <c r="AK69" i="1"/>
  <c r="AJ69" i="1"/>
  <c r="AH69" i="1"/>
  <c r="AG69" i="1"/>
  <c r="AF69" i="1"/>
  <c r="AE69" i="1"/>
  <c r="AD69" i="1"/>
  <c r="AC69" i="1"/>
  <c r="AB69" i="1"/>
  <c r="J69" i="1"/>
  <c r="BJ67" i="1"/>
  <c r="BI67" i="1"/>
  <c r="AE67" i="1" s="1"/>
  <c r="BF67" i="1"/>
  <c r="BD67" i="1"/>
  <c r="AW67" i="1"/>
  <c r="AP67" i="1"/>
  <c r="I67" i="1" s="1"/>
  <c r="AO67" i="1"/>
  <c r="BH67" i="1" s="1"/>
  <c r="AK67" i="1"/>
  <c r="AJ67" i="1"/>
  <c r="AH67" i="1"/>
  <c r="AG67" i="1"/>
  <c r="AF67" i="1"/>
  <c r="AD67" i="1"/>
  <c r="AC67" i="1"/>
  <c r="AB67" i="1"/>
  <c r="Z67" i="1"/>
  <c r="J67" i="1"/>
  <c r="AL67" i="1" s="1"/>
  <c r="BJ65" i="1"/>
  <c r="BI65" i="1"/>
  <c r="AE65" i="1" s="1"/>
  <c r="BH65" i="1"/>
  <c r="AD65" i="1" s="1"/>
  <c r="BF65" i="1"/>
  <c r="BD65" i="1"/>
  <c r="AX65" i="1"/>
  <c r="AP65" i="1"/>
  <c r="I65" i="1" s="1"/>
  <c r="AO65" i="1"/>
  <c r="H65" i="1" s="1"/>
  <c r="AK65" i="1"/>
  <c r="AJ65" i="1"/>
  <c r="AH65" i="1"/>
  <c r="AG65" i="1"/>
  <c r="AF65" i="1"/>
  <c r="AC65" i="1"/>
  <c r="AB65" i="1"/>
  <c r="Z65" i="1"/>
  <c r="J65" i="1"/>
  <c r="AL65" i="1" s="1"/>
  <c r="BJ63" i="1"/>
  <c r="BF63" i="1"/>
  <c r="BD63" i="1"/>
  <c r="AP63" i="1"/>
  <c r="AO63" i="1"/>
  <c r="AL63" i="1"/>
  <c r="AK63" i="1"/>
  <c r="AJ63" i="1"/>
  <c r="AH63" i="1"/>
  <c r="AG63" i="1"/>
  <c r="AF63" i="1"/>
  <c r="AC63" i="1"/>
  <c r="AB63" i="1"/>
  <c r="Z63" i="1"/>
  <c r="J63" i="1"/>
  <c r="BJ61" i="1"/>
  <c r="BI61" i="1"/>
  <c r="AE61" i="1" s="1"/>
  <c r="BF61" i="1"/>
  <c r="BD61" i="1"/>
  <c r="AX61" i="1"/>
  <c r="AP61" i="1"/>
  <c r="I61" i="1" s="1"/>
  <c r="AO61" i="1"/>
  <c r="AW61" i="1" s="1"/>
  <c r="AL61" i="1"/>
  <c r="AK61" i="1"/>
  <c r="AJ61" i="1"/>
  <c r="AH61" i="1"/>
  <c r="AG61" i="1"/>
  <c r="AF61" i="1"/>
  <c r="AC61" i="1"/>
  <c r="AB61" i="1"/>
  <c r="Z61" i="1"/>
  <c r="J61" i="1"/>
  <c r="H61" i="1"/>
  <c r="BJ59" i="1"/>
  <c r="BI59" i="1"/>
  <c r="AE59" i="1" s="1"/>
  <c r="BF59" i="1"/>
  <c r="BD59" i="1"/>
  <c r="AX59" i="1"/>
  <c r="AP59" i="1"/>
  <c r="AO59" i="1"/>
  <c r="BH59" i="1" s="1"/>
  <c r="AD59" i="1" s="1"/>
  <c r="AK59" i="1"/>
  <c r="AJ59" i="1"/>
  <c r="AH59" i="1"/>
  <c r="AG59" i="1"/>
  <c r="AF59" i="1"/>
  <c r="AC59" i="1"/>
  <c r="AB59" i="1"/>
  <c r="Z59" i="1"/>
  <c r="J59" i="1"/>
  <c r="AL59" i="1" s="1"/>
  <c r="I59" i="1"/>
  <c r="BJ57" i="1"/>
  <c r="BI57" i="1"/>
  <c r="AE57" i="1" s="1"/>
  <c r="BF57" i="1"/>
  <c r="BD57" i="1"/>
  <c r="AX57" i="1"/>
  <c r="AP57" i="1"/>
  <c r="I57" i="1" s="1"/>
  <c r="AO57" i="1"/>
  <c r="H57" i="1" s="1"/>
  <c r="AK57" i="1"/>
  <c r="AJ57" i="1"/>
  <c r="AH57" i="1"/>
  <c r="AG57" i="1"/>
  <c r="AF57" i="1"/>
  <c r="AC57" i="1"/>
  <c r="AB57" i="1"/>
  <c r="Z57" i="1"/>
  <c r="J57" i="1"/>
  <c r="AL57" i="1" s="1"/>
  <c r="BJ55" i="1"/>
  <c r="BF55" i="1"/>
  <c r="BD55" i="1"/>
  <c r="AP55" i="1"/>
  <c r="AO55" i="1"/>
  <c r="AL55" i="1"/>
  <c r="AK55" i="1"/>
  <c r="AJ55" i="1"/>
  <c r="AH55" i="1"/>
  <c r="AG55" i="1"/>
  <c r="AF55" i="1"/>
  <c r="AC55" i="1"/>
  <c r="AB55" i="1"/>
  <c r="Z55" i="1"/>
  <c r="J55" i="1"/>
  <c r="BJ51" i="1"/>
  <c r="BI51" i="1"/>
  <c r="AE51" i="1" s="1"/>
  <c r="BF51" i="1"/>
  <c r="BD51" i="1"/>
  <c r="AX51" i="1"/>
  <c r="AP51" i="1"/>
  <c r="I51" i="1" s="1"/>
  <c r="AO51" i="1"/>
  <c r="AW51" i="1" s="1"/>
  <c r="AL51" i="1"/>
  <c r="AK51" i="1"/>
  <c r="AJ51" i="1"/>
  <c r="AH51" i="1"/>
  <c r="AG51" i="1"/>
  <c r="AF51" i="1"/>
  <c r="AC51" i="1"/>
  <c r="AB51" i="1"/>
  <c r="Z51" i="1"/>
  <c r="J51" i="1"/>
  <c r="H51" i="1"/>
  <c r="BJ46" i="1"/>
  <c r="BI46" i="1"/>
  <c r="AE46" i="1" s="1"/>
  <c r="BF46" i="1"/>
  <c r="BD46" i="1"/>
  <c r="AX46" i="1"/>
  <c r="AP46" i="1"/>
  <c r="AO46" i="1"/>
  <c r="BH46" i="1" s="1"/>
  <c r="AD46" i="1" s="1"/>
  <c r="AL46" i="1"/>
  <c r="AK46" i="1"/>
  <c r="AJ46" i="1"/>
  <c r="AH46" i="1"/>
  <c r="AG46" i="1"/>
  <c r="AF46" i="1"/>
  <c r="AC46" i="1"/>
  <c r="AB46" i="1"/>
  <c r="Z46" i="1"/>
  <c r="J46" i="1"/>
  <c r="I46" i="1"/>
  <c r="BJ43" i="1"/>
  <c r="BH43" i="1"/>
  <c r="AD43" i="1" s="1"/>
  <c r="BF43" i="1"/>
  <c r="BD43" i="1"/>
  <c r="AX43" i="1"/>
  <c r="AP43" i="1"/>
  <c r="I43" i="1" s="1"/>
  <c r="AO43" i="1"/>
  <c r="H43" i="1" s="1"/>
  <c r="AK43" i="1"/>
  <c r="AJ43" i="1"/>
  <c r="AH43" i="1"/>
  <c r="AG43" i="1"/>
  <c r="AF43" i="1"/>
  <c r="AC43" i="1"/>
  <c r="AB43" i="1"/>
  <c r="Z43" i="1"/>
  <c r="J43" i="1"/>
  <c r="BJ40" i="1"/>
  <c r="BI40" i="1"/>
  <c r="BF40" i="1"/>
  <c r="BD40" i="1"/>
  <c r="AP40" i="1"/>
  <c r="AX40" i="1" s="1"/>
  <c r="AO40" i="1"/>
  <c r="AW40" i="1" s="1"/>
  <c r="AK40" i="1"/>
  <c r="AJ40" i="1"/>
  <c r="AH40" i="1"/>
  <c r="AG40" i="1"/>
  <c r="AF40" i="1"/>
  <c r="AE40" i="1"/>
  <c r="AD40" i="1"/>
  <c r="AC40" i="1"/>
  <c r="AB40" i="1"/>
  <c r="Z40" i="1"/>
  <c r="J40" i="1"/>
  <c r="AL40" i="1" s="1"/>
  <c r="I40" i="1"/>
  <c r="BJ38" i="1"/>
  <c r="Z38" i="1" s="1"/>
  <c r="BF38" i="1"/>
  <c r="BD38" i="1"/>
  <c r="AX38" i="1"/>
  <c r="AP38" i="1"/>
  <c r="BI38" i="1" s="1"/>
  <c r="AO38" i="1"/>
  <c r="AW38" i="1" s="1"/>
  <c r="AV38" i="1" s="1"/>
  <c r="AL38" i="1"/>
  <c r="AK38" i="1"/>
  <c r="AJ38" i="1"/>
  <c r="AH38" i="1"/>
  <c r="AG38" i="1"/>
  <c r="AF38" i="1"/>
  <c r="AE38" i="1"/>
  <c r="AD38" i="1"/>
  <c r="AC38" i="1"/>
  <c r="AB38" i="1"/>
  <c r="J38" i="1"/>
  <c r="I38" i="1"/>
  <c r="BJ36" i="1"/>
  <c r="Z36" i="1" s="1"/>
  <c r="BF36" i="1"/>
  <c r="BD36" i="1"/>
  <c r="AP36" i="1"/>
  <c r="I36" i="1" s="1"/>
  <c r="AO36" i="1"/>
  <c r="BH36" i="1" s="1"/>
  <c r="AK36" i="1"/>
  <c r="AJ36" i="1"/>
  <c r="AH36" i="1"/>
  <c r="AG36" i="1"/>
  <c r="AF36" i="1"/>
  <c r="AE36" i="1"/>
  <c r="AD36" i="1"/>
  <c r="AC36" i="1"/>
  <c r="AB36" i="1"/>
  <c r="J36" i="1"/>
  <c r="AL36" i="1" s="1"/>
  <c r="BJ34" i="1"/>
  <c r="BF34" i="1"/>
  <c r="BD34" i="1"/>
  <c r="AP34" i="1"/>
  <c r="AO34" i="1"/>
  <c r="AK34" i="1"/>
  <c r="AJ34" i="1"/>
  <c r="AH34" i="1"/>
  <c r="AG34" i="1"/>
  <c r="AF34" i="1"/>
  <c r="AE34" i="1"/>
  <c r="AD34" i="1"/>
  <c r="AC34" i="1"/>
  <c r="AB34" i="1"/>
  <c r="Z34" i="1"/>
  <c r="J34" i="1"/>
  <c r="AL34" i="1" s="1"/>
  <c r="BJ32" i="1"/>
  <c r="BI32" i="1"/>
  <c r="BF32" i="1"/>
  <c r="BD32" i="1"/>
  <c r="AP32" i="1"/>
  <c r="AX32" i="1" s="1"/>
  <c r="AO32" i="1"/>
  <c r="AW32" i="1" s="1"/>
  <c r="AV32" i="1" s="1"/>
  <c r="AK32" i="1"/>
  <c r="AJ32" i="1"/>
  <c r="AH32" i="1"/>
  <c r="AG32" i="1"/>
  <c r="AF32" i="1"/>
  <c r="AE32" i="1"/>
  <c r="AD32" i="1"/>
  <c r="AC32" i="1"/>
  <c r="AB32" i="1"/>
  <c r="Z32" i="1"/>
  <c r="J32" i="1"/>
  <c r="J31" i="1" s="1"/>
  <c r="G18" i="2" s="1"/>
  <c r="I18" i="2" s="1"/>
  <c r="I32" i="1"/>
  <c r="BJ29" i="1"/>
  <c r="BF29" i="1"/>
  <c r="BD29" i="1"/>
  <c r="AP29" i="1"/>
  <c r="BI29" i="1" s="1"/>
  <c r="AC29" i="1" s="1"/>
  <c r="AO29" i="1"/>
  <c r="BH29" i="1" s="1"/>
  <c r="AB29" i="1" s="1"/>
  <c r="AK29" i="1"/>
  <c r="AT28" i="1" s="1"/>
  <c r="AJ29" i="1"/>
  <c r="AS28" i="1" s="1"/>
  <c r="AH29" i="1"/>
  <c r="AG29" i="1"/>
  <c r="AF29" i="1"/>
  <c r="AE29" i="1"/>
  <c r="AD29" i="1"/>
  <c r="Z29" i="1"/>
  <c r="J29" i="1"/>
  <c r="AL29" i="1" s="1"/>
  <c r="AU28" i="1" s="1"/>
  <c r="J28" i="1"/>
  <c r="G17" i="2" s="1"/>
  <c r="I17" i="2" s="1"/>
  <c r="E16" i="2"/>
  <c r="G16" i="2"/>
  <c r="I16" i="2" s="1"/>
  <c r="BJ27" i="1"/>
  <c r="BF27" i="1"/>
  <c r="BD27" i="1"/>
  <c r="AP27" i="1"/>
  <c r="AO27" i="1"/>
  <c r="AL27" i="1"/>
  <c r="AK27" i="1"/>
  <c r="AJ27" i="1"/>
  <c r="AH27" i="1"/>
  <c r="AG27" i="1"/>
  <c r="AF27" i="1"/>
  <c r="AE27" i="1"/>
  <c r="AD27" i="1"/>
  <c r="AC27" i="1"/>
  <c r="AB27" i="1"/>
  <c r="Z27" i="1"/>
  <c r="J27" i="1"/>
  <c r="BJ25" i="1"/>
  <c r="BH25" i="1"/>
  <c r="AB25" i="1" s="1"/>
  <c r="BF25" i="1"/>
  <c r="BD25" i="1"/>
  <c r="AX25" i="1"/>
  <c r="AW25" i="1"/>
  <c r="AV25" i="1" s="1"/>
  <c r="AP25" i="1"/>
  <c r="BI25" i="1" s="1"/>
  <c r="AC25" i="1" s="1"/>
  <c r="AO25" i="1"/>
  <c r="AK25" i="1"/>
  <c r="AT24" i="1" s="1"/>
  <c r="AJ25" i="1"/>
  <c r="AS24" i="1" s="1"/>
  <c r="AH25" i="1"/>
  <c r="AG25" i="1"/>
  <c r="AF25" i="1"/>
  <c r="AE25" i="1"/>
  <c r="AD25" i="1"/>
  <c r="Z25" i="1"/>
  <c r="J25" i="1"/>
  <c r="J24" i="1" s="1"/>
  <c r="G15" i="2" s="1"/>
  <c r="I15" i="2" s="1"/>
  <c r="I25" i="1"/>
  <c r="H25" i="1"/>
  <c r="BJ22" i="1"/>
  <c r="BF22" i="1"/>
  <c r="BD22" i="1"/>
  <c r="AP22" i="1"/>
  <c r="I22" i="1" s="1"/>
  <c r="I21" i="1" s="1"/>
  <c r="F14" i="2" s="1"/>
  <c r="AO22" i="1"/>
  <c r="H22" i="1" s="1"/>
  <c r="H21" i="1" s="1"/>
  <c r="E14" i="2" s="1"/>
  <c r="AK22" i="1"/>
  <c r="AT21" i="1" s="1"/>
  <c r="AJ22" i="1"/>
  <c r="AS21" i="1" s="1"/>
  <c r="AH22" i="1"/>
  <c r="AG22" i="1"/>
  <c r="AF22" i="1"/>
  <c r="AE22" i="1"/>
  <c r="AD22" i="1"/>
  <c r="Z22" i="1"/>
  <c r="J22" i="1"/>
  <c r="BJ19" i="1"/>
  <c r="BF19" i="1"/>
  <c r="BD19" i="1"/>
  <c r="AP19" i="1"/>
  <c r="AX19" i="1" s="1"/>
  <c r="AO19" i="1"/>
  <c r="AW19" i="1" s="1"/>
  <c r="AV19" i="1" s="1"/>
  <c r="AK19" i="1"/>
  <c r="AT18" i="1" s="1"/>
  <c r="AJ19" i="1"/>
  <c r="AH19" i="1"/>
  <c r="AG19" i="1"/>
  <c r="AF19" i="1"/>
  <c r="AE19" i="1"/>
  <c r="AD19" i="1"/>
  <c r="Z19" i="1"/>
  <c r="J19" i="1"/>
  <c r="J18" i="1" s="1"/>
  <c r="G13" i="2" s="1"/>
  <c r="I13" i="2" s="1"/>
  <c r="I19" i="1"/>
  <c r="I18" i="1" s="1"/>
  <c r="F13" i="2" s="1"/>
  <c r="AS18" i="1"/>
  <c r="BJ16" i="1"/>
  <c r="BF16" i="1"/>
  <c r="BD16" i="1"/>
  <c r="AP16" i="1"/>
  <c r="BI16" i="1" s="1"/>
  <c r="AC16" i="1" s="1"/>
  <c r="AO16" i="1"/>
  <c r="BH16" i="1" s="1"/>
  <c r="AB16" i="1" s="1"/>
  <c r="AK16" i="1"/>
  <c r="AT15" i="1" s="1"/>
  <c r="AJ16" i="1"/>
  <c r="AS15" i="1" s="1"/>
  <c r="AH16" i="1"/>
  <c r="AG16" i="1"/>
  <c r="AF16" i="1"/>
  <c r="AE16" i="1"/>
  <c r="AD16" i="1"/>
  <c r="Z16" i="1"/>
  <c r="J16" i="1"/>
  <c r="AL16" i="1" s="1"/>
  <c r="AU15" i="1" s="1"/>
  <c r="BJ13" i="1"/>
  <c r="BF13" i="1"/>
  <c r="BD13" i="1"/>
  <c r="AW13" i="1"/>
  <c r="AP13" i="1"/>
  <c r="AX13" i="1" s="1"/>
  <c r="AO13" i="1"/>
  <c r="BH13" i="1" s="1"/>
  <c r="AB13" i="1" s="1"/>
  <c r="AK13" i="1"/>
  <c r="AJ13" i="1"/>
  <c r="AH13" i="1"/>
  <c r="AG13" i="1"/>
  <c r="AF13" i="1"/>
  <c r="AE13" i="1"/>
  <c r="AD13" i="1"/>
  <c r="Z13" i="1"/>
  <c r="J13" i="1"/>
  <c r="AL13" i="1" s="1"/>
  <c r="H13" i="1"/>
  <c r="H12" i="1" s="1"/>
  <c r="E11" i="2" s="1"/>
  <c r="AT12" i="1"/>
  <c r="AS12" i="1"/>
  <c r="J12" i="1"/>
  <c r="G11" i="2" s="1"/>
  <c r="I11" i="2" s="1"/>
  <c r="AU1" i="1"/>
  <c r="AT1" i="1"/>
  <c r="AS1" i="1"/>
  <c r="AV89" i="1" l="1"/>
  <c r="BC89" i="1"/>
  <c r="AL84" i="1"/>
  <c r="AU83" i="1" s="1"/>
  <c r="AL25" i="1"/>
  <c r="AU24" i="1" s="1"/>
  <c r="BI36" i="1"/>
  <c r="BI43" i="1"/>
  <c r="AE43" i="1" s="1"/>
  <c r="BH51" i="1"/>
  <c r="AD51" i="1" s="1"/>
  <c r="BH57" i="1"/>
  <c r="AD57" i="1" s="1"/>
  <c r="BH61" i="1"/>
  <c r="AD61" i="1" s="1"/>
  <c r="H69" i="1"/>
  <c r="AX69" i="1"/>
  <c r="AT71" i="1"/>
  <c r="AW74" i="1"/>
  <c r="J76" i="1"/>
  <c r="G21" i="2" s="1"/>
  <c r="I21" i="2" s="1"/>
  <c r="AW81" i="1"/>
  <c r="AV81" i="1" s="1"/>
  <c r="AL19" i="1"/>
  <c r="AU18" i="1" s="1"/>
  <c r="AL32" i="1"/>
  <c r="AU31" i="1" s="1"/>
  <c r="AW46" i="1"/>
  <c r="AW59" i="1"/>
  <c r="I69" i="1"/>
  <c r="H74" i="1"/>
  <c r="H71" i="1" s="1"/>
  <c r="E20" i="2" s="1"/>
  <c r="AX74" i="1"/>
  <c r="BH89" i="1"/>
  <c r="AD89" i="1" s="1"/>
  <c r="BI93" i="1"/>
  <c r="AX22" i="1"/>
  <c r="C28" i="3"/>
  <c r="F28" i="3" s="1"/>
  <c r="J15" i="1"/>
  <c r="G12" i="2" s="1"/>
  <c r="I12" i="2" s="1"/>
  <c r="G25" i="2" s="1"/>
  <c r="BH22" i="1"/>
  <c r="AB22" i="1" s="1"/>
  <c r="H38" i="1"/>
  <c r="H46" i="1"/>
  <c r="I45" i="4"/>
  <c r="I24" i="3" s="1"/>
  <c r="AV69" i="1"/>
  <c r="BI22" i="1"/>
  <c r="AC22" i="1" s="1"/>
  <c r="AV40" i="1"/>
  <c r="AV51" i="1"/>
  <c r="H59" i="1"/>
  <c r="AV61" i="1"/>
  <c r="H67" i="1"/>
  <c r="AX67" i="1"/>
  <c r="BC67" i="1" s="1"/>
  <c r="BH69" i="1"/>
  <c r="H81" i="1"/>
  <c r="I71" i="1"/>
  <c r="F20" i="2" s="1"/>
  <c r="AT76" i="1"/>
  <c r="AV13" i="1"/>
  <c r="BH38" i="1"/>
  <c r="AS83" i="1"/>
  <c r="H89" i="1"/>
  <c r="J91" i="1"/>
  <c r="G23" i="2" s="1"/>
  <c r="AX93" i="1"/>
  <c r="AS42" i="1"/>
  <c r="BH27" i="1"/>
  <c r="AW27" i="1"/>
  <c r="H27" i="1"/>
  <c r="H24" i="1" s="1"/>
  <c r="E15" i="2" s="1"/>
  <c r="BC51" i="1"/>
  <c r="AU12" i="1"/>
  <c r="AL22" i="1"/>
  <c r="AU21" i="1" s="1"/>
  <c r="J21" i="1"/>
  <c r="G14" i="2" s="1"/>
  <c r="I14" i="2" s="1"/>
  <c r="I81" i="1"/>
  <c r="C21" i="3"/>
  <c r="BC13" i="1"/>
  <c r="BH19" i="1"/>
  <c r="AB19" i="1" s="1"/>
  <c r="C14" i="3" s="1"/>
  <c r="BH63" i="1"/>
  <c r="AD63" i="1" s="1"/>
  <c r="AW63" i="1"/>
  <c r="H63" i="1"/>
  <c r="BC79" i="1"/>
  <c r="BI27" i="1"/>
  <c r="I27" i="1"/>
  <c r="I24" i="1" s="1"/>
  <c r="F15" i="2" s="1"/>
  <c r="AX27" i="1"/>
  <c r="BC61" i="1"/>
  <c r="BH55" i="1"/>
  <c r="AD55" i="1" s="1"/>
  <c r="H55" i="1"/>
  <c r="AW55" i="1"/>
  <c r="I13" i="1"/>
  <c r="I12" i="1" s="1"/>
  <c r="F11" i="2" s="1"/>
  <c r="BC38" i="1"/>
  <c r="BC40" i="1"/>
  <c r="BH32" i="1"/>
  <c r="BH40" i="1"/>
  <c r="AT42" i="1"/>
  <c r="BC59" i="1"/>
  <c r="AV59" i="1"/>
  <c r="BC81" i="1"/>
  <c r="BI13" i="1"/>
  <c r="AC13" i="1" s="1"/>
  <c r="BI55" i="1"/>
  <c r="AE55" i="1" s="1"/>
  <c r="AX55" i="1"/>
  <c r="I55" i="1"/>
  <c r="I42" i="1" s="1"/>
  <c r="F19" i="2" s="1"/>
  <c r="BC46" i="1"/>
  <c r="AV46" i="1"/>
  <c r="H34" i="1"/>
  <c r="BH34" i="1"/>
  <c r="BC32" i="1"/>
  <c r="AW34" i="1"/>
  <c r="F16" i="2"/>
  <c r="C19" i="3"/>
  <c r="BI63" i="1"/>
  <c r="AE63" i="1" s="1"/>
  <c r="C17" i="3" s="1"/>
  <c r="AX63" i="1"/>
  <c r="I63" i="1"/>
  <c r="AT31" i="1"/>
  <c r="I91" i="1"/>
  <c r="F23" i="2" s="1"/>
  <c r="F24" i="2"/>
  <c r="H19" i="1"/>
  <c r="H18" i="1" s="1"/>
  <c r="E13" i="2" s="1"/>
  <c r="J42" i="1"/>
  <c r="G19" i="2" s="1"/>
  <c r="I19" i="2" s="1"/>
  <c r="AL43" i="1"/>
  <c r="AU42" i="1" s="1"/>
  <c r="BH77" i="1"/>
  <c r="AD77" i="1" s="1"/>
  <c r="H77" i="1"/>
  <c r="H76" i="1" s="1"/>
  <c r="E21" i="2" s="1"/>
  <c r="AW77" i="1"/>
  <c r="BC19" i="1"/>
  <c r="AS31" i="1"/>
  <c r="BC25" i="1"/>
  <c r="BH93" i="1"/>
  <c r="H93" i="1"/>
  <c r="H92" i="1" s="1"/>
  <c r="AW93" i="1"/>
  <c r="BI34" i="1"/>
  <c r="AX34" i="1"/>
  <c r="I34" i="1"/>
  <c r="I31" i="1" s="1"/>
  <c r="F18" i="2" s="1"/>
  <c r="J71" i="1"/>
  <c r="G20" i="2" s="1"/>
  <c r="I20" i="2" s="1"/>
  <c r="AL72" i="1"/>
  <c r="AU71" i="1" s="1"/>
  <c r="C18" i="3"/>
  <c r="H32" i="1"/>
  <c r="C20" i="3"/>
  <c r="BC69" i="1"/>
  <c r="BI81" i="1"/>
  <c r="H40" i="1"/>
  <c r="C27" i="3"/>
  <c r="AW16" i="1"/>
  <c r="AW29" i="1"/>
  <c r="AX77" i="1"/>
  <c r="AL79" i="1"/>
  <c r="C29" i="3" s="1"/>
  <c r="F29" i="3" s="1"/>
  <c r="AW84" i="1"/>
  <c r="AX16" i="1"/>
  <c r="AX29" i="1"/>
  <c r="AW36" i="1"/>
  <c r="AX84" i="1"/>
  <c r="AW72" i="1"/>
  <c r="I77" i="1"/>
  <c r="AV79" i="1"/>
  <c r="H84" i="1"/>
  <c r="AW22" i="1"/>
  <c r="AX36" i="1"/>
  <c r="AW57" i="1"/>
  <c r="AW65" i="1"/>
  <c r="H29" i="1"/>
  <c r="H28" i="1" s="1"/>
  <c r="E17" i="2" s="1"/>
  <c r="H36" i="1"/>
  <c r="BI19" i="1"/>
  <c r="AC19" i="1" s="1"/>
  <c r="AW43" i="1"/>
  <c r="H16" i="1"/>
  <c r="H15" i="1" s="1"/>
  <c r="E12" i="2" s="1"/>
  <c r="I16" i="1"/>
  <c r="I15" i="1" s="1"/>
  <c r="F12" i="2" s="1"/>
  <c r="I29" i="1"/>
  <c r="I28" i="1" s="1"/>
  <c r="F17" i="2" s="1"/>
  <c r="I84" i="1"/>
  <c r="I83" i="1" s="1"/>
  <c r="F22" i="2" s="1"/>
  <c r="F14" i="3"/>
  <c r="F22" i="3" s="1"/>
  <c r="I15" i="3"/>
  <c r="I22" i="3" s="1"/>
  <c r="AV67" i="1" l="1"/>
  <c r="H42" i="1"/>
  <c r="E19" i="2" s="1"/>
  <c r="J95" i="1"/>
  <c r="BC74" i="1"/>
  <c r="AV74" i="1"/>
  <c r="C16" i="3"/>
  <c r="H83" i="1"/>
  <c r="E22" i="2" s="1"/>
  <c r="BC36" i="1"/>
  <c r="AV36" i="1"/>
  <c r="BC84" i="1"/>
  <c r="AV84" i="1"/>
  <c r="H91" i="1"/>
  <c r="E23" i="2" s="1"/>
  <c r="E24" i="2"/>
  <c r="BC43" i="1"/>
  <c r="AV43" i="1"/>
  <c r="BC16" i="1"/>
  <c r="AV16" i="1"/>
  <c r="AV77" i="1"/>
  <c r="BC77" i="1"/>
  <c r="AU76" i="1"/>
  <c r="BC63" i="1"/>
  <c r="AV63" i="1"/>
  <c r="I28" i="3"/>
  <c r="I29" i="3" s="1"/>
  <c r="BC55" i="1"/>
  <c r="AV55" i="1"/>
  <c r="BC72" i="1"/>
  <c r="AV72" i="1"/>
  <c r="AV93" i="1"/>
  <c r="BC93" i="1"/>
  <c r="BC29" i="1"/>
  <c r="AV29" i="1"/>
  <c r="BC34" i="1"/>
  <c r="AV34" i="1"/>
  <c r="BC65" i="1"/>
  <c r="AV65" i="1"/>
  <c r="BC57" i="1"/>
  <c r="AV57" i="1"/>
  <c r="BC22" i="1"/>
  <c r="AV22" i="1"/>
  <c r="H31" i="1"/>
  <c r="E18" i="2" s="1"/>
  <c r="AV27" i="1"/>
  <c r="BC27" i="1"/>
  <c r="C15" i="3"/>
  <c r="I76" i="1"/>
  <c r="F21" i="2" s="1"/>
  <c r="C22" i="3" l="1"/>
</calcChain>
</file>

<file path=xl/sharedStrings.xml><?xml version="1.0" encoding="utf-8"?>
<sst xmlns="http://schemas.openxmlformats.org/spreadsheetml/2006/main" count="870" uniqueCount="296">
  <si>
    <t>Slepý stavební rozpočet</t>
  </si>
  <si>
    <t>Název stavby:</t>
  </si>
  <si>
    <t>Odstranění stávajícího dřevěnnného altálu a novostavba náhrady</t>
  </si>
  <si>
    <t>Doba výstavby:</t>
  </si>
  <si>
    <t xml:space="preserve"> </t>
  </si>
  <si>
    <t>Objednatel:</t>
  </si>
  <si>
    <t> </t>
  </si>
  <si>
    <t>Druh stavby:</t>
  </si>
  <si>
    <t>Náhrada stavajícího dřěvěného altánu</t>
  </si>
  <si>
    <t>Začátek výstavby:</t>
  </si>
  <si>
    <t>08.08.2025</t>
  </si>
  <si>
    <t>Projektant:</t>
  </si>
  <si>
    <t>Lokalita:</t>
  </si>
  <si>
    <t>Bruntál - Uhlířský vrch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</si>
  <si>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</si>
  <si>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</si>
  <si>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</si>
  <si>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</si>
  <si>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</si>
  <si>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</si>
  <si>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</si>
  <si>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</si>
  <si>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</si>
  <si>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</si>
  <si>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</si>
  <si>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</si>
  <si>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</si>
  <si>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</si>
  <si>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</si>
  <si>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</si>
  <si>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</si>
  <si>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</si>
  <si>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</si>
  <si>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</si>
  <si>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</si>
  <si>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</si>
  <si>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</si>
  <si>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</si>
  <si>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</si>
  <si>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</si>
  <si>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</si>
  <si>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</si>
  <si>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</si>
  <si>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</si>
  <si>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</si>
  <si>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</si>
  <si>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</si>
  <si>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</si>
  <si>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</si>
  <si>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21</t>
  </si>
  <si>
    <t>Úprava podloží a základové spáry</t>
  </si>
  <si>
    <t>1</t>
  </si>
  <si>
    <t>216904112R00</t>
  </si>
  <si>
    <t>Očištění tlakovou vodou zdiva stěn a rubu kleneb</t>
  </si>
  <si>
    <t>m2</t>
  </si>
  <si>
    <t>21_</t>
  </si>
  <si>
    <t>2_</t>
  </si>
  <si>
    <t>_</t>
  </si>
  <si>
    <t>P</t>
  </si>
  <si>
    <t>30</t>
  </si>
  <si>
    <t>58</t>
  </si>
  <si>
    <t>Kryty pozemních komunikací, letišť a ploch z betonu a ostatních hmot</t>
  </si>
  <si>
    <t>2</t>
  </si>
  <si>
    <t>584121111RT2</t>
  </si>
  <si>
    <t>Osazení silničních panelů,lože z kameniva tl. 4 cm</t>
  </si>
  <si>
    <t>58_</t>
  </si>
  <si>
    <t>5_</t>
  </si>
  <si>
    <t>62</t>
  </si>
  <si>
    <t>Úprava povrchů vnější</t>
  </si>
  <si>
    <t>3</t>
  </si>
  <si>
    <t>627453210RT3</t>
  </si>
  <si>
    <t>Oprava spárování dlažeb z kamene plochy nad 4 m2</t>
  </si>
  <si>
    <t>62_</t>
  </si>
  <si>
    <t>6_</t>
  </si>
  <si>
    <t>90</t>
  </si>
  <si>
    <t>Hodinové zúčtovací sazby (HZS)</t>
  </si>
  <si>
    <t>4</t>
  </si>
  <si>
    <t>900      R00</t>
  </si>
  <si>
    <t>HZS</t>
  </si>
  <si>
    <t>h</t>
  </si>
  <si>
    <t>90_</t>
  </si>
  <si>
    <t>9_</t>
  </si>
  <si>
    <t>8</t>
  </si>
  <si>
    <t>výřez obrysu kostelíka</t>
  </si>
  <si>
    <t>94</t>
  </si>
  <si>
    <t>Lešení a stavební výtahy</t>
  </si>
  <si>
    <t>5</t>
  </si>
  <si>
    <t>941955001R00</t>
  </si>
  <si>
    <t>Lešení lehké pomocné, výška podlahy do 1,2 m</t>
  </si>
  <si>
    <t>94_</t>
  </si>
  <si>
    <t>32+2,5*1,00*8</t>
  </si>
  <si>
    <t>6</t>
  </si>
  <si>
    <t>999281105R00</t>
  </si>
  <si>
    <t>Přesun hmot pro opravy a údržbu do výšky 6 m</t>
  </si>
  <si>
    <t>t</t>
  </si>
  <si>
    <t>96</t>
  </si>
  <si>
    <t>Bourání konstrukcí</t>
  </si>
  <si>
    <t>7</t>
  </si>
  <si>
    <t>m</t>
  </si>
  <si>
    <t>98</t>
  </si>
  <si>
    <t>Demolice</t>
  </si>
  <si>
    <t>981011111R00</t>
  </si>
  <si>
    <t>Demolice budov rozebráním, dřevěné lehké</t>
  </si>
  <si>
    <t>m3</t>
  </si>
  <si>
    <t>98_</t>
  </si>
  <si>
    <t>118,5</t>
  </si>
  <si>
    <t>demolice stávajícího přístřešku</t>
  </si>
  <si>
    <t>S</t>
  </si>
  <si>
    <t>Přesuny sutí</t>
  </si>
  <si>
    <t>979083114R00</t>
  </si>
  <si>
    <t>Vodorovné přemístění suti na skládku do 3000 m</t>
  </si>
  <si>
    <t>S_</t>
  </si>
  <si>
    <t>4,709</t>
  </si>
  <si>
    <t>přesun na spálení v saune na Wellnesu</t>
  </si>
  <si>
    <t>979081111R00</t>
  </si>
  <si>
    <t>Odvoz suti a vybour. hmot na skládku do 1 km</t>
  </si>
  <si>
    <t>1,96</t>
  </si>
  <si>
    <t>propustek</t>
  </si>
  <si>
    <t>979081121R00</t>
  </si>
  <si>
    <t>Příplatek k odvozu za každý další 1 km</t>
  </si>
  <si>
    <t>1,96*2</t>
  </si>
  <si>
    <t>979082111R00</t>
  </si>
  <si>
    <t>Vnitrostaveništní doprava suti do 10 m</t>
  </si>
  <si>
    <t>979999982R00</t>
  </si>
  <si>
    <t>Poplatek za recyklaci betonu kusovost nad 1600 cm2 (skup.170101)</t>
  </si>
  <si>
    <t>762</t>
  </si>
  <si>
    <t>Konstrukce tesařské</t>
  </si>
  <si>
    <t>762123120R00</t>
  </si>
  <si>
    <t>Montáž konstrukce stěn z fošen, hranolů do 144 cm2</t>
  </si>
  <si>
    <t>762_</t>
  </si>
  <si>
    <t>76_</t>
  </si>
  <si>
    <t>3,2*8*2</t>
  </si>
  <si>
    <t>krove K1+K2</t>
  </si>
  <si>
    <t>0,6*4+1,05*6</t>
  </si>
  <si>
    <t>T1+T2</t>
  </si>
  <si>
    <t>762123130R00</t>
  </si>
  <si>
    <t>Montáž konstrukce stěn z fošen, hranolů do 224 cm2</t>
  </si>
  <si>
    <t>2,63*8</t>
  </si>
  <si>
    <t>prvek S</t>
  </si>
  <si>
    <t>2,218*14</t>
  </si>
  <si>
    <t>V1+V2</t>
  </si>
  <si>
    <t>2,218*16</t>
  </si>
  <si>
    <t>V3+V4</t>
  </si>
  <si>
    <t>0,58*16</t>
  </si>
  <si>
    <t>762195000R00</t>
  </si>
  <si>
    <t>Spojovací a ochranné prostředky pro montáž stěn</t>
  </si>
  <si>
    <t>51,2*0,1*0,14</t>
  </si>
  <si>
    <t>K1+K2</t>
  </si>
  <si>
    <t>8,7*0,08*0,14</t>
  </si>
  <si>
    <t>96,86*0,14*0,14</t>
  </si>
  <si>
    <t>S+V1-4+P</t>
  </si>
  <si>
    <t>762085151R00</t>
  </si>
  <si>
    <t>Hoblování řeziva strojní</t>
  </si>
  <si>
    <t>2,172</t>
  </si>
  <si>
    <t>kubatura prvků</t>
  </si>
  <si>
    <t>60515229</t>
  </si>
  <si>
    <t>Hranol stavební SM do 140 x 140 mm, 1 - 4 m</t>
  </si>
  <si>
    <t>M</t>
  </si>
  <si>
    <t>2,712*1,1</t>
  </si>
  <si>
    <t>ztratné 10 %</t>
  </si>
  <si>
    <t>762342203RT4</t>
  </si>
  <si>
    <t>Montáž laťování střech, vzdálenost latí 22 - 36 cm</t>
  </si>
  <si>
    <t>33</t>
  </si>
  <si>
    <t>v PD min 32 m2</t>
  </si>
  <si>
    <t>762395000R00</t>
  </si>
  <si>
    <t>Spojovací a ochranné prostředky pro střechy</t>
  </si>
  <si>
    <t>0,6</t>
  </si>
  <si>
    <t>výměra dle projektu 50*40 mm latě</t>
  </si>
  <si>
    <t>762001VD</t>
  </si>
  <si>
    <t>Deska lavice</t>
  </si>
  <si>
    <t>ks</t>
  </si>
  <si>
    <t>762002VD</t>
  </si>
  <si>
    <t>Deska stolu</t>
  </si>
  <si>
    <t>762003VD</t>
  </si>
  <si>
    <t>Odpadkový koš</t>
  </si>
  <si>
    <t>998762102R00</t>
  </si>
  <si>
    <t>Přesun hmot pro tesařské konstrukce, výšky do 12 m</t>
  </si>
  <si>
    <t>1,859</t>
  </si>
  <si>
    <t>765</t>
  </si>
  <si>
    <t>Krytina tvrdá</t>
  </si>
  <si>
    <t>765559224R00</t>
  </si>
  <si>
    <t>Krytina dřevěný šindel, ploch kónických, P+D, dvojité krytí</t>
  </si>
  <si>
    <t>765_</t>
  </si>
  <si>
    <t>998765101R00</t>
  </si>
  <si>
    <t>Přesun hmot pro krytiny tvrdé, výšky do 6 m</t>
  </si>
  <si>
    <t>0,871</t>
  </si>
  <si>
    <t>766</t>
  </si>
  <si>
    <t>Konstrukce truhlářské</t>
  </si>
  <si>
    <t>766410010RAB</t>
  </si>
  <si>
    <t>Obklad stěn palubkami pero - drážka</t>
  </si>
  <si>
    <t>766_</t>
  </si>
  <si>
    <t>3*2,218*2,615</t>
  </si>
  <si>
    <t>766004VD</t>
  </si>
  <si>
    <t>Informační tabule</t>
  </si>
  <si>
    <t>D+M</t>
  </si>
  <si>
    <t>998766101R00</t>
  </si>
  <si>
    <t>Přesun hmot pro truhlářské konstr., výšky do 6 m</t>
  </si>
  <si>
    <t>0,215</t>
  </si>
  <si>
    <t>783</t>
  </si>
  <si>
    <t>Nátěry</t>
  </si>
  <si>
    <t>783782206R00</t>
  </si>
  <si>
    <t>Nátěr tesařských konstrukcí Bochemitem QB Hobby 2x</t>
  </si>
  <si>
    <t>783_</t>
  </si>
  <si>
    <t>78_</t>
  </si>
  <si>
    <t>96,040*(4*0,14)</t>
  </si>
  <si>
    <t>prvky 140 x 140 mm</t>
  </si>
  <si>
    <t>51,2*(2*(0,14+0,08))</t>
  </si>
  <si>
    <t>prvky 140 x 80 mm</t>
  </si>
  <si>
    <t>8,7*(2*(0,14+0,1))</t>
  </si>
  <si>
    <t>prvky 140 x 100 mm</t>
  </si>
  <si>
    <t>33*2</t>
  </si>
  <si>
    <t>šindele oboustraně</t>
  </si>
  <si>
    <t>783726200R00</t>
  </si>
  <si>
    <t>Nátěr synt. lazurovací tesařských konstr. 2x lak</t>
  </si>
  <si>
    <t>146,486</t>
  </si>
  <si>
    <t>stejné jako u bochemitu</t>
  </si>
  <si>
    <t>VORN</t>
  </si>
  <si>
    <t>Vedlejší a ostatní rozpočtové náklady</t>
  </si>
  <si>
    <t>06VRN</t>
  </si>
  <si>
    <t>Územní vlivy</t>
  </si>
  <si>
    <t>060001VRN</t>
  </si>
  <si>
    <t>Soubor</t>
  </si>
  <si>
    <t>99</t>
  </si>
  <si>
    <t>06VRN_</t>
  </si>
  <si>
    <t>Â _</t>
  </si>
  <si>
    <t>Celkem:</t>
  </si>
  <si>
    <t>Poznámka:</t>
  </si>
  <si>
    <t>Slepý stavební rozpočet - rekapitulace</t>
  </si>
  <si>
    <t>Objekt</t>
  </si>
  <si>
    <t>Náklady (Kč) - dodávka</t>
  </si>
  <si>
    <t>Náklady (Kč) - Montáž</t>
  </si>
  <si>
    <t>Náklady (Kč) - celkem</t>
  </si>
  <si>
    <t>T</t>
  </si>
  <si>
    <t>F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</si>
  <si>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</si>
  <si>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</si>
  <si>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</si>
  <si>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</si>
  <si>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</si>
  <si>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</si>
  <si>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</si>
  <si>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</si>
  <si>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</si>
  <si>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</si>
  <si>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</si>
  <si>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</si>
  <si>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</si>
  <si>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</si>
  <si>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</si>
  <si>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</si>
  <si>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</si>
  <si>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</si>
  <si>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</si>
  <si>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</si>
  <si>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</si>
  <si>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</si>
  <si>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</si>
  <si>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</si>
  <si>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</si>
  <si>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</si>
  <si>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</si>
  <si>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</si>
  <si>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</si>
  <si>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</si>
  <si>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</si>
  <si>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</si>
  <si>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</si>
  <si>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</si>
  <si>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</si>
  <si>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</si>
  <si>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</si>
  <si>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</si>
  <si>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</si>
  <si>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</si>
  <si>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</si>
  <si>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</si>
  <si>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</si>
  <si>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</si>
  <si>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</si>
  <si>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</si>
  <si>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</si>
  <si>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</si>
  <si>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</si>
  <si>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</si>
  <si>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</si>
  <si>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</si>
  <si>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</si>
  <si>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</si>
  <si>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</si>
  <si>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</si>
  <si>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</si>
  <si>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</si>
  <si>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</si>
  <si>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</si>
  <si>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</si>
  <si>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RTS I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</si>
</sst>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FF0000"/>
      <name val="Arial"/>
      <charset val="238"/>
    </font>
    <font>
      <i/>
      <sz val="10"/>
      <color rgb="FF00FFFF"/>
      <name val="Arial"/>
      <charset val="238"/>
    </font>
    <font>
      <i/>
      <sz val="10"/>
      <color rgb="FF000000"/>
      <name val="Arial"/>
      <charset val="238"/>
    </font>
    <font>
      <sz val="10"/>
      <color rgb="FF00FF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1" xfId="0" applyBorder="1"/>
    <xf numFmtId="0" fontId="0" fillId="0" borderId="32" xfId="0" applyBorder="1"/>
    <xf numFmtId="0" fontId="5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4" fontId="5" fillId="0" borderId="32" xfId="0" applyNumberFormat="1" applyFont="1" applyBorder="1" applyAlignment="1">
      <alignment horizontal="right" vertical="center"/>
    </xf>
    <xf numFmtId="0" fontId="0" fillId="0" borderId="33" xfId="0" applyBorder="1"/>
    <xf numFmtId="4" fontId="2" fillId="0" borderId="34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" fontId="3" fillId="0" borderId="29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4" fontId="13" fillId="0" borderId="46" xfId="0" applyNumberFormat="1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12" fillId="0" borderId="49" xfId="0" applyFont="1" applyBorder="1" applyAlignment="1">
      <alignment horizontal="left" vertical="center"/>
    </xf>
    <xf numFmtId="4" fontId="13" fillId="0" borderId="53" xfId="0" applyNumberFormat="1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/>
    </xf>
    <xf numFmtId="4" fontId="13" fillId="0" borderId="44" xfId="0" applyNumberFormat="1" applyFont="1" applyBorder="1" applyAlignment="1">
      <alignment horizontal="right" vertical="center"/>
    </xf>
    <xf numFmtId="4" fontId="13" fillId="0" borderId="25" xfId="0" applyNumberFormat="1" applyFont="1" applyBorder="1" applyAlignment="1">
      <alignment horizontal="right" vertical="center"/>
    </xf>
    <xf numFmtId="4" fontId="12" fillId="2" borderId="43" xfId="0" applyNumberFormat="1" applyFont="1" applyFill="1" applyBorder="1" applyAlignment="1">
      <alignment horizontal="right" vertical="center"/>
    </xf>
    <xf numFmtId="4" fontId="12" fillId="2" borderId="48" xfId="0" applyNumberFormat="1" applyFont="1" applyFill="1" applyBorder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2" fillId="0" borderId="69" xfId="0" applyFont="1" applyBorder="1" applyAlignment="1">
      <alignment horizontal="right" vertical="center"/>
    </xf>
    <xf numFmtId="4" fontId="3" fillId="0" borderId="46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4" fontId="3" fillId="0" borderId="73" xfId="0" applyNumberFormat="1" applyFont="1" applyBorder="1" applyAlignment="1">
      <alignment horizontal="right" vertical="center"/>
    </xf>
    <xf numFmtId="0" fontId="3" fillId="0" borderId="73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7" xfId="0" applyFont="1" applyBorder="1" applyAlignment="1">
      <alignment horizontal="right" vertical="center"/>
    </xf>
    <xf numFmtId="4" fontId="2" fillId="0" borderId="7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2" borderId="56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left" vertical="center"/>
    </xf>
    <xf numFmtId="0" fontId="12" fillId="2" borderId="57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4" fontId="12" fillId="0" borderId="78" xfId="0" applyNumberFormat="1" applyFont="1" applyBorder="1" applyAlignment="1">
      <alignment horizontal="right" vertical="center"/>
    </xf>
    <xf numFmtId="0" fontId="12" fillId="0" borderId="75" xfId="0" applyFont="1" applyBorder="1" applyAlignment="1">
      <alignment horizontal="right" vertical="center"/>
    </xf>
    <xf numFmtId="0" fontId="12" fillId="0" borderId="76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0" t="s">
        <v>234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5">
      <c r="A2" s="132" t="s">
        <v>1</v>
      </c>
      <c r="B2" s="133"/>
      <c r="C2" s="127" t="str">
        <f>'Stavební rozpočet'!C2</f>
        <v>Odstranění stávajícího dřevěnnného altálu a novostavba náhrady</v>
      </c>
      <c r="D2" s="128"/>
      <c r="E2" s="124" t="s">
        <v>5</v>
      </c>
      <c r="F2" s="124" t="str">
        <f>'Stavební rozpočet'!I2</f>
        <v> </v>
      </c>
      <c r="G2" s="133"/>
      <c r="H2" s="124" t="s">
        <v>235</v>
      </c>
      <c r="I2" s="135" t="s">
        <v>48</v>
      </c>
    </row>
    <row r="3" spans="1:9" ht="25.5" customHeight="1" x14ac:dyDescent="0.25">
      <c r="A3" s="134"/>
      <c r="B3" s="87"/>
      <c r="C3" s="129"/>
      <c r="D3" s="129"/>
      <c r="E3" s="87"/>
      <c r="F3" s="87"/>
      <c r="G3" s="87"/>
      <c r="H3" s="87"/>
      <c r="I3" s="136"/>
    </row>
    <row r="4" spans="1:9" x14ac:dyDescent="0.25">
      <c r="A4" s="125" t="s">
        <v>7</v>
      </c>
      <c r="B4" s="87"/>
      <c r="C4" s="86" t="str">
        <f>'Stavební rozpočet'!C4</f>
        <v>Náhrada stavajícího dřěvěného altánu</v>
      </c>
      <c r="D4" s="87"/>
      <c r="E4" s="86" t="s">
        <v>11</v>
      </c>
      <c r="F4" s="86" t="str">
        <f>'Stavební rozpočet'!I4</f>
        <v> </v>
      </c>
      <c r="G4" s="87"/>
      <c r="H4" s="86" t="s">
        <v>235</v>
      </c>
      <c r="I4" s="136" t="s">
        <v>48</v>
      </c>
    </row>
    <row r="5" spans="1:9" ht="15" customHeight="1" x14ac:dyDescent="0.25">
      <c r="A5" s="134"/>
      <c r="B5" s="87"/>
      <c r="C5" s="87"/>
      <c r="D5" s="87"/>
      <c r="E5" s="87"/>
      <c r="F5" s="87"/>
      <c r="G5" s="87"/>
      <c r="H5" s="87"/>
      <c r="I5" s="136"/>
    </row>
    <row r="6" spans="1:9" x14ac:dyDescent="0.25">
      <c r="A6" s="125" t="s">
        <v>12</v>
      </c>
      <c r="B6" s="87"/>
      <c r="C6" s="86" t="str">
        <f>'Stavební rozpočet'!C6</f>
        <v>Bruntál - Uhlířský vrch</v>
      </c>
      <c r="D6" s="87"/>
      <c r="E6" s="86" t="s">
        <v>15</v>
      </c>
      <c r="F6" s="86" t="str">
        <f>'Stavební rozpočet'!I6</f>
        <v> </v>
      </c>
      <c r="G6" s="87"/>
      <c r="H6" s="86" t="s">
        <v>235</v>
      </c>
      <c r="I6" s="136" t="s">
        <v>48</v>
      </c>
    </row>
    <row r="7" spans="1:9" ht="15" customHeight="1" x14ac:dyDescent="0.25">
      <c r="A7" s="134"/>
      <c r="B7" s="87"/>
      <c r="C7" s="87"/>
      <c r="D7" s="87"/>
      <c r="E7" s="87"/>
      <c r="F7" s="87"/>
      <c r="G7" s="87"/>
      <c r="H7" s="87"/>
      <c r="I7" s="136"/>
    </row>
    <row r="8" spans="1:9" x14ac:dyDescent="0.25">
      <c r="A8" s="125" t="s">
        <v>9</v>
      </c>
      <c r="B8" s="87"/>
      <c r="C8" s="86" t="str">
        <f>'Stavební rozpočet'!G4</f>
        <v>08.08.2025</v>
      </c>
      <c r="D8" s="87"/>
      <c r="E8" s="86" t="s">
        <v>14</v>
      </c>
      <c r="F8" s="86" t="str">
        <f>'Stavební rozpočet'!G6</f>
        <v xml:space="preserve"> </v>
      </c>
      <c r="G8" s="87"/>
      <c r="H8" s="87" t="s">
        <v>236</v>
      </c>
      <c r="I8" s="137">
        <v>32</v>
      </c>
    </row>
    <row r="9" spans="1:9" x14ac:dyDescent="0.25">
      <c r="A9" s="134"/>
      <c r="B9" s="87"/>
      <c r="C9" s="87"/>
      <c r="D9" s="87"/>
      <c r="E9" s="87"/>
      <c r="F9" s="87"/>
      <c r="G9" s="87"/>
      <c r="H9" s="87"/>
      <c r="I9" s="136"/>
    </row>
    <row r="10" spans="1:9" x14ac:dyDescent="0.25">
      <c r="A10" s="125" t="s">
        <v>16</v>
      </c>
      <c r="B10" s="87"/>
      <c r="C10" s="86" t="str">
        <f>'Stavební rozpočet'!C8</f>
        <v xml:space="preserve"> </v>
      </c>
      <c r="D10" s="87"/>
      <c r="E10" s="86" t="s">
        <v>18</v>
      </c>
      <c r="F10" s="86" t="str">
        <f>'Stavební rozpočet'!I8</f>
        <v> </v>
      </c>
      <c r="G10" s="87"/>
      <c r="H10" s="87" t="s">
        <v>237</v>
      </c>
      <c r="I10" s="118" t="str">
        <f>'Stavební rozpočet'!G8</f>
        <v>08.08.2025</v>
      </c>
    </row>
    <row r="11" spans="1:9" x14ac:dyDescent="0.25">
      <c r="A11" s="126"/>
      <c r="B11" s="123"/>
      <c r="C11" s="123"/>
      <c r="D11" s="123"/>
      <c r="E11" s="123"/>
      <c r="F11" s="123"/>
      <c r="G11" s="123"/>
      <c r="H11" s="123"/>
      <c r="I11" s="119"/>
    </row>
    <row r="12" spans="1:9" ht="23.25" x14ac:dyDescent="0.25">
      <c r="A12" s="120" t="s">
        <v>238</v>
      </c>
      <c r="B12" s="120"/>
      <c r="C12" s="120"/>
      <c r="D12" s="120"/>
      <c r="E12" s="120"/>
      <c r="F12" s="120"/>
      <c r="G12" s="120"/>
      <c r="H12" s="120"/>
      <c r="I12" s="120"/>
    </row>
    <row r="13" spans="1:9" ht="26.25" customHeight="1" x14ac:dyDescent="0.25">
      <c r="A13" s="64" t="s">
        <v>239</v>
      </c>
      <c r="B13" s="121" t="s">
        <v>240</v>
      </c>
      <c r="C13" s="122"/>
      <c r="D13" s="65" t="s">
        <v>241</v>
      </c>
      <c r="E13" s="121" t="s">
        <v>242</v>
      </c>
      <c r="F13" s="122"/>
      <c r="G13" s="65" t="s">
        <v>243</v>
      </c>
      <c r="H13" s="121" t="s">
        <v>244</v>
      </c>
      <c r="I13" s="122"/>
    </row>
    <row r="14" spans="1:9" ht="15.75" x14ac:dyDescent="0.25">
      <c r="A14" s="66" t="s">
        <v>245</v>
      </c>
      <c r="B14" s="67" t="s">
        <v>246</v>
      </c>
      <c r="C14" s="68">
        <f>SUM('Stavební rozpočet'!AB12:AB191)</f>
        <v>0</v>
      </c>
      <c r="D14" s="108" t="s">
        <v>247</v>
      </c>
      <c r="E14" s="109"/>
      <c r="F14" s="68">
        <f>VORN!I15</f>
        <v>0</v>
      </c>
      <c r="G14" s="108" t="s">
        <v>248</v>
      </c>
      <c r="H14" s="109"/>
      <c r="I14" s="69">
        <f>VORN!I21</f>
        <v>0</v>
      </c>
    </row>
    <row r="15" spans="1:9" ht="15.75" x14ac:dyDescent="0.25">
      <c r="A15" s="70" t="s">
        <v>48</v>
      </c>
      <c r="B15" s="67" t="s">
        <v>33</v>
      </c>
      <c r="C15" s="68">
        <f>SUM('Stavební rozpočet'!AC12:AC191)</f>
        <v>0</v>
      </c>
      <c r="D15" s="108" t="s">
        <v>249</v>
      </c>
      <c r="E15" s="109"/>
      <c r="F15" s="68">
        <f>VORN!I16</f>
        <v>0</v>
      </c>
      <c r="G15" s="108" t="s">
        <v>250</v>
      </c>
      <c r="H15" s="109"/>
      <c r="I15" s="69">
        <f>VORN!I22</f>
        <v>0</v>
      </c>
    </row>
    <row r="16" spans="1:9" ht="15.75" x14ac:dyDescent="0.25">
      <c r="A16" s="66" t="s">
        <v>251</v>
      </c>
      <c r="B16" s="67" t="s">
        <v>246</v>
      </c>
      <c r="C16" s="68">
        <f>SUM('Stavební rozpočet'!AD12:AD191)</f>
        <v>0</v>
      </c>
      <c r="D16" s="108" t="s">
        <v>252</v>
      </c>
      <c r="E16" s="109"/>
      <c r="F16" s="68">
        <f>VORN!I17</f>
        <v>0</v>
      </c>
      <c r="G16" s="108" t="s">
        <v>219</v>
      </c>
      <c r="H16" s="109"/>
      <c r="I16" s="69">
        <f>VORN!I23</f>
        <v>0</v>
      </c>
    </row>
    <row r="17" spans="1:9" ht="15.75" x14ac:dyDescent="0.25">
      <c r="A17" s="70" t="s">
        <v>48</v>
      </c>
      <c r="B17" s="67" t="s">
        <v>33</v>
      </c>
      <c r="C17" s="68">
        <f>SUM('Stavební rozpočet'!AE12:AE191)</f>
        <v>0</v>
      </c>
      <c r="D17" s="108" t="s">
        <v>48</v>
      </c>
      <c r="E17" s="109"/>
      <c r="F17" s="69" t="s">
        <v>48</v>
      </c>
      <c r="G17" s="108" t="s">
        <v>253</v>
      </c>
      <c r="H17" s="109"/>
      <c r="I17" s="69">
        <f>VORN!I24</f>
        <v>0</v>
      </c>
    </row>
    <row r="18" spans="1:9" ht="15.75" x14ac:dyDescent="0.25">
      <c r="A18" s="66" t="s">
        <v>254</v>
      </c>
      <c r="B18" s="67" t="s">
        <v>246</v>
      </c>
      <c r="C18" s="68">
        <f>SUM('Stavební rozpočet'!AF12:AF191)</f>
        <v>0</v>
      </c>
      <c r="D18" s="108" t="s">
        <v>48</v>
      </c>
      <c r="E18" s="109"/>
      <c r="F18" s="69" t="s">
        <v>48</v>
      </c>
      <c r="G18" s="108" t="s">
        <v>255</v>
      </c>
      <c r="H18" s="109"/>
      <c r="I18" s="69">
        <f>VORN!I25</f>
        <v>0</v>
      </c>
    </row>
    <row r="19" spans="1:9" ht="15.75" x14ac:dyDescent="0.25">
      <c r="A19" s="70" t="s">
        <v>48</v>
      </c>
      <c r="B19" s="67" t="s">
        <v>33</v>
      </c>
      <c r="C19" s="68">
        <f>SUM('Stavební rozpočet'!AG12:AG191)</f>
        <v>0</v>
      </c>
      <c r="D19" s="108" t="s">
        <v>48</v>
      </c>
      <c r="E19" s="109"/>
      <c r="F19" s="69" t="s">
        <v>48</v>
      </c>
      <c r="G19" s="108" t="s">
        <v>256</v>
      </c>
      <c r="H19" s="109"/>
      <c r="I19" s="69">
        <f>VORN!I26</f>
        <v>0</v>
      </c>
    </row>
    <row r="20" spans="1:9" ht="15.75" x14ac:dyDescent="0.25">
      <c r="A20" s="100" t="s">
        <v>257</v>
      </c>
      <c r="B20" s="101"/>
      <c r="C20" s="68">
        <f>SUM('Stavební rozpočet'!AH12:AH191)</f>
        <v>0</v>
      </c>
      <c r="D20" s="108" t="s">
        <v>48</v>
      </c>
      <c r="E20" s="109"/>
      <c r="F20" s="69" t="s">
        <v>48</v>
      </c>
      <c r="G20" s="108" t="s">
        <v>48</v>
      </c>
      <c r="H20" s="109"/>
      <c r="I20" s="69" t="s">
        <v>48</v>
      </c>
    </row>
    <row r="21" spans="1:9" ht="15.75" x14ac:dyDescent="0.25">
      <c r="A21" s="115" t="s">
        <v>258</v>
      </c>
      <c r="B21" s="116"/>
      <c r="C21" s="71">
        <f>SUM('Stavební rozpočet'!Z12:Z191)</f>
        <v>0</v>
      </c>
      <c r="D21" s="110" t="s">
        <v>48</v>
      </c>
      <c r="E21" s="111"/>
      <c r="F21" s="72" t="s">
        <v>48</v>
      </c>
      <c r="G21" s="110" t="s">
        <v>48</v>
      </c>
      <c r="H21" s="111"/>
      <c r="I21" s="72" t="s">
        <v>48</v>
      </c>
    </row>
    <row r="22" spans="1:9" ht="16.5" customHeight="1" x14ac:dyDescent="0.25">
      <c r="A22" s="117" t="s">
        <v>259</v>
      </c>
      <c r="B22" s="113"/>
      <c r="C22" s="73">
        <f>ROUND(SUM(C14:C21),2)</f>
        <v>0</v>
      </c>
      <c r="D22" s="112" t="s">
        <v>260</v>
      </c>
      <c r="E22" s="113"/>
      <c r="F22" s="73">
        <f>SUM(F14:F21)</f>
        <v>0</v>
      </c>
      <c r="G22" s="112" t="s">
        <v>261</v>
      </c>
      <c r="H22" s="113"/>
      <c r="I22" s="73">
        <f>SUM(I14:I21)</f>
        <v>0</v>
      </c>
    </row>
    <row r="23" spans="1:9" ht="15.75" x14ac:dyDescent="0.25">
      <c r="D23" s="100" t="s">
        <v>262</v>
      </c>
      <c r="E23" s="101"/>
      <c r="F23" s="74">
        <v>0</v>
      </c>
      <c r="G23" s="114" t="s">
        <v>263</v>
      </c>
      <c r="H23" s="101"/>
      <c r="I23" s="68">
        <v>0</v>
      </c>
    </row>
    <row r="24" spans="1:9" ht="15.75" x14ac:dyDescent="0.25">
      <c r="G24" s="100" t="s">
        <v>264</v>
      </c>
      <c r="H24" s="101"/>
      <c r="I24" s="71">
        <f>vorn_sum</f>
        <v>0</v>
      </c>
    </row>
    <row r="25" spans="1:9" ht="15.75" x14ac:dyDescent="0.25">
      <c r="G25" s="100" t="s">
        <v>265</v>
      </c>
      <c r="H25" s="101"/>
      <c r="I25" s="73">
        <v>0</v>
      </c>
    </row>
    <row r="27" spans="1:9" ht="15.75" x14ac:dyDescent="0.25">
      <c r="A27" s="102" t="s">
        <v>266</v>
      </c>
      <c r="B27" s="103"/>
      <c r="C27" s="75">
        <f>ROUND(SUM('Stavební rozpočet'!AJ12:AJ191),2)</f>
        <v>0</v>
      </c>
    </row>
    <row r="28" spans="1:9" ht="15.75" x14ac:dyDescent="0.25">
      <c r="A28" s="104" t="s">
        <v>267</v>
      </c>
      <c r="B28" s="105"/>
      <c r="C28" s="76">
        <f>ROUND(SUM('Stavební rozpočet'!AK12:AK191),2)</f>
        <v>0</v>
      </c>
      <c r="D28" s="106" t="s">
        <v>268</v>
      </c>
      <c r="E28" s="103"/>
      <c r="F28" s="75">
        <f>ROUND(C28*(12/100),2)</f>
        <v>0</v>
      </c>
      <c r="G28" s="106" t="s">
        <v>269</v>
      </c>
      <c r="H28" s="103"/>
      <c r="I28" s="75">
        <f>ROUND(SUM(C27:C29),2)</f>
        <v>0</v>
      </c>
    </row>
    <row r="29" spans="1:9" ht="15.75" x14ac:dyDescent="0.25">
      <c r="A29" s="104" t="s">
        <v>270</v>
      </c>
      <c r="B29" s="105"/>
      <c r="C29" s="76">
        <f>ROUND(SUM('Stavební rozpočet'!AL12:AL191),2)</f>
        <v>0</v>
      </c>
      <c r="D29" s="107" t="s">
        <v>271</v>
      </c>
      <c r="E29" s="105"/>
      <c r="F29" s="76">
        <f>ROUND(C29*(21/100),2)</f>
        <v>0</v>
      </c>
      <c r="G29" s="107" t="s">
        <v>272</v>
      </c>
      <c r="H29" s="105"/>
      <c r="I29" s="76">
        <f>ROUND(SUM(F28:F29)+I28,2)</f>
        <v>0</v>
      </c>
    </row>
    <row r="31" spans="1:9" x14ac:dyDescent="0.25">
      <c r="A31" s="97" t="s">
        <v>273</v>
      </c>
      <c r="B31" s="89"/>
      <c r="C31" s="90"/>
      <c r="D31" s="88" t="s">
        <v>274</v>
      </c>
      <c r="E31" s="89"/>
      <c r="F31" s="90"/>
      <c r="G31" s="88" t="s">
        <v>275</v>
      </c>
      <c r="H31" s="89"/>
      <c r="I31" s="90"/>
    </row>
    <row r="32" spans="1:9" x14ac:dyDescent="0.25">
      <c r="A32" s="98" t="s">
        <v>48</v>
      </c>
      <c r="B32" s="92"/>
      <c r="C32" s="93"/>
      <c r="D32" s="91" t="s">
        <v>48</v>
      </c>
      <c r="E32" s="92"/>
      <c r="F32" s="93"/>
      <c r="G32" s="91" t="s">
        <v>48</v>
      </c>
      <c r="H32" s="92"/>
      <c r="I32" s="93"/>
    </row>
    <row r="33" spans="1:9" x14ac:dyDescent="0.25">
      <c r="A33" s="98" t="s">
        <v>48</v>
      </c>
      <c r="B33" s="92"/>
      <c r="C33" s="93"/>
      <c r="D33" s="91" t="s">
        <v>48</v>
      </c>
      <c r="E33" s="92"/>
      <c r="F33" s="93"/>
      <c r="G33" s="91" t="s">
        <v>48</v>
      </c>
      <c r="H33" s="92"/>
      <c r="I33" s="93"/>
    </row>
    <row r="34" spans="1:9" x14ac:dyDescent="0.25">
      <c r="A34" s="98" t="s">
        <v>48</v>
      </c>
      <c r="B34" s="92"/>
      <c r="C34" s="93"/>
      <c r="D34" s="91" t="s">
        <v>48</v>
      </c>
      <c r="E34" s="92"/>
      <c r="F34" s="93"/>
      <c r="G34" s="91" t="s">
        <v>48</v>
      </c>
      <c r="H34" s="92"/>
      <c r="I34" s="93"/>
    </row>
    <row r="35" spans="1:9" x14ac:dyDescent="0.25">
      <c r="A35" s="99" t="s">
        <v>276</v>
      </c>
      <c r="B35" s="95"/>
      <c r="C35" s="96"/>
      <c r="D35" s="94" t="s">
        <v>276</v>
      </c>
      <c r="E35" s="95"/>
      <c r="F35" s="96"/>
      <c r="G35" s="94" t="s">
        <v>276</v>
      </c>
      <c r="H35" s="95"/>
      <c r="I35" s="96"/>
    </row>
    <row r="36" spans="1:9" x14ac:dyDescent="0.25">
      <c r="A36" s="77" t="s">
        <v>226</v>
      </c>
    </row>
    <row r="37" spans="1:9" ht="12.75" customHeight="1" x14ac:dyDescent="0.25">
      <c r="A37" s="86" t="s">
        <v>48</v>
      </c>
      <c r="B37" s="87"/>
      <c r="C37" s="87"/>
      <c r="D37" s="87"/>
      <c r="E37" s="87"/>
      <c r="F37" s="87"/>
      <c r="G37" s="87"/>
      <c r="H37" s="87"/>
      <c r="I37" s="87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workbookViewId="0">
      <pane ySplit="11" topLeftCell="A12" activePane="bottomLeft" state="frozen"/>
      <selection pane="bottomLeft" activeCell="C24" sqref="C24:D24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131" t="s">
        <v>227</v>
      </c>
      <c r="B1" s="131"/>
      <c r="C1" s="131"/>
      <c r="D1" s="131"/>
      <c r="E1" s="131"/>
      <c r="F1" s="131"/>
      <c r="G1" s="131"/>
    </row>
    <row r="2" spans="1:9" x14ac:dyDescent="0.25">
      <c r="A2" s="132" t="s">
        <v>1</v>
      </c>
      <c r="B2" s="133"/>
      <c r="C2" s="127" t="str">
        <f>'Stavební rozpočet'!C2</f>
        <v>Odstranění stávajícího dřevěnnného altálu a novostavba náhrady</v>
      </c>
      <c r="D2" s="133" t="s">
        <v>3</v>
      </c>
      <c r="E2" s="133" t="s">
        <v>4</v>
      </c>
      <c r="F2" s="124" t="s">
        <v>5</v>
      </c>
      <c r="G2" s="138" t="str">
        <f>'Stavební rozpočet'!I2</f>
        <v> </v>
      </c>
    </row>
    <row r="3" spans="1:9" ht="15" customHeight="1" x14ac:dyDescent="0.25">
      <c r="A3" s="134"/>
      <c r="B3" s="87"/>
      <c r="C3" s="129"/>
      <c r="D3" s="87"/>
      <c r="E3" s="87"/>
      <c r="F3" s="87"/>
      <c r="G3" s="136"/>
    </row>
    <row r="4" spans="1:9" x14ac:dyDescent="0.25">
      <c r="A4" s="125" t="s">
        <v>7</v>
      </c>
      <c r="B4" s="87"/>
      <c r="C4" s="86" t="str">
        <f>'Stavební rozpočet'!C4</f>
        <v>Náhrada stavajícího dřěvěného altánu</v>
      </c>
      <c r="D4" s="87" t="s">
        <v>9</v>
      </c>
      <c r="E4" s="87" t="s">
        <v>10</v>
      </c>
      <c r="F4" s="86" t="s">
        <v>11</v>
      </c>
      <c r="G4" s="118" t="str">
        <f>'Stavební rozpočet'!I4</f>
        <v> </v>
      </c>
    </row>
    <row r="5" spans="1:9" ht="15" customHeight="1" x14ac:dyDescent="0.25">
      <c r="A5" s="134"/>
      <c r="B5" s="87"/>
      <c r="C5" s="87"/>
      <c r="D5" s="87"/>
      <c r="E5" s="87"/>
      <c r="F5" s="87"/>
      <c r="G5" s="136"/>
    </row>
    <row r="6" spans="1:9" x14ac:dyDescent="0.25">
      <c r="A6" s="125" t="s">
        <v>12</v>
      </c>
      <c r="B6" s="87"/>
      <c r="C6" s="86" t="str">
        <f>'Stavební rozpočet'!C6</f>
        <v>Bruntál - Uhlířský vrch</v>
      </c>
      <c r="D6" s="87" t="s">
        <v>14</v>
      </c>
      <c r="E6" s="87" t="s">
        <v>4</v>
      </c>
      <c r="F6" s="86" t="s">
        <v>15</v>
      </c>
      <c r="G6" s="118" t="str">
        <f>'Stavební rozpočet'!I6</f>
        <v> </v>
      </c>
    </row>
    <row r="7" spans="1:9" ht="15" customHeight="1" x14ac:dyDescent="0.25">
      <c r="A7" s="134"/>
      <c r="B7" s="87"/>
      <c r="C7" s="87"/>
      <c r="D7" s="87"/>
      <c r="E7" s="87"/>
      <c r="F7" s="87"/>
      <c r="G7" s="136"/>
    </row>
    <row r="8" spans="1:9" x14ac:dyDescent="0.25">
      <c r="A8" s="125" t="s">
        <v>18</v>
      </c>
      <c r="B8" s="87"/>
      <c r="C8" s="86" t="str">
        <f>'Stavební rozpočet'!I8</f>
        <v> </v>
      </c>
      <c r="D8" s="87" t="s">
        <v>17</v>
      </c>
      <c r="E8" s="87" t="s">
        <v>10</v>
      </c>
      <c r="F8" s="87" t="s">
        <v>17</v>
      </c>
      <c r="G8" s="118" t="str">
        <f>'Stavební rozpočet'!G8</f>
        <v>08.08.2025</v>
      </c>
    </row>
    <row r="9" spans="1:9" x14ac:dyDescent="0.25">
      <c r="A9" s="141"/>
      <c r="B9" s="140"/>
      <c r="C9" s="140"/>
      <c r="D9" s="123"/>
      <c r="E9" s="140"/>
      <c r="F9" s="140"/>
      <c r="G9" s="139"/>
    </row>
    <row r="10" spans="1:9" x14ac:dyDescent="0.25">
      <c r="A10" s="55" t="s">
        <v>228</v>
      </c>
      <c r="B10" s="56" t="s">
        <v>20</v>
      </c>
      <c r="C10" s="57" t="s">
        <v>21</v>
      </c>
      <c r="E10" s="58" t="s">
        <v>229</v>
      </c>
      <c r="F10" s="59" t="s">
        <v>230</v>
      </c>
      <c r="G10" s="59" t="s">
        <v>231</v>
      </c>
    </row>
    <row r="11" spans="1:9" x14ac:dyDescent="0.25">
      <c r="A11" s="60" t="s">
        <v>48</v>
      </c>
      <c r="B11" s="61" t="s">
        <v>49</v>
      </c>
      <c r="C11" s="87" t="s">
        <v>50</v>
      </c>
      <c r="D11" s="87"/>
      <c r="E11" s="62">
        <f>ROUND('Stavební rozpočet'!H12,2)</f>
        <v>0</v>
      </c>
      <c r="F11" s="62">
        <f>ROUND('Stavební rozpočet'!I12,2)</f>
        <v>0</v>
      </c>
      <c r="G11" s="62">
        <f>ROUND('Stavební rozpočet'!J12,2)</f>
        <v>0</v>
      </c>
      <c r="H11" s="31" t="s">
        <v>232</v>
      </c>
      <c r="I11" s="29">
        <f t="shared" ref="I11:I24" si="0">IF(H11="F",0,G11)</f>
        <v>0</v>
      </c>
    </row>
    <row r="12" spans="1:9" x14ac:dyDescent="0.25">
      <c r="A12" s="2" t="s">
        <v>48</v>
      </c>
      <c r="B12" s="3" t="s">
        <v>60</v>
      </c>
      <c r="C12" s="87" t="s">
        <v>61</v>
      </c>
      <c r="D12" s="87"/>
      <c r="E12" s="29">
        <f>ROUND('Stavební rozpočet'!H15,2)</f>
        <v>0</v>
      </c>
      <c r="F12" s="29">
        <f>ROUND('Stavební rozpočet'!I15,2)</f>
        <v>0</v>
      </c>
      <c r="G12" s="29">
        <f>ROUND('Stavební rozpočet'!J15,2)</f>
        <v>0</v>
      </c>
      <c r="H12" s="31" t="s">
        <v>232</v>
      </c>
      <c r="I12" s="29">
        <f t="shared" si="0"/>
        <v>0</v>
      </c>
    </row>
    <row r="13" spans="1:9" x14ac:dyDescent="0.25">
      <c r="A13" s="2" t="s">
        <v>48</v>
      </c>
      <c r="B13" s="3" t="s">
        <v>67</v>
      </c>
      <c r="C13" s="87" t="s">
        <v>68</v>
      </c>
      <c r="D13" s="87"/>
      <c r="E13" s="29">
        <f>ROUND('Stavební rozpočet'!H18,2)</f>
        <v>0</v>
      </c>
      <c r="F13" s="29">
        <f>ROUND('Stavební rozpočet'!I18,2)</f>
        <v>0</v>
      </c>
      <c r="G13" s="29">
        <f>ROUND('Stavební rozpočet'!J18,2)</f>
        <v>0</v>
      </c>
      <c r="H13" s="31" t="s">
        <v>232</v>
      </c>
      <c r="I13" s="29">
        <f t="shared" si="0"/>
        <v>0</v>
      </c>
    </row>
    <row r="14" spans="1:9" x14ac:dyDescent="0.25">
      <c r="A14" s="2" t="s">
        <v>48</v>
      </c>
      <c r="B14" s="3" t="s">
        <v>74</v>
      </c>
      <c r="C14" s="87" t="s">
        <v>75</v>
      </c>
      <c r="D14" s="87"/>
      <c r="E14" s="29">
        <f>ROUND('Stavební rozpočet'!H21,2)</f>
        <v>0</v>
      </c>
      <c r="F14" s="29">
        <f>ROUND('Stavební rozpočet'!I21,2)</f>
        <v>0</v>
      </c>
      <c r="G14" s="29">
        <f>ROUND('Stavební rozpočet'!J21,2)</f>
        <v>0</v>
      </c>
      <c r="H14" s="31" t="s">
        <v>232</v>
      </c>
      <c r="I14" s="29">
        <f t="shared" si="0"/>
        <v>0</v>
      </c>
    </row>
    <row r="15" spans="1:9" x14ac:dyDescent="0.25">
      <c r="A15" s="2" t="s">
        <v>48</v>
      </c>
      <c r="B15" s="3" t="s">
        <v>84</v>
      </c>
      <c r="C15" s="87" t="s">
        <v>85</v>
      </c>
      <c r="D15" s="87"/>
      <c r="E15" s="29">
        <f>ROUND('Stavební rozpočet'!H24,2)</f>
        <v>0</v>
      </c>
      <c r="F15" s="29">
        <f>ROUND('Stavební rozpočet'!I24,2)</f>
        <v>0</v>
      </c>
      <c r="G15" s="29">
        <f>ROUND('Stavební rozpočet'!J24,2)</f>
        <v>0</v>
      </c>
      <c r="H15" s="31" t="s">
        <v>232</v>
      </c>
      <c r="I15" s="29">
        <f t="shared" si="0"/>
        <v>0</v>
      </c>
    </row>
    <row r="16" spans="1:9" x14ac:dyDescent="0.25">
      <c r="A16" s="2" t="s">
        <v>48</v>
      </c>
      <c r="B16" s="3" t="s">
        <v>95</v>
      </c>
      <c r="C16" s="87" t="s">
        <v>96</v>
      </c>
      <c r="D16" s="87"/>
      <c r="E16" s="29" t="e">
        <f>ROUND('Stavební rozpočet'!#REF!,2)</f>
        <v>#REF!</v>
      </c>
      <c r="F16" s="29" t="e">
        <f>ROUND('Stavební rozpočet'!#REF!,2)</f>
        <v>#REF!</v>
      </c>
      <c r="G16" s="29" t="e">
        <f>ROUND('Stavební rozpočet'!#REF!,2)</f>
        <v>#REF!</v>
      </c>
      <c r="H16" s="31" t="s">
        <v>232</v>
      </c>
      <c r="I16" s="29" t="e">
        <f t="shared" si="0"/>
        <v>#REF!</v>
      </c>
    </row>
    <row r="17" spans="1:9" x14ac:dyDescent="0.25">
      <c r="A17" s="2" t="s">
        <v>48</v>
      </c>
      <c r="B17" s="3" t="s">
        <v>99</v>
      </c>
      <c r="C17" s="87" t="s">
        <v>100</v>
      </c>
      <c r="D17" s="87"/>
      <c r="E17" s="29">
        <f>ROUND('Stavební rozpočet'!H28,2)</f>
        <v>0</v>
      </c>
      <c r="F17" s="29">
        <f>ROUND('Stavební rozpočet'!I28,2)</f>
        <v>0</v>
      </c>
      <c r="G17" s="29">
        <f>ROUND('Stavební rozpočet'!J28,2)</f>
        <v>0</v>
      </c>
      <c r="H17" s="31" t="s">
        <v>232</v>
      </c>
      <c r="I17" s="29">
        <f t="shared" si="0"/>
        <v>0</v>
      </c>
    </row>
    <row r="18" spans="1:9" x14ac:dyDescent="0.25">
      <c r="A18" s="2" t="s">
        <v>48</v>
      </c>
      <c r="B18" s="3" t="s">
        <v>107</v>
      </c>
      <c r="C18" s="87" t="s">
        <v>108</v>
      </c>
      <c r="D18" s="87"/>
      <c r="E18" s="29">
        <f>ROUND('Stavební rozpočet'!H31,2)</f>
        <v>0</v>
      </c>
      <c r="F18" s="29">
        <f>ROUND('Stavební rozpočet'!I31,2)</f>
        <v>0</v>
      </c>
      <c r="G18" s="29">
        <f>ROUND('Stavební rozpočet'!J31,2)</f>
        <v>0</v>
      </c>
      <c r="H18" s="31" t="s">
        <v>232</v>
      </c>
      <c r="I18" s="29">
        <f t="shared" si="0"/>
        <v>0</v>
      </c>
    </row>
    <row r="19" spans="1:9" x14ac:dyDescent="0.25">
      <c r="A19" s="2" t="s">
        <v>48</v>
      </c>
      <c r="B19" s="3" t="s">
        <v>125</v>
      </c>
      <c r="C19" s="87" t="s">
        <v>126</v>
      </c>
      <c r="D19" s="87"/>
      <c r="E19" s="29">
        <f>ROUND('Stavební rozpočet'!H42,2)</f>
        <v>0</v>
      </c>
      <c r="F19" s="29">
        <f>ROUND('Stavební rozpočet'!I42,2)</f>
        <v>0</v>
      </c>
      <c r="G19" s="29">
        <f>ROUND('Stavební rozpočet'!J42,2)</f>
        <v>0</v>
      </c>
      <c r="H19" s="31" t="s">
        <v>232</v>
      </c>
      <c r="I19" s="29">
        <f t="shared" si="0"/>
        <v>0</v>
      </c>
    </row>
    <row r="20" spans="1:9" x14ac:dyDescent="0.25">
      <c r="A20" s="2" t="s">
        <v>48</v>
      </c>
      <c r="B20" s="3" t="s">
        <v>178</v>
      </c>
      <c r="C20" s="87" t="s">
        <v>179</v>
      </c>
      <c r="D20" s="87"/>
      <c r="E20" s="29">
        <f>ROUND('Stavební rozpočet'!H71,2)</f>
        <v>0</v>
      </c>
      <c r="F20" s="29">
        <f>ROUND('Stavební rozpočet'!I71,2)</f>
        <v>0</v>
      </c>
      <c r="G20" s="29">
        <f>ROUND('Stavební rozpočet'!J71,2)</f>
        <v>0</v>
      </c>
      <c r="H20" s="31" t="s">
        <v>232</v>
      </c>
      <c r="I20" s="29">
        <f t="shared" si="0"/>
        <v>0</v>
      </c>
    </row>
    <row r="21" spans="1:9" x14ac:dyDescent="0.25">
      <c r="A21" s="2" t="s">
        <v>48</v>
      </c>
      <c r="B21" s="3" t="s">
        <v>186</v>
      </c>
      <c r="C21" s="87" t="s">
        <v>187</v>
      </c>
      <c r="D21" s="87"/>
      <c r="E21" s="29">
        <f>ROUND('Stavební rozpočet'!H76,2)</f>
        <v>0</v>
      </c>
      <c r="F21" s="29">
        <f>ROUND('Stavební rozpočet'!I76,2)</f>
        <v>0</v>
      </c>
      <c r="G21" s="29">
        <f>ROUND('Stavební rozpočet'!J76,2)</f>
        <v>0</v>
      </c>
      <c r="H21" s="31" t="s">
        <v>232</v>
      </c>
      <c r="I21" s="29">
        <f t="shared" si="0"/>
        <v>0</v>
      </c>
    </row>
    <row r="22" spans="1:9" x14ac:dyDescent="0.25">
      <c r="A22" s="2" t="s">
        <v>48</v>
      </c>
      <c r="B22" s="3" t="s">
        <v>198</v>
      </c>
      <c r="C22" s="87" t="s">
        <v>199</v>
      </c>
      <c r="D22" s="87"/>
      <c r="E22" s="29">
        <f>ROUND('Stavební rozpočet'!H83,2)</f>
        <v>0</v>
      </c>
      <c r="F22" s="29">
        <f>ROUND('Stavební rozpočet'!I83,2)</f>
        <v>0</v>
      </c>
      <c r="G22" s="29">
        <f>ROUND('Stavební rozpočet'!J83,2)</f>
        <v>0</v>
      </c>
      <c r="H22" s="31" t="s">
        <v>232</v>
      </c>
      <c r="I22" s="29">
        <f t="shared" si="0"/>
        <v>0</v>
      </c>
    </row>
    <row r="23" spans="1:9" x14ac:dyDescent="0.25">
      <c r="A23" s="2" t="s">
        <v>48</v>
      </c>
      <c r="B23" s="3" t="s">
        <v>216</v>
      </c>
      <c r="C23" s="87" t="s">
        <v>217</v>
      </c>
      <c r="D23" s="87"/>
      <c r="E23" s="29">
        <f>ROUND('Stavební rozpočet'!H91,2)</f>
        <v>0</v>
      </c>
      <c r="F23" s="29">
        <f>ROUND('Stavební rozpočet'!I91,2)</f>
        <v>0</v>
      </c>
      <c r="G23" s="29">
        <f>ROUND('Stavební rozpočet'!J91,2)</f>
        <v>0</v>
      </c>
      <c r="H23" s="31" t="s">
        <v>233</v>
      </c>
      <c r="I23" s="29">
        <f t="shared" si="0"/>
        <v>0</v>
      </c>
    </row>
    <row r="24" spans="1:9" x14ac:dyDescent="0.25">
      <c r="A24" s="2" t="s">
        <v>48</v>
      </c>
      <c r="B24" s="3" t="s">
        <v>218</v>
      </c>
      <c r="C24" s="87" t="s">
        <v>219</v>
      </c>
      <c r="D24" s="87"/>
      <c r="E24" s="29">
        <f>ROUND('Stavební rozpočet'!H92,2)</f>
        <v>0</v>
      </c>
      <c r="F24" s="29">
        <f>ROUND('Stavební rozpočet'!I92,2)</f>
        <v>0</v>
      </c>
      <c r="G24" s="29">
        <f>ROUND('Stavební rozpočet'!J92,2)</f>
        <v>0</v>
      </c>
      <c r="H24" s="31" t="s">
        <v>232</v>
      </c>
      <c r="I24" s="29">
        <f t="shared" si="0"/>
        <v>0</v>
      </c>
    </row>
    <row r="25" spans="1:9" x14ac:dyDescent="0.25">
      <c r="F25" s="4" t="s">
        <v>225</v>
      </c>
      <c r="G25" s="63" t="e">
        <f>ROUND(SUM(I11:I24),2)</f>
        <v>#REF!</v>
      </c>
    </row>
  </sheetData>
  <mergeCells count="39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C12:D12"/>
    <mergeCell ref="C13:D13"/>
    <mergeCell ref="C14:D14"/>
    <mergeCell ref="C15:D15"/>
    <mergeCell ref="C16:D16"/>
    <mergeCell ref="C22:D22"/>
    <mergeCell ref="C23:D23"/>
    <mergeCell ref="C24:D24"/>
    <mergeCell ref="C17:D17"/>
    <mergeCell ref="C18:D18"/>
    <mergeCell ref="C19:D19"/>
    <mergeCell ref="C20:D20"/>
    <mergeCell ref="C21:D21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97"/>
  <sheetViews>
    <sheetView workbookViewId="0">
      <pane ySplit="11" topLeftCell="A77" activePane="bottomLeft" state="frozen"/>
      <selection pane="bottomLeft" activeCell="A97" sqref="A97:K97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9.85546875" customWidth="1"/>
    <col min="6" max="6" width="12.85546875" customWidth="1"/>
    <col min="7" max="7" width="12" customWidth="1"/>
    <col min="8" max="10" width="15.7109375" customWidth="1"/>
    <col min="11" max="11" width="17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32" t="s">
        <v>1</v>
      </c>
      <c r="B2" s="133"/>
      <c r="C2" s="127" t="s">
        <v>2</v>
      </c>
      <c r="D2" s="128"/>
      <c r="E2" s="133" t="s">
        <v>3</v>
      </c>
      <c r="F2" s="133"/>
      <c r="G2" s="133" t="s">
        <v>4</v>
      </c>
      <c r="H2" s="124" t="s">
        <v>5</v>
      </c>
      <c r="I2" s="133" t="s">
        <v>6</v>
      </c>
      <c r="J2" s="133"/>
      <c r="K2" s="135"/>
    </row>
    <row r="3" spans="1:76" x14ac:dyDescent="0.25">
      <c r="A3" s="134"/>
      <c r="B3" s="87"/>
      <c r="C3" s="129"/>
      <c r="D3" s="129"/>
      <c r="E3" s="87"/>
      <c r="F3" s="87"/>
      <c r="G3" s="87"/>
      <c r="H3" s="87"/>
      <c r="I3" s="87"/>
      <c r="J3" s="87"/>
      <c r="K3" s="136"/>
    </row>
    <row r="4" spans="1:76" x14ac:dyDescent="0.25">
      <c r="A4" s="125" t="s">
        <v>7</v>
      </c>
      <c r="B4" s="87"/>
      <c r="C4" s="86" t="s">
        <v>8</v>
      </c>
      <c r="D4" s="87"/>
      <c r="E4" s="87" t="s">
        <v>9</v>
      </c>
      <c r="F4" s="87"/>
      <c r="G4" s="87" t="s">
        <v>10</v>
      </c>
      <c r="H4" s="86" t="s">
        <v>11</v>
      </c>
      <c r="I4" s="87" t="s">
        <v>6</v>
      </c>
      <c r="J4" s="87"/>
      <c r="K4" s="136"/>
    </row>
    <row r="5" spans="1:76" x14ac:dyDescent="0.25">
      <c r="A5" s="134"/>
      <c r="B5" s="87"/>
      <c r="C5" s="87"/>
      <c r="D5" s="87"/>
      <c r="E5" s="87"/>
      <c r="F5" s="87"/>
      <c r="G5" s="87"/>
      <c r="H5" s="87"/>
      <c r="I5" s="87"/>
      <c r="J5" s="87"/>
      <c r="K5" s="136"/>
    </row>
    <row r="6" spans="1:76" x14ac:dyDescent="0.25">
      <c r="A6" s="125" t="s">
        <v>12</v>
      </c>
      <c r="B6" s="87"/>
      <c r="C6" s="86" t="s">
        <v>13</v>
      </c>
      <c r="D6" s="87"/>
      <c r="E6" s="87" t="s">
        <v>14</v>
      </c>
      <c r="F6" s="87"/>
      <c r="G6" s="87" t="s">
        <v>4</v>
      </c>
      <c r="H6" s="86" t="s">
        <v>15</v>
      </c>
      <c r="I6" s="87" t="s">
        <v>6</v>
      </c>
      <c r="J6" s="87"/>
      <c r="K6" s="136"/>
    </row>
    <row r="7" spans="1:76" x14ac:dyDescent="0.25">
      <c r="A7" s="134"/>
      <c r="B7" s="87"/>
      <c r="C7" s="87"/>
      <c r="D7" s="87"/>
      <c r="E7" s="87"/>
      <c r="F7" s="87"/>
      <c r="G7" s="87"/>
      <c r="H7" s="87"/>
      <c r="I7" s="87"/>
      <c r="J7" s="87"/>
      <c r="K7" s="136"/>
    </row>
    <row r="8" spans="1:76" x14ac:dyDescent="0.25">
      <c r="A8" s="125" t="s">
        <v>16</v>
      </c>
      <c r="B8" s="87"/>
      <c r="C8" s="86" t="s">
        <v>4</v>
      </c>
      <c r="D8" s="87"/>
      <c r="E8" s="87" t="s">
        <v>17</v>
      </c>
      <c r="F8" s="87"/>
      <c r="G8" s="87" t="s">
        <v>10</v>
      </c>
      <c r="H8" s="86" t="s">
        <v>18</v>
      </c>
      <c r="I8" s="87" t="s">
        <v>6</v>
      </c>
      <c r="J8" s="87"/>
      <c r="K8" s="136"/>
    </row>
    <row r="9" spans="1:76" x14ac:dyDescent="0.25">
      <c r="A9" s="141"/>
      <c r="B9" s="140"/>
      <c r="C9" s="140"/>
      <c r="D9" s="140"/>
      <c r="E9" s="140"/>
      <c r="F9" s="140"/>
      <c r="G9" s="140"/>
      <c r="H9" s="140"/>
      <c r="I9" s="140"/>
      <c r="J9" s="140"/>
      <c r="K9" s="139"/>
    </row>
    <row r="10" spans="1:76" x14ac:dyDescent="0.25">
      <c r="A10" s="5" t="s">
        <v>19</v>
      </c>
      <c r="B10" s="6" t="s">
        <v>20</v>
      </c>
      <c r="C10" s="156" t="s">
        <v>21</v>
      </c>
      <c r="D10" s="157"/>
      <c r="E10" s="6" t="s">
        <v>22</v>
      </c>
      <c r="F10" s="7" t="s">
        <v>23</v>
      </c>
      <c r="G10" s="8" t="s">
        <v>24</v>
      </c>
      <c r="H10" s="151" t="s">
        <v>25</v>
      </c>
      <c r="I10" s="152"/>
      <c r="J10" s="153"/>
      <c r="K10" s="9" t="s">
        <v>26</v>
      </c>
      <c r="BK10" s="10" t="s">
        <v>27</v>
      </c>
      <c r="BL10" s="11" t="s">
        <v>28</v>
      </c>
      <c r="BW10" s="11" t="s">
        <v>29</v>
      </c>
    </row>
    <row r="11" spans="1:76" x14ac:dyDescent="0.25">
      <c r="A11" s="12" t="s">
        <v>4</v>
      </c>
      <c r="B11" s="13" t="s">
        <v>4</v>
      </c>
      <c r="C11" s="149" t="s">
        <v>30</v>
      </c>
      <c r="D11" s="150"/>
      <c r="E11" s="13" t="s">
        <v>4</v>
      </c>
      <c r="F11" s="13" t="s">
        <v>4</v>
      </c>
      <c r="G11" s="14" t="s">
        <v>31</v>
      </c>
      <c r="H11" s="15" t="s">
        <v>32</v>
      </c>
      <c r="I11" s="16" t="s">
        <v>33</v>
      </c>
      <c r="J11" s="17" t="s">
        <v>34</v>
      </c>
      <c r="K11" s="18" t="s">
        <v>35</v>
      </c>
      <c r="Z11" s="10" t="s">
        <v>36</v>
      </c>
      <c r="AA11" s="10" t="s">
        <v>37</v>
      </c>
      <c r="AB11" s="10" t="s">
        <v>38</v>
      </c>
      <c r="AC11" s="10" t="s">
        <v>39</v>
      </c>
      <c r="AD11" s="10" t="s">
        <v>40</v>
      </c>
      <c r="AE11" s="10" t="s">
        <v>41</v>
      </c>
      <c r="AF11" s="10" t="s">
        <v>42</v>
      </c>
      <c r="AG11" s="10" t="s">
        <v>43</v>
      </c>
      <c r="AH11" s="10" t="s">
        <v>44</v>
      </c>
      <c r="BH11" s="10" t="s">
        <v>45</v>
      </c>
      <c r="BI11" s="10" t="s">
        <v>46</v>
      </c>
      <c r="BJ11" s="10" t="s">
        <v>47</v>
      </c>
    </row>
    <row r="12" spans="1:76" x14ac:dyDescent="0.25">
      <c r="A12" s="19" t="s">
        <v>48</v>
      </c>
      <c r="B12" s="20" t="s">
        <v>49</v>
      </c>
      <c r="C12" s="154" t="s">
        <v>50</v>
      </c>
      <c r="D12" s="155"/>
      <c r="E12" s="21" t="s">
        <v>4</v>
      </c>
      <c r="F12" s="21" t="s">
        <v>4</v>
      </c>
      <c r="G12" s="21" t="s">
        <v>4</v>
      </c>
      <c r="H12" s="22">
        <f>SUM(H13:H13)</f>
        <v>0</v>
      </c>
      <c r="I12" s="22">
        <f>SUM(I13:I13)</f>
        <v>0</v>
      </c>
      <c r="J12" s="22">
        <f>SUM(J13:J13)</f>
        <v>0</v>
      </c>
      <c r="K12" s="23" t="s">
        <v>48</v>
      </c>
      <c r="AI12" s="10" t="s">
        <v>48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4" t="s">
        <v>51</v>
      </c>
      <c r="B13" s="25" t="s">
        <v>52</v>
      </c>
      <c r="C13" s="144" t="s">
        <v>53</v>
      </c>
      <c r="D13" s="145"/>
      <c r="E13" s="25" t="s">
        <v>54</v>
      </c>
      <c r="F13" s="27">
        <v>30</v>
      </c>
      <c r="G13" s="27">
        <v>0</v>
      </c>
      <c r="H13" s="27">
        <f>ROUND(F13*AO13,2)</f>
        <v>0</v>
      </c>
      <c r="I13" s="27">
        <f>ROUND(F13*AP13,2)</f>
        <v>0</v>
      </c>
      <c r="J13" s="27">
        <f>ROUND(F13*G13,2)</f>
        <v>0</v>
      </c>
      <c r="K13" s="28" t="s">
        <v>295</v>
      </c>
      <c r="Z13" s="29">
        <f>ROUND(IF(AQ13="5",BJ13,0),2)</f>
        <v>0</v>
      </c>
      <c r="AB13" s="29">
        <f>ROUND(IF(AQ13="1",BH13,0),2)</f>
        <v>0</v>
      </c>
      <c r="AC13" s="29">
        <f>ROUND(IF(AQ13="1",BI13,0),2)</f>
        <v>0</v>
      </c>
      <c r="AD13" s="29">
        <f>ROUND(IF(AQ13="7",BH13,0),2)</f>
        <v>0</v>
      </c>
      <c r="AE13" s="29">
        <f>ROUND(IF(AQ13="7",BI13,0),2)</f>
        <v>0</v>
      </c>
      <c r="AF13" s="29">
        <f>ROUND(IF(AQ13="2",BH13,0),2)</f>
        <v>0</v>
      </c>
      <c r="AG13" s="29">
        <f>ROUND(IF(AQ13="2",BI13,0),2)</f>
        <v>0</v>
      </c>
      <c r="AH13" s="29">
        <f>ROUND(IF(AQ13="0",BJ13,0),2)</f>
        <v>0</v>
      </c>
      <c r="AI13" s="10" t="s">
        <v>48</v>
      </c>
      <c r="AJ13" s="27">
        <f>IF(AN13=0,J13,0)</f>
        <v>0</v>
      </c>
      <c r="AK13" s="27">
        <f>IF(AN13=12,J13,0)</f>
        <v>0</v>
      </c>
      <c r="AL13" s="27">
        <f>IF(AN13=21,J13,0)</f>
        <v>0</v>
      </c>
      <c r="AN13" s="29">
        <v>21</v>
      </c>
      <c r="AO13" s="29">
        <f>G13*0.049665924</f>
        <v>0</v>
      </c>
      <c r="AP13" s="29">
        <f>G13*(1-0.049665924)</f>
        <v>0</v>
      </c>
      <c r="AQ13" s="30" t="s">
        <v>51</v>
      </c>
      <c r="AV13" s="29">
        <f>ROUND(AW13+AX13,2)</f>
        <v>0</v>
      </c>
      <c r="AW13" s="29">
        <f>ROUND(F13*AO13,2)</f>
        <v>0</v>
      </c>
      <c r="AX13" s="29">
        <f>ROUND(F13*AP13,2)</f>
        <v>0</v>
      </c>
      <c r="AY13" s="31" t="s">
        <v>55</v>
      </c>
      <c r="AZ13" s="31" t="s">
        <v>56</v>
      </c>
      <c r="BA13" s="10" t="s">
        <v>57</v>
      </c>
      <c r="BC13" s="29">
        <f>AW13+AX13</f>
        <v>0</v>
      </c>
      <c r="BD13" s="29">
        <f>G13/(100-BE13)*100</f>
        <v>0</v>
      </c>
      <c r="BE13" s="29">
        <v>0</v>
      </c>
      <c r="BF13" s="29">
        <f>13</f>
        <v>13</v>
      </c>
      <c r="BH13" s="27">
        <f>F13*AO13</f>
        <v>0</v>
      </c>
      <c r="BI13" s="27">
        <f>F13*AP13</f>
        <v>0</v>
      </c>
      <c r="BJ13" s="27">
        <f>F13*G13</f>
        <v>0</v>
      </c>
      <c r="BK13" s="30" t="s">
        <v>58</v>
      </c>
      <c r="BL13" s="29">
        <v>21</v>
      </c>
      <c r="BW13" s="29">
        <v>21</v>
      </c>
      <c r="BX13" s="26" t="s">
        <v>53</v>
      </c>
    </row>
    <row r="14" spans="1:76" x14ac:dyDescent="0.25">
      <c r="A14" s="32"/>
      <c r="C14" s="33" t="s">
        <v>59</v>
      </c>
      <c r="D14" s="34" t="s">
        <v>48</v>
      </c>
      <c r="F14" s="35">
        <v>30</v>
      </c>
      <c r="K14" s="36"/>
    </row>
    <row r="15" spans="1:76" x14ac:dyDescent="0.25">
      <c r="A15" s="37" t="s">
        <v>48</v>
      </c>
      <c r="B15" s="38" t="s">
        <v>60</v>
      </c>
      <c r="C15" s="142" t="s">
        <v>61</v>
      </c>
      <c r="D15" s="143"/>
      <c r="E15" s="39" t="s">
        <v>4</v>
      </c>
      <c r="F15" s="39" t="s">
        <v>4</v>
      </c>
      <c r="G15" s="39" t="s">
        <v>4</v>
      </c>
      <c r="H15" s="1">
        <f>SUM(H16:H16)</f>
        <v>0</v>
      </c>
      <c r="I15" s="1">
        <f>SUM(I16:I16)</f>
        <v>0</v>
      </c>
      <c r="J15" s="1">
        <f>SUM(J16:J16)</f>
        <v>0</v>
      </c>
      <c r="K15" s="40" t="s">
        <v>48</v>
      </c>
      <c r="AI15" s="10" t="s">
        <v>48</v>
      </c>
      <c r="AS15" s="1">
        <f>SUM(AJ16:AJ16)</f>
        <v>0</v>
      </c>
      <c r="AT15" s="1">
        <f>SUM(AK16:AK16)</f>
        <v>0</v>
      </c>
      <c r="AU15" s="1">
        <f>SUM(AL16:AL16)</f>
        <v>0</v>
      </c>
    </row>
    <row r="16" spans="1:76" x14ac:dyDescent="0.25">
      <c r="A16" s="24" t="s">
        <v>62</v>
      </c>
      <c r="B16" s="25" t="s">
        <v>63</v>
      </c>
      <c r="C16" s="144" t="s">
        <v>64</v>
      </c>
      <c r="D16" s="145"/>
      <c r="E16" s="25" t="s">
        <v>54</v>
      </c>
      <c r="F16" s="27">
        <v>1</v>
      </c>
      <c r="G16" s="27">
        <v>0</v>
      </c>
      <c r="H16" s="27">
        <f>ROUND(F16*AO16,2)</f>
        <v>0</v>
      </c>
      <c r="I16" s="27">
        <f>ROUND(F16*AP16,2)</f>
        <v>0</v>
      </c>
      <c r="J16" s="27">
        <f>ROUND(F16*G16,2)</f>
        <v>0</v>
      </c>
      <c r="K16" s="28" t="s">
        <v>295</v>
      </c>
      <c r="Z16" s="29">
        <f>ROUND(IF(AQ16="5",BJ16,0),2)</f>
        <v>0</v>
      </c>
      <c r="AB16" s="29">
        <f>ROUND(IF(AQ16="1",BH16,0),2)</f>
        <v>0</v>
      </c>
      <c r="AC16" s="29">
        <f>ROUND(IF(AQ16="1",BI16,0),2)</f>
        <v>0</v>
      </c>
      <c r="AD16" s="29">
        <f>ROUND(IF(AQ16="7",BH16,0),2)</f>
        <v>0</v>
      </c>
      <c r="AE16" s="29">
        <f>ROUND(IF(AQ16="7",BI16,0),2)</f>
        <v>0</v>
      </c>
      <c r="AF16" s="29">
        <f>ROUND(IF(AQ16="2",BH16,0),2)</f>
        <v>0</v>
      </c>
      <c r="AG16" s="29">
        <f>ROUND(IF(AQ16="2",BI16,0),2)</f>
        <v>0</v>
      </c>
      <c r="AH16" s="29">
        <f>ROUND(IF(AQ16="0",BJ16,0),2)</f>
        <v>0</v>
      </c>
      <c r="AI16" s="10" t="s">
        <v>48</v>
      </c>
      <c r="AJ16" s="27">
        <f>IF(AN16=0,J16,0)</f>
        <v>0</v>
      </c>
      <c r="AK16" s="27">
        <f>IF(AN16=12,J16,0)</f>
        <v>0</v>
      </c>
      <c r="AL16" s="27">
        <f>IF(AN16=21,J16,0)</f>
        <v>0</v>
      </c>
      <c r="AN16" s="29">
        <v>21</v>
      </c>
      <c r="AO16" s="29">
        <f>G16*0.842319248</f>
        <v>0</v>
      </c>
      <c r="AP16" s="29">
        <f>G16*(1-0.842319248)</f>
        <v>0</v>
      </c>
      <c r="AQ16" s="30" t="s">
        <v>51</v>
      </c>
      <c r="AV16" s="29">
        <f>ROUND(AW16+AX16,2)</f>
        <v>0</v>
      </c>
      <c r="AW16" s="29">
        <f>ROUND(F16*AO16,2)</f>
        <v>0</v>
      </c>
      <c r="AX16" s="29">
        <f>ROUND(F16*AP16,2)</f>
        <v>0</v>
      </c>
      <c r="AY16" s="31" t="s">
        <v>65</v>
      </c>
      <c r="AZ16" s="31" t="s">
        <v>66</v>
      </c>
      <c r="BA16" s="10" t="s">
        <v>57</v>
      </c>
      <c r="BC16" s="29">
        <f>AW16+AX16</f>
        <v>0</v>
      </c>
      <c r="BD16" s="29">
        <f>G16/(100-BE16)*100</f>
        <v>0</v>
      </c>
      <c r="BE16" s="29">
        <v>0</v>
      </c>
      <c r="BF16" s="29">
        <f>16</f>
        <v>16</v>
      </c>
      <c r="BH16" s="27">
        <f>F16*AO16</f>
        <v>0</v>
      </c>
      <c r="BI16" s="27">
        <f>F16*AP16</f>
        <v>0</v>
      </c>
      <c r="BJ16" s="27">
        <f>F16*G16</f>
        <v>0</v>
      </c>
      <c r="BK16" s="30" t="s">
        <v>58</v>
      </c>
      <c r="BL16" s="29">
        <v>58</v>
      </c>
      <c r="BW16" s="29">
        <v>21</v>
      </c>
      <c r="BX16" s="26" t="s">
        <v>64</v>
      </c>
    </row>
    <row r="17" spans="1:76" x14ac:dyDescent="0.25">
      <c r="A17" s="32"/>
      <c r="C17" s="33" t="s">
        <v>51</v>
      </c>
      <c r="D17" s="34" t="s">
        <v>48</v>
      </c>
      <c r="F17" s="35">
        <v>1</v>
      </c>
      <c r="K17" s="36"/>
    </row>
    <row r="18" spans="1:76" x14ac:dyDescent="0.25">
      <c r="A18" s="37" t="s">
        <v>48</v>
      </c>
      <c r="B18" s="38" t="s">
        <v>67</v>
      </c>
      <c r="C18" s="142" t="s">
        <v>68</v>
      </c>
      <c r="D18" s="143"/>
      <c r="E18" s="39" t="s">
        <v>4</v>
      </c>
      <c r="F18" s="39" t="s">
        <v>4</v>
      </c>
      <c r="G18" s="39" t="s">
        <v>4</v>
      </c>
      <c r="H18" s="1">
        <f>SUM(H19:H19)</f>
        <v>0</v>
      </c>
      <c r="I18" s="1">
        <f>SUM(I19:I19)</f>
        <v>0</v>
      </c>
      <c r="J18" s="1">
        <f>SUM(J19:J19)</f>
        <v>0</v>
      </c>
      <c r="K18" s="40" t="s">
        <v>48</v>
      </c>
      <c r="AI18" s="10" t="s">
        <v>48</v>
      </c>
      <c r="AS18" s="1">
        <f>SUM(AJ19:AJ19)</f>
        <v>0</v>
      </c>
      <c r="AT18" s="1">
        <f>SUM(AK19:AK19)</f>
        <v>0</v>
      </c>
      <c r="AU18" s="1">
        <f>SUM(AL19:AL19)</f>
        <v>0</v>
      </c>
    </row>
    <row r="19" spans="1:76" x14ac:dyDescent="0.25">
      <c r="A19" s="24" t="s">
        <v>69</v>
      </c>
      <c r="B19" s="25" t="s">
        <v>70</v>
      </c>
      <c r="C19" s="144" t="s">
        <v>71</v>
      </c>
      <c r="D19" s="145"/>
      <c r="E19" s="25" t="s">
        <v>54</v>
      </c>
      <c r="F19" s="27">
        <v>30</v>
      </c>
      <c r="G19" s="27">
        <v>0</v>
      </c>
      <c r="H19" s="27">
        <f>ROUND(F19*AO19,2)</f>
        <v>0</v>
      </c>
      <c r="I19" s="27">
        <f>ROUND(F19*AP19,2)</f>
        <v>0</v>
      </c>
      <c r="J19" s="27">
        <f>ROUND(F19*G19,2)</f>
        <v>0</v>
      </c>
      <c r="K19" s="28" t="s">
        <v>295</v>
      </c>
      <c r="Z19" s="29">
        <f>ROUND(IF(AQ19="5",BJ19,0),2)</f>
        <v>0</v>
      </c>
      <c r="AB19" s="29">
        <f>ROUND(IF(AQ19="1",BH19,0),2)</f>
        <v>0</v>
      </c>
      <c r="AC19" s="29">
        <f>ROUND(IF(AQ19="1",BI19,0),2)</f>
        <v>0</v>
      </c>
      <c r="AD19" s="29">
        <f>ROUND(IF(AQ19="7",BH19,0),2)</f>
        <v>0</v>
      </c>
      <c r="AE19" s="29">
        <f>ROUND(IF(AQ19="7",BI19,0),2)</f>
        <v>0</v>
      </c>
      <c r="AF19" s="29">
        <f>ROUND(IF(AQ19="2",BH19,0),2)</f>
        <v>0</v>
      </c>
      <c r="AG19" s="29">
        <f>ROUND(IF(AQ19="2",BI19,0),2)</f>
        <v>0</v>
      </c>
      <c r="AH19" s="29">
        <f>ROUND(IF(AQ19="0",BJ19,0),2)</f>
        <v>0</v>
      </c>
      <c r="AI19" s="10" t="s">
        <v>48</v>
      </c>
      <c r="AJ19" s="27">
        <f>IF(AN19=0,J19,0)</f>
        <v>0</v>
      </c>
      <c r="AK19" s="27">
        <f>IF(AN19=12,J19,0)</f>
        <v>0</v>
      </c>
      <c r="AL19" s="27">
        <f>IF(AN19=21,J19,0)</f>
        <v>0</v>
      </c>
      <c r="AN19" s="29">
        <v>21</v>
      </c>
      <c r="AO19" s="29">
        <f>G19*0.369492635</f>
        <v>0</v>
      </c>
      <c r="AP19" s="29">
        <f>G19*(1-0.369492635)</f>
        <v>0</v>
      </c>
      <c r="AQ19" s="30" t="s">
        <v>51</v>
      </c>
      <c r="AV19" s="29">
        <f>ROUND(AW19+AX19,2)</f>
        <v>0</v>
      </c>
      <c r="AW19" s="29">
        <f>ROUND(F19*AO19,2)</f>
        <v>0</v>
      </c>
      <c r="AX19" s="29">
        <f>ROUND(F19*AP19,2)</f>
        <v>0</v>
      </c>
      <c r="AY19" s="31" t="s">
        <v>72</v>
      </c>
      <c r="AZ19" s="31" t="s">
        <v>73</v>
      </c>
      <c r="BA19" s="10" t="s">
        <v>57</v>
      </c>
      <c r="BC19" s="29">
        <f>AW19+AX19</f>
        <v>0</v>
      </c>
      <c r="BD19" s="29">
        <f>G19/(100-BE19)*100</f>
        <v>0</v>
      </c>
      <c r="BE19" s="29">
        <v>0</v>
      </c>
      <c r="BF19" s="29">
        <f>19</f>
        <v>19</v>
      </c>
      <c r="BH19" s="27">
        <f>F19*AO19</f>
        <v>0</v>
      </c>
      <c r="BI19" s="27">
        <f>F19*AP19</f>
        <v>0</v>
      </c>
      <c r="BJ19" s="27">
        <f>F19*G19</f>
        <v>0</v>
      </c>
      <c r="BK19" s="30" t="s">
        <v>58</v>
      </c>
      <c r="BL19" s="29">
        <v>62</v>
      </c>
      <c r="BW19" s="29">
        <v>21</v>
      </c>
      <c r="BX19" s="26" t="s">
        <v>71</v>
      </c>
    </row>
    <row r="20" spans="1:76" x14ac:dyDescent="0.25">
      <c r="A20" s="32"/>
      <c r="C20" s="33" t="s">
        <v>59</v>
      </c>
      <c r="D20" s="34" t="s">
        <v>48</v>
      </c>
      <c r="F20" s="35">
        <v>30</v>
      </c>
      <c r="K20" s="36"/>
    </row>
    <row r="21" spans="1:76" x14ac:dyDescent="0.25">
      <c r="A21" s="37" t="s">
        <v>48</v>
      </c>
      <c r="B21" s="38" t="s">
        <v>74</v>
      </c>
      <c r="C21" s="142" t="s">
        <v>75</v>
      </c>
      <c r="D21" s="143"/>
      <c r="E21" s="39" t="s">
        <v>4</v>
      </c>
      <c r="F21" s="39" t="s">
        <v>4</v>
      </c>
      <c r="G21" s="39" t="s">
        <v>4</v>
      </c>
      <c r="H21" s="1">
        <f>SUM(H22:H22)</f>
        <v>0</v>
      </c>
      <c r="I21" s="1">
        <f>SUM(I22:I22)</f>
        <v>0</v>
      </c>
      <c r="J21" s="1">
        <f>SUM(J22:J22)</f>
        <v>0</v>
      </c>
      <c r="K21" s="40" t="s">
        <v>48</v>
      </c>
      <c r="AI21" s="10" t="s">
        <v>48</v>
      </c>
      <c r="AS21" s="1">
        <f>SUM(AJ22:AJ22)</f>
        <v>0</v>
      </c>
      <c r="AT21" s="1">
        <f>SUM(AK22:AK22)</f>
        <v>0</v>
      </c>
      <c r="AU21" s="1">
        <f>SUM(AL22:AL22)</f>
        <v>0</v>
      </c>
    </row>
    <row r="22" spans="1:76" x14ac:dyDescent="0.25">
      <c r="A22" s="24" t="s">
        <v>76</v>
      </c>
      <c r="B22" s="25" t="s">
        <v>77</v>
      </c>
      <c r="C22" s="144" t="s">
        <v>78</v>
      </c>
      <c r="D22" s="145"/>
      <c r="E22" s="25" t="s">
        <v>79</v>
      </c>
      <c r="F22" s="27">
        <v>8</v>
      </c>
      <c r="G22" s="27">
        <v>0</v>
      </c>
      <c r="H22" s="27">
        <f>ROUND(F22*AO22,2)</f>
        <v>0</v>
      </c>
      <c r="I22" s="27">
        <f>ROUND(F22*AP22,2)</f>
        <v>0</v>
      </c>
      <c r="J22" s="27">
        <f>ROUND(F22*G22,2)</f>
        <v>0</v>
      </c>
      <c r="K22" s="28" t="s">
        <v>295</v>
      </c>
      <c r="Z22" s="29">
        <f>ROUND(IF(AQ22="5",BJ22,0),2)</f>
        <v>0</v>
      </c>
      <c r="AB22" s="29">
        <f>ROUND(IF(AQ22="1",BH22,0),2)</f>
        <v>0</v>
      </c>
      <c r="AC22" s="29">
        <f>ROUND(IF(AQ22="1",BI22,0),2)</f>
        <v>0</v>
      </c>
      <c r="AD22" s="29">
        <f>ROUND(IF(AQ22="7",BH22,0),2)</f>
        <v>0</v>
      </c>
      <c r="AE22" s="29">
        <f>ROUND(IF(AQ22="7",BI22,0),2)</f>
        <v>0</v>
      </c>
      <c r="AF22" s="29">
        <f>ROUND(IF(AQ22="2",BH22,0),2)</f>
        <v>0</v>
      </c>
      <c r="AG22" s="29">
        <f>ROUND(IF(AQ22="2",BI22,0),2)</f>
        <v>0</v>
      </c>
      <c r="AH22" s="29">
        <f>ROUND(IF(AQ22="0",BJ22,0),2)</f>
        <v>0</v>
      </c>
      <c r="AI22" s="10" t="s">
        <v>48</v>
      </c>
      <c r="AJ22" s="27">
        <f>IF(AN22=0,J22,0)</f>
        <v>0</v>
      </c>
      <c r="AK22" s="27">
        <f>IF(AN22=12,J22,0)</f>
        <v>0</v>
      </c>
      <c r="AL22" s="27">
        <f>IF(AN22=21,J22,0)</f>
        <v>0</v>
      </c>
      <c r="AN22" s="29">
        <v>21</v>
      </c>
      <c r="AO22" s="29">
        <f>G22*0</f>
        <v>0</v>
      </c>
      <c r="AP22" s="29">
        <f>G22*(1-0)</f>
        <v>0</v>
      </c>
      <c r="AQ22" s="30" t="s">
        <v>51</v>
      </c>
      <c r="AV22" s="29">
        <f>ROUND(AW22+AX22,2)</f>
        <v>0</v>
      </c>
      <c r="AW22" s="29">
        <f>ROUND(F22*AO22,2)</f>
        <v>0</v>
      </c>
      <c r="AX22" s="29">
        <f>ROUND(F22*AP22,2)</f>
        <v>0</v>
      </c>
      <c r="AY22" s="31" t="s">
        <v>80</v>
      </c>
      <c r="AZ22" s="31" t="s">
        <v>81</v>
      </c>
      <c r="BA22" s="10" t="s">
        <v>57</v>
      </c>
      <c r="BC22" s="29">
        <f>AW22+AX22</f>
        <v>0</v>
      </c>
      <c r="BD22" s="29">
        <f>G22/(100-BE22)*100</f>
        <v>0</v>
      </c>
      <c r="BE22" s="29">
        <v>0</v>
      </c>
      <c r="BF22" s="29">
        <f>22</f>
        <v>22</v>
      </c>
      <c r="BH22" s="27">
        <f>F22*AO22</f>
        <v>0</v>
      </c>
      <c r="BI22" s="27">
        <f>F22*AP22</f>
        <v>0</v>
      </c>
      <c r="BJ22" s="27">
        <f>F22*G22</f>
        <v>0</v>
      </c>
      <c r="BK22" s="30" t="s">
        <v>58</v>
      </c>
      <c r="BL22" s="29">
        <v>90</v>
      </c>
      <c r="BW22" s="29">
        <v>21</v>
      </c>
      <c r="BX22" s="26" t="s">
        <v>78</v>
      </c>
    </row>
    <row r="23" spans="1:76" x14ac:dyDescent="0.25">
      <c r="A23" s="32"/>
      <c r="C23" s="33" t="s">
        <v>82</v>
      </c>
      <c r="D23" s="34" t="s">
        <v>83</v>
      </c>
      <c r="F23" s="35">
        <v>8</v>
      </c>
      <c r="K23" s="36"/>
    </row>
    <row r="24" spans="1:76" x14ac:dyDescent="0.25">
      <c r="A24" s="37" t="s">
        <v>48</v>
      </c>
      <c r="B24" s="38" t="s">
        <v>84</v>
      </c>
      <c r="C24" s="142" t="s">
        <v>85</v>
      </c>
      <c r="D24" s="143"/>
      <c r="E24" s="39" t="s">
        <v>4</v>
      </c>
      <c r="F24" s="39" t="s">
        <v>4</v>
      </c>
      <c r="G24" s="39" t="s">
        <v>4</v>
      </c>
      <c r="H24" s="1">
        <f>SUM(H25:H27)</f>
        <v>0</v>
      </c>
      <c r="I24" s="1">
        <f>SUM(I25:I27)</f>
        <v>0</v>
      </c>
      <c r="J24" s="1">
        <f>SUM(J25:J27)</f>
        <v>0</v>
      </c>
      <c r="K24" s="40" t="s">
        <v>48</v>
      </c>
      <c r="AI24" s="10" t="s">
        <v>48</v>
      </c>
      <c r="AS24" s="1">
        <f>SUM(AJ25:AJ27)</f>
        <v>0</v>
      </c>
      <c r="AT24" s="1">
        <f>SUM(AK25:AK27)</f>
        <v>0</v>
      </c>
      <c r="AU24" s="1">
        <f>SUM(AL25:AL27)</f>
        <v>0</v>
      </c>
    </row>
    <row r="25" spans="1:76" x14ac:dyDescent="0.25">
      <c r="A25" s="24" t="s">
        <v>86</v>
      </c>
      <c r="B25" s="25" t="s">
        <v>87</v>
      </c>
      <c r="C25" s="144" t="s">
        <v>88</v>
      </c>
      <c r="D25" s="145"/>
      <c r="E25" s="25" t="s">
        <v>54</v>
      </c>
      <c r="F25" s="27">
        <v>52</v>
      </c>
      <c r="G25" s="27">
        <v>0</v>
      </c>
      <c r="H25" s="27">
        <f>ROUND(F25*AO25,2)</f>
        <v>0</v>
      </c>
      <c r="I25" s="27">
        <f>ROUND(F25*AP25,2)</f>
        <v>0</v>
      </c>
      <c r="J25" s="27">
        <f>ROUND(F25*G25,2)</f>
        <v>0</v>
      </c>
      <c r="K25" s="28" t="s">
        <v>295</v>
      </c>
      <c r="Z25" s="29">
        <f>ROUND(IF(AQ25="5",BJ25,0),2)</f>
        <v>0</v>
      </c>
      <c r="AB25" s="29">
        <f>ROUND(IF(AQ25="1",BH25,0),2)</f>
        <v>0</v>
      </c>
      <c r="AC25" s="29">
        <f>ROUND(IF(AQ25="1",BI25,0),2)</f>
        <v>0</v>
      </c>
      <c r="AD25" s="29">
        <f>ROUND(IF(AQ25="7",BH25,0),2)</f>
        <v>0</v>
      </c>
      <c r="AE25" s="29">
        <f>ROUND(IF(AQ25="7",BI25,0),2)</f>
        <v>0</v>
      </c>
      <c r="AF25" s="29">
        <f>ROUND(IF(AQ25="2",BH25,0),2)</f>
        <v>0</v>
      </c>
      <c r="AG25" s="29">
        <f>ROUND(IF(AQ25="2",BI25,0),2)</f>
        <v>0</v>
      </c>
      <c r="AH25" s="29">
        <f>ROUND(IF(AQ25="0",BJ25,0),2)</f>
        <v>0</v>
      </c>
      <c r="AI25" s="10" t="s">
        <v>48</v>
      </c>
      <c r="AJ25" s="27">
        <f>IF(AN25=0,J25,0)</f>
        <v>0</v>
      </c>
      <c r="AK25" s="27">
        <f>IF(AN25=12,J25,0)</f>
        <v>0</v>
      </c>
      <c r="AL25" s="27">
        <f>IF(AN25=21,J25,0)</f>
        <v>0</v>
      </c>
      <c r="AN25" s="29">
        <v>21</v>
      </c>
      <c r="AO25" s="29">
        <f>G25*0.309860944</f>
        <v>0</v>
      </c>
      <c r="AP25" s="29">
        <f>G25*(1-0.309860944)</f>
        <v>0</v>
      </c>
      <c r="AQ25" s="30" t="s">
        <v>51</v>
      </c>
      <c r="AV25" s="29">
        <f>ROUND(AW25+AX25,2)</f>
        <v>0</v>
      </c>
      <c r="AW25" s="29">
        <f>ROUND(F25*AO25,2)</f>
        <v>0</v>
      </c>
      <c r="AX25" s="29">
        <f>ROUND(F25*AP25,2)</f>
        <v>0</v>
      </c>
      <c r="AY25" s="31" t="s">
        <v>89</v>
      </c>
      <c r="AZ25" s="31" t="s">
        <v>81</v>
      </c>
      <c r="BA25" s="10" t="s">
        <v>57</v>
      </c>
      <c r="BC25" s="29">
        <f>AW25+AX25</f>
        <v>0</v>
      </c>
      <c r="BD25" s="29">
        <f>G25/(100-BE25)*100</f>
        <v>0</v>
      </c>
      <c r="BE25" s="29">
        <v>0</v>
      </c>
      <c r="BF25" s="29">
        <f>25</f>
        <v>25</v>
      </c>
      <c r="BH25" s="27">
        <f>F25*AO25</f>
        <v>0</v>
      </c>
      <c r="BI25" s="27">
        <f>F25*AP25</f>
        <v>0</v>
      </c>
      <c r="BJ25" s="27">
        <f>F25*G25</f>
        <v>0</v>
      </c>
      <c r="BK25" s="30" t="s">
        <v>58</v>
      </c>
      <c r="BL25" s="29">
        <v>94</v>
      </c>
      <c r="BW25" s="29">
        <v>21</v>
      </c>
      <c r="BX25" s="26" t="s">
        <v>88</v>
      </c>
    </row>
    <row r="26" spans="1:76" x14ac:dyDescent="0.25">
      <c r="A26" s="32"/>
      <c r="C26" s="33" t="s">
        <v>90</v>
      </c>
      <c r="D26" s="34" t="s">
        <v>48</v>
      </c>
      <c r="F26" s="35">
        <v>52</v>
      </c>
      <c r="K26" s="36"/>
    </row>
    <row r="27" spans="1:76" x14ac:dyDescent="0.25">
      <c r="A27" s="24" t="s">
        <v>91</v>
      </c>
      <c r="B27" s="25" t="s">
        <v>92</v>
      </c>
      <c r="C27" s="144" t="s">
        <v>93</v>
      </c>
      <c r="D27" s="145"/>
      <c r="E27" s="25" t="s">
        <v>94</v>
      </c>
      <c r="F27" s="27">
        <v>1.3540000000000001</v>
      </c>
      <c r="G27" s="27">
        <v>0</v>
      </c>
      <c r="H27" s="27">
        <f>ROUND(F27*AO27,2)</f>
        <v>0</v>
      </c>
      <c r="I27" s="27">
        <f>ROUND(F27*AP27,2)</f>
        <v>0</v>
      </c>
      <c r="J27" s="27">
        <f>ROUND(F27*G27,2)</f>
        <v>0</v>
      </c>
      <c r="K27" s="28" t="s">
        <v>295</v>
      </c>
      <c r="Z27" s="29">
        <f>ROUND(IF(AQ27="5",BJ27,0),2)</f>
        <v>0</v>
      </c>
      <c r="AB27" s="29">
        <f>ROUND(IF(AQ27="1",BH27,0),2)</f>
        <v>0</v>
      </c>
      <c r="AC27" s="29">
        <f>ROUND(IF(AQ27="1",BI27,0),2)</f>
        <v>0</v>
      </c>
      <c r="AD27" s="29">
        <f>ROUND(IF(AQ27="7",BH27,0),2)</f>
        <v>0</v>
      </c>
      <c r="AE27" s="29">
        <f>ROUND(IF(AQ27="7",BI27,0),2)</f>
        <v>0</v>
      </c>
      <c r="AF27" s="29">
        <f>ROUND(IF(AQ27="2",BH27,0),2)</f>
        <v>0</v>
      </c>
      <c r="AG27" s="29">
        <f>ROUND(IF(AQ27="2",BI27,0),2)</f>
        <v>0</v>
      </c>
      <c r="AH27" s="29">
        <f>ROUND(IF(AQ27="0",BJ27,0),2)</f>
        <v>0</v>
      </c>
      <c r="AI27" s="10" t="s">
        <v>48</v>
      </c>
      <c r="AJ27" s="27">
        <f>IF(AN27=0,J27,0)</f>
        <v>0</v>
      </c>
      <c r="AK27" s="27">
        <f>IF(AN27=12,J27,0)</f>
        <v>0</v>
      </c>
      <c r="AL27" s="27">
        <f>IF(AN27=21,J27,0)</f>
        <v>0</v>
      </c>
      <c r="AN27" s="29">
        <v>21</v>
      </c>
      <c r="AO27" s="29">
        <f>G27*0</f>
        <v>0</v>
      </c>
      <c r="AP27" s="29">
        <f>G27*(1-0)</f>
        <v>0</v>
      </c>
      <c r="AQ27" s="30" t="s">
        <v>86</v>
      </c>
      <c r="AV27" s="29">
        <f>ROUND(AW27+AX27,2)</f>
        <v>0</v>
      </c>
      <c r="AW27" s="29">
        <f>ROUND(F27*AO27,2)</f>
        <v>0</v>
      </c>
      <c r="AX27" s="29">
        <f>ROUND(F27*AP27,2)</f>
        <v>0</v>
      </c>
      <c r="AY27" s="31" t="s">
        <v>89</v>
      </c>
      <c r="AZ27" s="31" t="s">
        <v>81</v>
      </c>
      <c r="BA27" s="10" t="s">
        <v>57</v>
      </c>
      <c r="BC27" s="29">
        <f>AW27+AX27</f>
        <v>0</v>
      </c>
      <c r="BD27" s="29">
        <f>G27/(100-BE27)*100</f>
        <v>0</v>
      </c>
      <c r="BE27" s="29">
        <v>0</v>
      </c>
      <c r="BF27" s="29">
        <f>27</f>
        <v>27</v>
      </c>
      <c r="BH27" s="27">
        <f>F27*AO27</f>
        <v>0</v>
      </c>
      <c r="BI27" s="27">
        <f>F27*AP27</f>
        <v>0</v>
      </c>
      <c r="BJ27" s="27">
        <f>F27*G27</f>
        <v>0</v>
      </c>
      <c r="BK27" s="30" t="s">
        <v>58</v>
      </c>
      <c r="BL27" s="29">
        <v>94</v>
      </c>
      <c r="BW27" s="29">
        <v>21</v>
      </c>
      <c r="BX27" s="26" t="s">
        <v>93</v>
      </c>
    </row>
    <row r="28" spans="1:76" x14ac:dyDescent="0.25">
      <c r="A28" s="37" t="s">
        <v>48</v>
      </c>
      <c r="B28" s="38" t="s">
        <v>99</v>
      </c>
      <c r="C28" s="142" t="s">
        <v>100</v>
      </c>
      <c r="D28" s="143"/>
      <c r="E28" s="39" t="s">
        <v>4</v>
      </c>
      <c r="F28" s="39" t="s">
        <v>4</v>
      </c>
      <c r="G28" s="39" t="s">
        <v>4</v>
      </c>
      <c r="H28" s="1">
        <f>SUM(H29:H29)</f>
        <v>0</v>
      </c>
      <c r="I28" s="1">
        <f>SUM(I29:I29)</f>
        <v>0</v>
      </c>
      <c r="J28" s="1">
        <f>SUM(J29:J29)</f>
        <v>0</v>
      </c>
      <c r="K28" s="40" t="s">
        <v>48</v>
      </c>
      <c r="AI28" s="10" t="s">
        <v>48</v>
      </c>
      <c r="AS28" s="1">
        <f>SUM(AJ29:AJ29)</f>
        <v>0</v>
      </c>
      <c r="AT28" s="1">
        <f>SUM(AK29:AK29)</f>
        <v>0</v>
      </c>
      <c r="AU28" s="1">
        <f>SUM(AL29:AL29)</f>
        <v>0</v>
      </c>
    </row>
    <row r="29" spans="1:76" x14ac:dyDescent="0.25">
      <c r="A29" s="24">
        <v>7</v>
      </c>
      <c r="B29" s="25" t="s">
        <v>101</v>
      </c>
      <c r="C29" s="144" t="s">
        <v>102</v>
      </c>
      <c r="D29" s="145"/>
      <c r="E29" s="25" t="s">
        <v>103</v>
      </c>
      <c r="F29" s="27">
        <v>118.5</v>
      </c>
      <c r="G29" s="27">
        <v>0</v>
      </c>
      <c r="H29" s="27">
        <f>ROUND(F29*AO29,2)</f>
        <v>0</v>
      </c>
      <c r="I29" s="27">
        <f>ROUND(F29*AP29,2)</f>
        <v>0</v>
      </c>
      <c r="J29" s="27">
        <f>ROUND(F29*G29,2)</f>
        <v>0</v>
      </c>
      <c r="K29" s="28" t="s">
        <v>295</v>
      </c>
      <c r="Z29" s="29">
        <f>ROUND(IF(AQ29="5",BJ29,0),2)</f>
        <v>0</v>
      </c>
      <c r="AB29" s="29">
        <f>ROUND(IF(AQ29="1",BH29,0),2)</f>
        <v>0</v>
      </c>
      <c r="AC29" s="29">
        <f>ROUND(IF(AQ29="1",BI29,0),2)</f>
        <v>0</v>
      </c>
      <c r="AD29" s="29">
        <f>ROUND(IF(AQ29="7",BH29,0),2)</f>
        <v>0</v>
      </c>
      <c r="AE29" s="29">
        <f>ROUND(IF(AQ29="7",BI29,0),2)</f>
        <v>0</v>
      </c>
      <c r="AF29" s="29">
        <f>ROUND(IF(AQ29="2",BH29,0),2)</f>
        <v>0</v>
      </c>
      <c r="AG29" s="29">
        <f>ROUND(IF(AQ29="2",BI29,0),2)</f>
        <v>0</v>
      </c>
      <c r="AH29" s="29">
        <f>ROUND(IF(AQ29="0",BJ29,0),2)</f>
        <v>0</v>
      </c>
      <c r="AI29" s="10" t="s">
        <v>48</v>
      </c>
      <c r="AJ29" s="27">
        <f>IF(AN29=0,J29,0)</f>
        <v>0</v>
      </c>
      <c r="AK29" s="27">
        <f>IF(AN29=12,J29,0)</f>
        <v>0</v>
      </c>
      <c r="AL29" s="27">
        <f>IF(AN29=21,J29,0)</f>
        <v>0</v>
      </c>
      <c r="AN29" s="29">
        <v>21</v>
      </c>
      <c r="AO29" s="29">
        <f>G29*0.146284069</f>
        <v>0</v>
      </c>
      <c r="AP29" s="29">
        <f>G29*(1-0.146284069)</f>
        <v>0</v>
      </c>
      <c r="AQ29" s="30" t="s">
        <v>51</v>
      </c>
      <c r="AV29" s="29">
        <f>ROUND(AW29+AX29,2)</f>
        <v>0</v>
      </c>
      <c r="AW29" s="29">
        <f>ROUND(F29*AO29,2)</f>
        <v>0</v>
      </c>
      <c r="AX29" s="29">
        <f>ROUND(F29*AP29,2)</f>
        <v>0</v>
      </c>
      <c r="AY29" s="31" t="s">
        <v>104</v>
      </c>
      <c r="AZ29" s="31" t="s">
        <v>81</v>
      </c>
      <c r="BA29" s="10" t="s">
        <v>57</v>
      </c>
      <c r="BC29" s="29">
        <f>AW29+AX29</f>
        <v>0</v>
      </c>
      <c r="BD29" s="29">
        <f>G29/(100-BE29)*100</f>
        <v>0</v>
      </c>
      <c r="BE29" s="29">
        <v>0</v>
      </c>
      <c r="BF29" s="29">
        <f>32</f>
        <v>32</v>
      </c>
      <c r="BH29" s="27">
        <f>F29*AO29</f>
        <v>0</v>
      </c>
      <c r="BI29" s="27">
        <f>F29*AP29</f>
        <v>0</v>
      </c>
      <c r="BJ29" s="27">
        <f>F29*G29</f>
        <v>0</v>
      </c>
      <c r="BK29" s="30" t="s">
        <v>58</v>
      </c>
      <c r="BL29" s="29">
        <v>98</v>
      </c>
      <c r="BW29" s="29">
        <v>21</v>
      </c>
      <c r="BX29" s="26" t="s">
        <v>102</v>
      </c>
    </row>
    <row r="30" spans="1:76" x14ac:dyDescent="0.25">
      <c r="A30" s="32"/>
      <c r="C30" s="33" t="s">
        <v>105</v>
      </c>
      <c r="D30" s="34" t="s">
        <v>106</v>
      </c>
      <c r="F30" s="35">
        <v>118.5</v>
      </c>
      <c r="K30" s="36"/>
    </row>
    <row r="31" spans="1:76" x14ac:dyDescent="0.25">
      <c r="A31" s="37" t="s">
        <v>48</v>
      </c>
      <c r="B31" s="38" t="s">
        <v>107</v>
      </c>
      <c r="C31" s="142" t="s">
        <v>108</v>
      </c>
      <c r="D31" s="143"/>
      <c r="E31" s="39" t="s">
        <v>4</v>
      </c>
      <c r="F31" s="39" t="s">
        <v>4</v>
      </c>
      <c r="G31" s="39" t="s">
        <v>4</v>
      </c>
      <c r="H31" s="1">
        <f>SUM(H32:H40)</f>
        <v>0</v>
      </c>
      <c r="I31" s="1">
        <f>SUM(I32:I40)</f>
        <v>0</v>
      </c>
      <c r="J31" s="1">
        <f>SUM(J32:J40)</f>
        <v>0</v>
      </c>
      <c r="K31" s="40" t="s">
        <v>48</v>
      </c>
      <c r="AI31" s="10" t="s">
        <v>48</v>
      </c>
      <c r="AS31" s="1">
        <f>SUM(AJ32:AJ40)</f>
        <v>0</v>
      </c>
      <c r="AT31" s="1">
        <f>SUM(AK32:AK40)</f>
        <v>0</v>
      </c>
      <c r="AU31" s="1">
        <f>SUM(AL32:AL40)</f>
        <v>0</v>
      </c>
    </row>
    <row r="32" spans="1:76" x14ac:dyDescent="0.25">
      <c r="A32" s="24">
        <v>8</v>
      </c>
      <c r="B32" s="25" t="s">
        <v>109</v>
      </c>
      <c r="C32" s="144" t="s">
        <v>110</v>
      </c>
      <c r="D32" s="145"/>
      <c r="E32" s="25" t="s">
        <v>94</v>
      </c>
      <c r="F32" s="27">
        <v>4.7089999999999996</v>
      </c>
      <c r="G32" s="27">
        <v>0</v>
      </c>
      <c r="H32" s="27">
        <f>ROUND(F32*AO32,2)</f>
        <v>0</v>
      </c>
      <c r="I32" s="27">
        <f>ROUND(F32*AP32,2)</f>
        <v>0</v>
      </c>
      <c r="J32" s="27">
        <f>ROUND(F32*G32,2)</f>
        <v>0</v>
      </c>
      <c r="K32" s="28" t="s">
        <v>295</v>
      </c>
      <c r="Z32" s="29">
        <f>ROUND(IF(AQ32="5",BJ32,0),2)</f>
        <v>0</v>
      </c>
      <c r="AB32" s="29">
        <f>ROUND(IF(AQ32="1",BH32,0),2)</f>
        <v>0</v>
      </c>
      <c r="AC32" s="29">
        <f>ROUND(IF(AQ32="1",BI32,0),2)</f>
        <v>0</v>
      </c>
      <c r="AD32" s="29">
        <f>ROUND(IF(AQ32="7",BH32,0),2)</f>
        <v>0</v>
      </c>
      <c r="AE32" s="29">
        <f>ROUND(IF(AQ32="7",BI32,0),2)</f>
        <v>0</v>
      </c>
      <c r="AF32" s="29">
        <f>ROUND(IF(AQ32="2",BH32,0),2)</f>
        <v>0</v>
      </c>
      <c r="AG32" s="29">
        <f>ROUND(IF(AQ32="2",BI32,0),2)</f>
        <v>0</v>
      </c>
      <c r="AH32" s="29">
        <f>ROUND(IF(AQ32="0",BJ32,0),2)</f>
        <v>0</v>
      </c>
      <c r="AI32" s="10" t="s">
        <v>48</v>
      </c>
      <c r="AJ32" s="27">
        <f>IF(AN32=0,J32,0)</f>
        <v>0</v>
      </c>
      <c r="AK32" s="27">
        <f>IF(AN32=12,J32,0)</f>
        <v>0</v>
      </c>
      <c r="AL32" s="27">
        <f>IF(AN32=21,J32,0)</f>
        <v>0</v>
      </c>
      <c r="AN32" s="29">
        <v>21</v>
      </c>
      <c r="AO32" s="29">
        <f>G32*0.013963179</f>
        <v>0</v>
      </c>
      <c r="AP32" s="29">
        <f>G32*(1-0.013963179)</f>
        <v>0</v>
      </c>
      <c r="AQ32" s="30" t="s">
        <v>86</v>
      </c>
      <c r="AV32" s="29">
        <f>ROUND(AW32+AX32,2)</f>
        <v>0</v>
      </c>
      <c r="AW32" s="29">
        <f>ROUND(F32*AO32,2)</f>
        <v>0</v>
      </c>
      <c r="AX32" s="29">
        <f>ROUND(F32*AP32,2)</f>
        <v>0</v>
      </c>
      <c r="AY32" s="31" t="s">
        <v>111</v>
      </c>
      <c r="AZ32" s="31" t="s">
        <v>81</v>
      </c>
      <c r="BA32" s="10" t="s">
        <v>57</v>
      </c>
      <c r="BC32" s="29">
        <f>AW32+AX32</f>
        <v>0</v>
      </c>
      <c r="BD32" s="29">
        <f>G32/(100-BE32)*100</f>
        <v>0</v>
      </c>
      <c r="BE32" s="29">
        <v>0</v>
      </c>
      <c r="BF32" s="29">
        <f>35</f>
        <v>35</v>
      </c>
      <c r="BH32" s="27">
        <f>F32*AO32</f>
        <v>0</v>
      </c>
      <c r="BI32" s="27">
        <f>F32*AP32</f>
        <v>0</v>
      </c>
      <c r="BJ32" s="27">
        <f>F32*G32</f>
        <v>0</v>
      </c>
      <c r="BK32" s="30" t="s">
        <v>58</v>
      </c>
      <c r="BL32" s="29"/>
      <c r="BW32" s="29">
        <v>21</v>
      </c>
      <c r="BX32" s="26" t="s">
        <v>110</v>
      </c>
    </row>
    <row r="33" spans="1:76" x14ac:dyDescent="0.25">
      <c r="A33" s="32"/>
      <c r="C33" s="33" t="s">
        <v>112</v>
      </c>
      <c r="D33" s="34" t="s">
        <v>113</v>
      </c>
      <c r="F33" s="35">
        <v>4.7089999999999996</v>
      </c>
      <c r="K33" s="36"/>
    </row>
    <row r="34" spans="1:76" x14ac:dyDescent="0.25">
      <c r="A34" s="24">
        <v>9</v>
      </c>
      <c r="B34" s="25" t="s">
        <v>114</v>
      </c>
      <c r="C34" s="144" t="s">
        <v>115</v>
      </c>
      <c r="D34" s="145"/>
      <c r="E34" s="25" t="s">
        <v>94</v>
      </c>
      <c r="F34" s="27">
        <v>1.96</v>
      </c>
      <c r="G34" s="27">
        <v>0</v>
      </c>
      <c r="H34" s="27">
        <f>ROUND(F34*AO34,2)</f>
        <v>0</v>
      </c>
      <c r="I34" s="27">
        <f>ROUND(F34*AP34,2)</f>
        <v>0</v>
      </c>
      <c r="J34" s="27">
        <f>ROUND(F34*G34,2)</f>
        <v>0</v>
      </c>
      <c r="K34" s="28" t="s">
        <v>295</v>
      </c>
      <c r="Z34" s="29">
        <f>ROUND(IF(AQ34="5",BJ34,0),2)</f>
        <v>0</v>
      </c>
      <c r="AB34" s="29">
        <f>ROUND(IF(AQ34="1",BH34,0),2)</f>
        <v>0</v>
      </c>
      <c r="AC34" s="29">
        <f>ROUND(IF(AQ34="1",BI34,0),2)</f>
        <v>0</v>
      </c>
      <c r="AD34" s="29">
        <f>ROUND(IF(AQ34="7",BH34,0),2)</f>
        <v>0</v>
      </c>
      <c r="AE34" s="29">
        <f>ROUND(IF(AQ34="7",BI34,0),2)</f>
        <v>0</v>
      </c>
      <c r="AF34" s="29">
        <f>ROUND(IF(AQ34="2",BH34,0),2)</f>
        <v>0</v>
      </c>
      <c r="AG34" s="29">
        <f>ROUND(IF(AQ34="2",BI34,0),2)</f>
        <v>0</v>
      </c>
      <c r="AH34" s="29">
        <f>ROUND(IF(AQ34="0",BJ34,0),2)</f>
        <v>0</v>
      </c>
      <c r="AI34" s="10" t="s">
        <v>48</v>
      </c>
      <c r="AJ34" s="27">
        <f>IF(AN34=0,J34,0)</f>
        <v>0</v>
      </c>
      <c r="AK34" s="27">
        <f>IF(AN34=12,J34,0)</f>
        <v>0</v>
      </c>
      <c r="AL34" s="27">
        <f>IF(AN34=21,J34,0)</f>
        <v>0</v>
      </c>
      <c r="AN34" s="29">
        <v>21</v>
      </c>
      <c r="AO34" s="29">
        <f>G34*0</f>
        <v>0</v>
      </c>
      <c r="AP34" s="29">
        <f>G34*(1-0)</f>
        <v>0</v>
      </c>
      <c r="AQ34" s="30" t="s">
        <v>86</v>
      </c>
      <c r="AV34" s="29">
        <f>ROUND(AW34+AX34,2)</f>
        <v>0</v>
      </c>
      <c r="AW34" s="29">
        <f>ROUND(F34*AO34,2)</f>
        <v>0</v>
      </c>
      <c r="AX34" s="29">
        <f>ROUND(F34*AP34,2)</f>
        <v>0</v>
      </c>
      <c r="AY34" s="31" t="s">
        <v>111</v>
      </c>
      <c r="AZ34" s="31" t="s">
        <v>81</v>
      </c>
      <c r="BA34" s="10" t="s">
        <v>57</v>
      </c>
      <c r="BC34" s="29">
        <f>AW34+AX34</f>
        <v>0</v>
      </c>
      <c r="BD34" s="29">
        <f>G34/(100-BE34)*100</f>
        <v>0</v>
      </c>
      <c r="BE34" s="29">
        <v>0</v>
      </c>
      <c r="BF34" s="29">
        <f>37</f>
        <v>37</v>
      </c>
      <c r="BH34" s="27">
        <f>F34*AO34</f>
        <v>0</v>
      </c>
      <c r="BI34" s="27">
        <f>F34*AP34</f>
        <v>0</v>
      </c>
      <c r="BJ34" s="27">
        <f>F34*G34</f>
        <v>0</v>
      </c>
      <c r="BK34" s="30" t="s">
        <v>58</v>
      </c>
      <c r="BL34" s="29"/>
      <c r="BW34" s="29">
        <v>21</v>
      </c>
      <c r="BX34" s="26" t="s">
        <v>115</v>
      </c>
    </row>
    <row r="35" spans="1:76" x14ac:dyDescent="0.25">
      <c r="A35" s="32"/>
      <c r="C35" s="33" t="s">
        <v>116</v>
      </c>
      <c r="D35" s="34" t="s">
        <v>117</v>
      </c>
      <c r="F35" s="35">
        <v>1.96</v>
      </c>
      <c r="K35" s="36"/>
    </row>
    <row r="36" spans="1:76" x14ac:dyDescent="0.25">
      <c r="A36" s="24">
        <v>10</v>
      </c>
      <c r="B36" s="25" t="s">
        <v>118</v>
      </c>
      <c r="C36" s="144" t="s">
        <v>119</v>
      </c>
      <c r="D36" s="145"/>
      <c r="E36" s="25" t="s">
        <v>94</v>
      </c>
      <c r="F36" s="27">
        <v>3.92</v>
      </c>
      <c r="G36" s="27">
        <v>0</v>
      </c>
      <c r="H36" s="27">
        <f>ROUND(F36*AO36,2)</f>
        <v>0</v>
      </c>
      <c r="I36" s="27">
        <f>ROUND(F36*AP36,2)</f>
        <v>0</v>
      </c>
      <c r="J36" s="27">
        <f>ROUND(F36*G36,2)</f>
        <v>0</v>
      </c>
      <c r="K36" s="28" t="s">
        <v>295</v>
      </c>
      <c r="Z36" s="29">
        <f>ROUND(IF(AQ36="5",BJ36,0),2)</f>
        <v>0</v>
      </c>
      <c r="AB36" s="29">
        <f>ROUND(IF(AQ36="1",BH36,0),2)</f>
        <v>0</v>
      </c>
      <c r="AC36" s="29">
        <f>ROUND(IF(AQ36="1",BI36,0),2)</f>
        <v>0</v>
      </c>
      <c r="AD36" s="29">
        <f>ROUND(IF(AQ36="7",BH36,0),2)</f>
        <v>0</v>
      </c>
      <c r="AE36" s="29">
        <f>ROUND(IF(AQ36="7",BI36,0),2)</f>
        <v>0</v>
      </c>
      <c r="AF36" s="29">
        <f>ROUND(IF(AQ36="2",BH36,0),2)</f>
        <v>0</v>
      </c>
      <c r="AG36" s="29">
        <f>ROUND(IF(AQ36="2",BI36,0),2)</f>
        <v>0</v>
      </c>
      <c r="AH36" s="29">
        <f>ROUND(IF(AQ36="0",BJ36,0),2)</f>
        <v>0</v>
      </c>
      <c r="AI36" s="10" t="s">
        <v>48</v>
      </c>
      <c r="AJ36" s="27">
        <f>IF(AN36=0,J36,0)</f>
        <v>0</v>
      </c>
      <c r="AK36" s="27">
        <f>IF(AN36=12,J36,0)</f>
        <v>0</v>
      </c>
      <c r="AL36" s="27">
        <f>IF(AN36=21,J36,0)</f>
        <v>0</v>
      </c>
      <c r="AN36" s="29">
        <v>21</v>
      </c>
      <c r="AO36" s="29">
        <f>G36*0</f>
        <v>0</v>
      </c>
      <c r="AP36" s="29">
        <f>G36*(1-0)</f>
        <v>0</v>
      </c>
      <c r="AQ36" s="30" t="s">
        <v>86</v>
      </c>
      <c r="AV36" s="29">
        <f>ROUND(AW36+AX36,2)</f>
        <v>0</v>
      </c>
      <c r="AW36" s="29">
        <f>ROUND(F36*AO36,2)</f>
        <v>0</v>
      </c>
      <c r="AX36" s="29">
        <f>ROUND(F36*AP36,2)</f>
        <v>0</v>
      </c>
      <c r="AY36" s="31" t="s">
        <v>111</v>
      </c>
      <c r="AZ36" s="31" t="s">
        <v>81</v>
      </c>
      <c r="BA36" s="10" t="s">
        <v>57</v>
      </c>
      <c r="BC36" s="29">
        <f>AW36+AX36</f>
        <v>0</v>
      </c>
      <c r="BD36" s="29">
        <f>G36/(100-BE36)*100</f>
        <v>0</v>
      </c>
      <c r="BE36" s="29">
        <v>0</v>
      </c>
      <c r="BF36" s="29">
        <f>39</f>
        <v>39</v>
      </c>
      <c r="BH36" s="27">
        <f>F36*AO36</f>
        <v>0</v>
      </c>
      <c r="BI36" s="27">
        <f>F36*AP36</f>
        <v>0</v>
      </c>
      <c r="BJ36" s="27">
        <f>F36*G36</f>
        <v>0</v>
      </c>
      <c r="BK36" s="30" t="s">
        <v>58</v>
      </c>
      <c r="BL36" s="29"/>
      <c r="BW36" s="29">
        <v>21</v>
      </c>
      <c r="BX36" s="26" t="s">
        <v>119</v>
      </c>
    </row>
    <row r="37" spans="1:76" x14ac:dyDescent="0.25">
      <c r="A37" s="32"/>
      <c r="C37" s="33" t="s">
        <v>120</v>
      </c>
      <c r="D37" s="34" t="s">
        <v>48</v>
      </c>
      <c r="F37" s="35">
        <v>3.92</v>
      </c>
      <c r="K37" s="36"/>
    </row>
    <row r="38" spans="1:76" x14ac:dyDescent="0.25">
      <c r="A38" s="24">
        <v>11</v>
      </c>
      <c r="B38" s="25" t="s">
        <v>121</v>
      </c>
      <c r="C38" s="144" t="s">
        <v>122</v>
      </c>
      <c r="D38" s="145"/>
      <c r="E38" s="25" t="s">
        <v>94</v>
      </c>
      <c r="F38" s="27">
        <v>1.96</v>
      </c>
      <c r="G38" s="27">
        <v>0</v>
      </c>
      <c r="H38" s="27">
        <f>ROUND(F38*AO38,2)</f>
        <v>0</v>
      </c>
      <c r="I38" s="27">
        <f>ROUND(F38*AP38,2)</f>
        <v>0</v>
      </c>
      <c r="J38" s="27">
        <f>ROUND(F38*G38,2)</f>
        <v>0</v>
      </c>
      <c r="K38" s="28" t="s">
        <v>295</v>
      </c>
      <c r="Z38" s="29">
        <f>ROUND(IF(AQ38="5",BJ38,0),2)</f>
        <v>0</v>
      </c>
      <c r="AB38" s="29">
        <f>ROUND(IF(AQ38="1",BH38,0),2)</f>
        <v>0</v>
      </c>
      <c r="AC38" s="29">
        <f>ROUND(IF(AQ38="1",BI38,0),2)</f>
        <v>0</v>
      </c>
      <c r="AD38" s="29">
        <f>ROUND(IF(AQ38="7",BH38,0),2)</f>
        <v>0</v>
      </c>
      <c r="AE38" s="29">
        <f>ROUND(IF(AQ38="7",BI38,0),2)</f>
        <v>0</v>
      </c>
      <c r="AF38" s="29">
        <f>ROUND(IF(AQ38="2",BH38,0),2)</f>
        <v>0</v>
      </c>
      <c r="AG38" s="29">
        <f>ROUND(IF(AQ38="2",BI38,0),2)</f>
        <v>0</v>
      </c>
      <c r="AH38" s="29">
        <f>ROUND(IF(AQ38="0",BJ38,0),2)</f>
        <v>0</v>
      </c>
      <c r="AI38" s="10" t="s">
        <v>48</v>
      </c>
      <c r="AJ38" s="27">
        <f>IF(AN38=0,J38,0)</f>
        <v>0</v>
      </c>
      <c r="AK38" s="27">
        <f>IF(AN38=12,J38,0)</f>
        <v>0</v>
      </c>
      <c r="AL38" s="27">
        <f>IF(AN38=21,J38,0)</f>
        <v>0</v>
      </c>
      <c r="AN38" s="29">
        <v>21</v>
      </c>
      <c r="AO38" s="29">
        <f>G38*0</f>
        <v>0</v>
      </c>
      <c r="AP38" s="29">
        <f>G38*(1-0)</f>
        <v>0</v>
      </c>
      <c r="AQ38" s="30" t="s">
        <v>86</v>
      </c>
      <c r="AV38" s="29">
        <f>ROUND(AW38+AX38,2)</f>
        <v>0</v>
      </c>
      <c r="AW38" s="29">
        <f>ROUND(F38*AO38,2)</f>
        <v>0</v>
      </c>
      <c r="AX38" s="29">
        <f>ROUND(F38*AP38,2)</f>
        <v>0</v>
      </c>
      <c r="AY38" s="31" t="s">
        <v>111</v>
      </c>
      <c r="AZ38" s="31" t="s">
        <v>81</v>
      </c>
      <c r="BA38" s="10" t="s">
        <v>57</v>
      </c>
      <c r="BC38" s="29">
        <f>AW38+AX38</f>
        <v>0</v>
      </c>
      <c r="BD38" s="29">
        <f>G38/(100-BE38)*100</f>
        <v>0</v>
      </c>
      <c r="BE38" s="29">
        <v>0</v>
      </c>
      <c r="BF38" s="29">
        <f>41</f>
        <v>41</v>
      </c>
      <c r="BH38" s="27">
        <f>F38*AO38</f>
        <v>0</v>
      </c>
      <c r="BI38" s="27">
        <f>F38*AP38</f>
        <v>0</v>
      </c>
      <c r="BJ38" s="27">
        <f>F38*G38</f>
        <v>0</v>
      </c>
      <c r="BK38" s="30" t="s">
        <v>58</v>
      </c>
      <c r="BL38" s="29"/>
      <c r="BW38" s="29">
        <v>21</v>
      </c>
      <c r="BX38" s="26" t="s">
        <v>122</v>
      </c>
    </row>
    <row r="39" spans="1:76" x14ac:dyDescent="0.25">
      <c r="A39" s="32"/>
      <c r="C39" s="33" t="s">
        <v>116</v>
      </c>
      <c r="D39" s="34" t="s">
        <v>48</v>
      </c>
      <c r="F39" s="35">
        <v>1.96</v>
      </c>
      <c r="K39" s="36"/>
    </row>
    <row r="40" spans="1:76" x14ac:dyDescent="0.25">
      <c r="A40" s="24">
        <v>12</v>
      </c>
      <c r="B40" s="25" t="s">
        <v>123</v>
      </c>
      <c r="C40" s="144" t="s">
        <v>124</v>
      </c>
      <c r="D40" s="145"/>
      <c r="E40" s="25" t="s">
        <v>94</v>
      </c>
      <c r="F40" s="27">
        <v>1.96</v>
      </c>
      <c r="G40" s="27">
        <v>0</v>
      </c>
      <c r="H40" s="27">
        <f>ROUND(F40*AO40,2)</f>
        <v>0</v>
      </c>
      <c r="I40" s="27">
        <f>ROUND(F40*AP40,2)</f>
        <v>0</v>
      </c>
      <c r="J40" s="27">
        <f>ROUND(F40*G40,2)</f>
        <v>0</v>
      </c>
      <c r="K40" s="28" t="s">
        <v>295</v>
      </c>
      <c r="Z40" s="29">
        <f>ROUND(IF(AQ40="5",BJ40,0),2)</f>
        <v>0</v>
      </c>
      <c r="AB40" s="29">
        <f>ROUND(IF(AQ40="1",BH40,0),2)</f>
        <v>0</v>
      </c>
      <c r="AC40" s="29">
        <f>ROUND(IF(AQ40="1",BI40,0),2)</f>
        <v>0</v>
      </c>
      <c r="AD40" s="29">
        <f>ROUND(IF(AQ40="7",BH40,0),2)</f>
        <v>0</v>
      </c>
      <c r="AE40" s="29">
        <f>ROUND(IF(AQ40="7",BI40,0),2)</f>
        <v>0</v>
      </c>
      <c r="AF40" s="29">
        <f>ROUND(IF(AQ40="2",BH40,0),2)</f>
        <v>0</v>
      </c>
      <c r="AG40" s="29">
        <f>ROUND(IF(AQ40="2",BI40,0),2)</f>
        <v>0</v>
      </c>
      <c r="AH40" s="29">
        <f>ROUND(IF(AQ40="0",BJ40,0),2)</f>
        <v>0</v>
      </c>
      <c r="AI40" s="10" t="s">
        <v>48</v>
      </c>
      <c r="AJ40" s="27">
        <f>IF(AN40=0,J40,0)</f>
        <v>0</v>
      </c>
      <c r="AK40" s="27">
        <f>IF(AN40=12,J40,0)</f>
        <v>0</v>
      </c>
      <c r="AL40" s="27">
        <f>IF(AN40=21,J40,0)</f>
        <v>0</v>
      </c>
      <c r="AN40" s="29">
        <v>21</v>
      </c>
      <c r="AO40" s="29">
        <f>G40*0</f>
        <v>0</v>
      </c>
      <c r="AP40" s="29">
        <f>G40*(1-0)</f>
        <v>0</v>
      </c>
      <c r="AQ40" s="30" t="s">
        <v>86</v>
      </c>
      <c r="AV40" s="29">
        <f>ROUND(AW40+AX40,2)</f>
        <v>0</v>
      </c>
      <c r="AW40" s="29">
        <f>ROUND(F40*AO40,2)</f>
        <v>0</v>
      </c>
      <c r="AX40" s="29">
        <f>ROUND(F40*AP40,2)</f>
        <v>0</v>
      </c>
      <c r="AY40" s="31" t="s">
        <v>111</v>
      </c>
      <c r="AZ40" s="31" t="s">
        <v>81</v>
      </c>
      <c r="BA40" s="10" t="s">
        <v>57</v>
      </c>
      <c r="BC40" s="29">
        <f>AW40+AX40</f>
        <v>0</v>
      </c>
      <c r="BD40" s="29">
        <f>G40/(100-BE40)*100</f>
        <v>0</v>
      </c>
      <c r="BE40" s="29">
        <v>0</v>
      </c>
      <c r="BF40" s="29">
        <f>43</f>
        <v>43</v>
      </c>
      <c r="BH40" s="27">
        <f>F40*AO40</f>
        <v>0</v>
      </c>
      <c r="BI40" s="27">
        <f>F40*AP40</f>
        <v>0</v>
      </c>
      <c r="BJ40" s="27">
        <f>F40*G40</f>
        <v>0</v>
      </c>
      <c r="BK40" s="30" t="s">
        <v>58</v>
      </c>
      <c r="BL40" s="29"/>
      <c r="BW40" s="29">
        <v>21</v>
      </c>
      <c r="BX40" s="26" t="s">
        <v>124</v>
      </c>
    </row>
    <row r="41" spans="1:76" x14ac:dyDescent="0.25">
      <c r="A41" s="32"/>
      <c r="C41" s="33" t="s">
        <v>116</v>
      </c>
      <c r="D41" s="34" t="s">
        <v>48</v>
      </c>
      <c r="F41" s="35">
        <v>1.96</v>
      </c>
      <c r="K41" s="36"/>
    </row>
    <row r="42" spans="1:76" x14ac:dyDescent="0.25">
      <c r="A42" s="37" t="s">
        <v>48</v>
      </c>
      <c r="B42" s="38" t="s">
        <v>125</v>
      </c>
      <c r="C42" s="142" t="s">
        <v>126</v>
      </c>
      <c r="D42" s="143"/>
      <c r="E42" s="39" t="s">
        <v>4</v>
      </c>
      <c r="F42" s="39" t="s">
        <v>4</v>
      </c>
      <c r="G42" s="39" t="s">
        <v>4</v>
      </c>
      <c r="H42" s="1">
        <f>SUM(H43:H69)</f>
        <v>0</v>
      </c>
      <c r="I42" s="1">
        <f>SUM(I43:I69)</f>
        <v>0</v>
      </c>
      <c r="J42" s="1">
        <f>SUM(J43:J69)</f>
        <v>0</v>
      </c>
      <c r="K42" s="40" t="s">
        <v>48</v>
      </c>
      <c r="AI42" s="10" t="s">
        <v>48</v>
      </c>
      <c r="AS42" s="1">
        <f>SUM(AJ43:AJ69)</f>
        <v>0</v>
      </c>
      <c r="AT42" s="1">
        <f>SUM(AK43:AK69)</f>
        <v>0</v>
      </c>
      <c r="AU42" s="1">
        <f>SUM(AL43:AL69)</f>
        <v>0</v>
      </c>
    </row>
    <row r="43" spans="1:76" x14ac:dyDescent="0.25">
      <c r="A43" s="24">
        <v>13</v>
      </c>
      <c r="B43" s="25" t="s">
        <v>127</v>
      </c>
      <c r="C43" s="144" t="s">
        <v>128</v>
      </c>
      <c r="D43" s="145"/>
      <c r="E43" s="25" t="s">
        <v>98</v>
      </c>
      <c r="F43" s="27">
        <v>59.9</v>
      </c>
      <c r="G43" s="27">
        <v>0</v>
      </c>
      <c r="H43" s="27">
        <f>ROUND(F43*AO43,2)</f>
        <v>0</v>
      </c>
      <c r="I43" s="27">
        <f>ROUND(F43*AP43,2)</f>
        <v>0</v>
      </c>
      <c r="J43" s="27">
        <f>ROUND(F43*G43,2)</f>
        <v>0</v>
      </c>
      <c r="K43" s="28" t="s">
        <v>295</v>
      </c>
      <c r="Z43" s="29">
        <f>ROUND(IF(AQ43="5",BJ43,0),2)</f>
        <v>0</v>
      </c>
      <c r="AB43" s="29">
        <f>ROUND(IF(AQ43="1",BH43,0),2)</f>
        <v>0</v>
      </c>
      <c r="AC43" s="29">
        <f>ROUND(IF(AQ43="1",BI43,0),2)</f>
        <v>0</v>
      </c>
      <c r="AD43" s="29">
        <f>ROUND(IF(AQ43="7",BH43,0),2)</f>
        <v>0</v>
      </c>
      <c r="AE43" s="29">
        <f>ROUND(IF(AQ43="7",BI43,0),2)</f>
        <v>0</v>
      </c>
      <c r="AF43" s="29">
        <f>ROUND(IF(AQ43="2",BH43,0),2)</f>
        <v>0</v>
      </c>
      <c r="AG43" s="29">
        <f>ROUND(IF(AQ43="2",BI43,0),2)</f>
        <v>0</v>
      </c>
      <c r="AH43" s="29">
        <f>ROUND(IF(AQ43="0",BJ43,0),2)</f>
        <v>0</v>
      </c>
      <c r="AI43" s="10" t="s">
        <v>48</v>
      </c>
      <c r="AJ43" s="27">
        <f>IF(AN43=0,J43,0)</f>
        <v>0</v>
      </c>
      <c r="AK43" s="27">
        <f>IF(AN43=12,J43,0)</f>
        <v>0</v>
      </c>
      <c r="AL43" s="27">
        <f>IF(AN43=21,J43,0)</f>
        <v>0</v>
      </c>
      <c r="AN43" s="29">
        <v>21</v>
      </c>
      <c r="AO43" s="29">
        <f>G43*0.047280134</f>
        <v>0</v>
      </c>
      <c r="AP43" s="29">
        <f>G43*(1-0.047280134)</f>
        <v>0</v>
      </c>
      <c r="AQ43" s="30" t="s">
        <v>97</v>
      </c>
      <c r="AV43" s="29">
        <f>ROUND(AW43+AX43,2)</f>
        <v>0</v>
      </c>
      <c r="AW43" s="29">
        <f>ROUND(F43*AO43,2)</f>
        <v>0</v>
      </c>
      <c r="AX43" s="29">
        <f>ROUND(F43*AP43,2)</f>
        <v>0</v>
      </c>
      <c r="AY43" s="31" t="s">
        <v>129</v>
      </c>
      <c r="AZ43" s="31" t="s">
        <v>130</v>
      </c>
      <c r="BA43" s="10" t="s">
        <v>57</v>
      </c>
      <c r="BC43" s="29">
        <f>AW43+AX43</f>
        <v>0</v>
      </c>
      <c r="BD43" s="29">
        <f>G43/(100-BE43)*100</f>
        <v>0</v>
      </c>
      <c r="BE43" s="29">
        <v>0</v>
      </c>
      <c r="BF43" s="29">
        <f>46</f>
        <v>46</v>
      </c>
      <c r="BH43" s="27">
        <f>F43*AO43</f>
        <v>0</v>
      </c>
      <c r="BI43" s="27">
        <f>F43*AP43</f>
        <v>0</v>
      </c>
      <c r="BJ43" s="27">
        <f>F43*G43</f>
        <v>0</v>
      </c>
      <c r="BK43" s="30" t="s">
        <v>58</v>
      </c>
      <c r="BL43" s="29">
        <v>762</v>
      </c>
      <c r="BW43" s="29">
        <v>21</v>
      </c>
      <c r="BX43" s="26" t="s">
        <v>128</v>
      </c>
    </row>
    <row r="44" spans="1:76" x14ac:dyDescent="0.25">
      <c r="A44" s="32"/>
      <c r="C44" s="33" t="s">
        <v>131</v>
      </c>
      <c r="D44" s="34" t="s">
        <v>132</v>
      </c>
      <c r="F44" s="35">
        <v>51.2</v>
      </c>
      <c r="K44" s="36"/>
    </row>
    <row r="45" spans="1:76" x14ac:dyDescent="0.25">
      <c r="A45" s="32"/>
      <c r="C45" s="33" t="s">
        <v>133</v>
      </c>
      <c r="D45" s="34" t="s">
        <v>134</v>
      </c>
      <c r="F45" s="35">
        <v>8.6999999999999993</v>
      </c>
      <c r="K45" s="36"/>
    </row>
    <row r="46" spans="1:76" x14ac:dyDescent="0.25">
      <c r="A46" s="24">
        <v>14</v>
      </c>
      <c r="B46" s="25" t="s">
        <v>135</v>
      </c>
      <c r="C46" s="144" t="s">
        <v>136</v>
      </c>
      <c r="D46" s="145"/>
      <c r="E46" s="25" t="s">
        <v>98</v>
      </c>
      <c r="F46" s="27">
        <v>96.86</v>
      </c>
      <c r="G46" s="27">
        <v>0</v>
      </c>
      <c r="H46" s="27">
        <f>ROUND(F46*AO46,2)</f>
        <v>0</v>
      </c>
      <c r="I46" s="27">
        <f>ROUND(F46*AP46,2)</f>
        <v>0</v>
      </c>
      <c r="J46" s="27">
        <f>ROUND(F46*G46,2)</f>
        <v>0</v>
      </c>
      <c r="K46" s="28" t="s">
        <v>295</v>
      </c>
      <c r="Z46" s="29">
        <f>ROUND(IF(AQ46="5",BJ46,0),2)</f>
        <v>0</v>
      </c>
      <c r="AB46" s="29">
        <f>ROUND(IF(AQ46="1",BH46,0),2)</f>
        <v>0</v>
      </c>
      <c r="AC46" s="29">
        <f>ROUND(IF(AQ46="1",BI46,0),2)</f>
        <v>0</v>
      </c>
      <c r="AD46" s="29">
        <f>ROUND(IF(AQ46="7",BH46,0),2)</f>
        <v>0</v>
      </c>
      <c r="AE46" s="29">
        <f>ROUND(IF(AQ46="7",BI46,0),2)</f>
        <v>0</v>
      </c>
      <c r="AF46" s="29">
        <f>ROUND(IF(AQ46="2",BH46,0),2)</f>
        <v>0</v>
      </c>
      <c r="AG46" s="29">
        <f>ROUND(IF(AQ46="2",BI46,0),2)</f>
        <v>0</v>
      </c>
      <c r="AH46" s="29">
        <f>ROUND(IF(AQ46="0",BJ46,0),2)</f>
        <v>0</v>
      </c>
      <c r="AI46" s="10" t="s">
        <v>48</v>
      </c>
      <c r="AJ46" s="27">
        <f>IF(AN46=0,J46,0)</f>
        <v>0</v>
      </c>
      <c r="AK46" s="27">
        <f>IF(AN46=12,J46,0)</f>
        <v>0</v>
      </c>
      <c r="AL46" s="27">
        <f>IF(AN46=21,J46,0)</f>
        <v>0</v>
      </c>
      <c r="AN46" s="29">
        <v>21</v>
      </c>
      <c r="AO46" s="29">
        <f>G46*0.043140444</f>
        <v>0</v>
      </c>
      <c r="AP46" s="29">
        <f>G46*(1-0.043140444)</f>
        <v>0</v>
      </c>
      <c r="AQ46" s="30" t="s">
        <v>97</v>
      </c>
      <c r="AV46" s="29">
        <f>ROUND(AW46+AX46,2)</f>
        <v>0</v>
      </c>
      <c r="AW46" s="29">
        <f>ROUND(F46*AO46,2)</f>
        <v>0</v>
      </c>
      <c r="AX46" s="29">
        <f>ROUND(F46*AP46,2)</f>
        <v>0</v>
      </c>
      <c r="AY46" s="31" t="s">
        <v>129</v>
      </c>
      <c r="AZ46" s="31" t="s">
        <v>130</v>
      </c>
      <c r="BA46" s="10" t="s">
        <v>57</v>
      </c>
      <c r="BC46" s="29">
        <f>AW46+AX46</f>
        <v>0</v>
      </c>
      <c r="BD46" s="29">
        <f>G46/(100-BE46)*100</f>
        <v>0</v>
      </c>
      <c r="BE46" s="29">
        <v>0</v>
      </c>
      <c r="BF46" s="29">
        <f>49</f>
        <v>49</v>
      </c>
      <c r="BH46" s="27">
        <f>F46*AO46</f>
        <v>0</v>
      </c>
      <c r="BI46" s="27">
        <f>F46*AP46</f>
        <v>0</v>
      </c>
      <c r="BJ46" s="27">
        <f>F46*G46</f>
        <v>0</v>
      </c>
      <c r="BK46" s="30" t="s">
        <v>58</v>
      </c>
      <c r="BL46" s="29">
        <v>762</v>
      </c>
      <c r="BW46" s="29">
        <v>21</v>
      </c>
      <c r="BX46" s="26" t="s">
        <v>136</v>
      </c>
    </row>
    <row r="47" spans="1:76" x14ac:dyDescent="0.25">
      <c r="A47" s="32"/>
      <c r="C47" s="33" t="s">
        <v>137</v>
      </c>
      <c r="D47" s="34" t="s">
        <v>138</v>
      </c>
      <c r="F47" s="35">
        <v>21.04</v>
      </c>
      <c r="K47" s="36"/>
    </row>
    <row r="48" spans="1:76" x14ac:dyDescent="0.25">
      <c r="A48" s="32"/>
      <c r="C48" s="33" t="s">
        <v>139</v>
      </c>
      <c r="D48" s="34" t="s">
        <v>140</v>
      </c>
      <c r="F48" s="35">
        <v>31.052</v>
      </c>
      <c r="K48" s="36"/>
    </row>
    <row r="49" spans="1:76" x14ac:dyDescent="0.25">
      <c r="A49" s="32"/>
      <c r="C49" s="33" t="s">
        <v>141</v>
      </c>
      <c r="D49" s="34" t="s">
        <v>142</v>
      </c>
      <c r="F49" s="35">
        <v>35.488</v>
      </c>
      <c r="K49" s="36"/>
    </row>
    <row r="50" spans="1:76" x14ac:dyDescent="0.25">
      <c r="A50" s="32"/>
      <c r="C50" s="33" t="s">
        <v>143</v>
      </c>
      <c r="D50" s="34" t="s">
        <v>58</v>
      </c>
      <c r="F50" s="35">
        <v>9.2799999999999994</v>
      </c>
      <c r="K50" s="36"/>
    </row>
    <row r="51" spans="1:76" x14ac:dyDescent="0.25">
      <c r="A51" s="24">
        <v>15</v>
      </c>
      <c r="B51" s="25" t="s">
        <v>144</v>
      </c>
      <c r="C51" s="144" t="s">
        <v>145</v>
      </c>
      <c r="D51" s="145"/>
      <c r="E51" s="25" t="s">
        <v>103</v>
      </c>
      <c r="F51" s="27">
        <v>2.7120000000000002</v>
      </c>
      <c r="G51" s="27">
        <v>0</v>
      </c>
      <c r="H51" s="27">
        <f>ROUND(F51*AO51,2)</f>
        <v>0</v>
      </c>
      <c r="I51" s="27">
        <f>ROUND(F51*AP51,2)</f>
        <v>0</v>
      </c>
      <c r="J51" s="27">
        <f>ROUND(F51*G51,2)</f>
        <v>0</v>
      </c>
      <c r="K51" s="28" t="s">
        <v>295</v>
      </c>
      <c r="Z51" s="29">
        <f>ROUND(IF(AQ51="5",BJ51,0),2)</f>
        <v>0</v>
      </c>
      <c r="AB51" s="29">
        <f>ROUND(IF(AQ51="1",BH51,0),2)</f>
        <v>0</v>
      </c>
      <c r="AC51" s="29">
        <f>ROUND(IF(AQ51="1",BI51,0),2)</f>
        <v>0</v>
      </c>
      <c r="AD51" s="29">
        <f>ROUND(IF(AQ51="7",BH51,0),2)</f>
        <v>0</v>
      </c>
      <c r="AE51" s="29">
        <f>ROUND(IF(AQ51="7",BI51,0),2)</f>
        <v>0</v>
      </c>
      <c r="AF51" s="29">
        <f>ROUND(IF(AQ51="2",BH51,0),2)</f>
        <v>0</v>
      </c>
      <c r="AG51" s="29">
        <f>ROUND(IF(AQ51="2",BI51,0),2)</f>
        <v>0</v>
      </c>
      <c r="AH51" s="29">
        <f>ROUND(IF(AQ51="0",BJ51,0),2)</f>
        <v>0</v>
      </c>
      <c r="AI51" s="10" t="s">
        <v>48</v>
      </c>
      <c r="AJ51" s="27">
        <f>IF(AN51=0,J51,0)</f>
        <v>0</v>
      </c>
      <c r="AK51" s="27">
        <f>IF(AN51=12,J51,0)</f>
        <v>0</v>
      </c>
      <c r="AL51" s="27">
        <f>IF(AN51=21,J51,0)</f>
        <v>0</v>
      </c>
      <c r="AN51" s="29">
        <v>21</v>
      </c>
      <c r="AO51" s="29">
        <f>G51*1</f>
        <v>0</v>
      </c>
      <c r="AP51" s="29">
        <f>G51*(1-1)</f>
        <v>0</v>
      </c>
      <c r="AQ51" s="30" t="s">
        <v>97</v>
      </c>
      <c r="AV51" s="29">
        <f>ROUND(AW51+AX51,2)</f>
        <v>0</v>
      </c>
      <c r="AW51" s="29">
        <f>ROUND(F51*AO51,2)</f>
        <v>0</v>
      </c>
      <c r="AX51" s="29">
        <f>ROUND(F51*AP51,2)</f>
        <v>0</v>
      </c>
      <c r="AY51" s="31" t="s">
        <v>129</v>
      </c>
      <c r="AZ51" s="31" t="s">
        <v>130</v>
      </c>
      <c r="BA51" s="10" t="s">
        <v>57</v>
      </c>
      <c r="BC51" s="29">
        <f>AW51+AX51</f>
        <v>0</v>
      </c>
      <c r="BD51" s="29">
        <f>G51/(100-BE51)*100</f>
        <v>0</v>
      </c>
      <c r="BE51" s="29">
        <v>0</v>
      </c>
      <c r="BF51" s="29">
        <f>54</f>
        <v>54</v>
      </c>
      <c r="BH51" s="27">
        <f>F51*AO51</f>
        <v>0</v>
      </c>
      <c r="BI51" s="27">
        <f>F51*AP51</f>
        <v>0</v>
      </c>
      <c r="BJ51" s="27">
        <f>F51*G51</f>
        <v>0</v>
      </c>
      <c r="BK51" s="30" t="s">
        <v>58</v>
      </c>
      <c r="BL51" s="29">
        <v>762</v>
      </c>
      <c r="BW51" s="29">
        <v>21</v>
      </c>
      <c r="BX51" s="26" t="s">
        <v>145</v>
      </c>
    </row>
    <row r="52" spans="1:76" x14ac:dyDescent="0.25">
      <c r="A52" s="32"/>
      <c r="C52" s="33" t="s">
        <v>146</v>
      </c>
      <c r="D52" s="34" t="s">
        <v>147</v>
      </c>
      <c r="F52" s="35">
        <v>0.71699999999999997</v>
      </c>
      <c r="K52" s="36"/>
    </row>
    <row r="53" spans="1:76" x14ac:dyDescent="0.25">
      <c r="A53" s="32"/>
      <c r="C53" s="33" t="s">
        <v>148</v>
      </c>
      <c r="D53" s="34" t="s">
        <v>134</v>
      </c>
      <c r="F53" s="35">
        <v>9.7000000000000003E-2</v>
      </c>
      <c r="K53" s="36"/>
    </row>
    <row r="54" spans="1:76" x14ac:dyDescent="0.25">
      <c r="A54" s="32"/>
      <c r="C54" s="33" t="s">
        <v>149</v>
      </c>
      <c r="D54" s="34" t="s">
        <v>150</v>
      </c>
      <c r="F54" s="35">
        <v>1.8979999999999999</v>
      </c>
      <c r="K54" s="36"/>
    </row>
    <row r="55" spans="1:76" x14ac:dyDescent="0.25">
      <c r="A55" s="24">
        <v>16</v>
      </c>
      <c r="B55" s="25" t="s">
        <v>151</v>
      </c>
      <c r="C55" s="144" t="s">
        <v>152</v>
      </c>
      <c r="D55" s="145"/>
      <c r="E55" s="25" t="s">
        <v>103</v>
      </c>
      <c r="F55" s="27">
        <v>2.1720000000000002</v>
      </c>
      <c r="G55" s="27">
        <v>0</v>
      </c>
      <c r="H55" s="27">
        <f>ROUND(F55*AO55,2)</f>
        <v>0</v>
      </c>
      <c r="I55" s="27">
        <f>ROUND(F55*AP55,2)</f>
        <v>0</v>
      </c>
      <c r="J55" s="27">
        <f>ROUND(F55*G55,2)</f>
        <v>0</v>
      </c>
      <c r="K55" s="28" t="s">
        <v>295</v>
      </c>
      <c r="Z55" s="29">
        <f>ROUND(IF(AQ55="5",BJ55,0),2)</f>
        <v>0</v>
      </c>
      <c r="AB55" s="29">
        <f>ROUND(IF(AQ55="1",BH55,0),2)</f>
        <v>0</v>
      </c>
      <c r="AC55" s="29">
        <f>ROUND(IF(AQ55="1",BI55,0),2)</f>
        <v>0</v>
      </c>
      <c r="AD55" s="29">
        <f>ROUND(IF(AQ55="7",BH55,0),2)</f>
        <v>0</v>
      </c>
      <c r="AE55" s="29">
        <f>ROUND(IF(AQ55="7",BI55,0),2)</f>
        <v>0</v>
      </c>
      <c r="AF55" s="29">
        <f>ROUND(IF(AQ55="2",BH55,0),2)</f>
        <v>0</v>
      </c>
      <c r="AG55" s="29">
        <f>ROUND(IF(AQ55="2",BI55,0),2)</f>
        <v>0</v>
      </c>
      <c r="AH55" s="29">
        <f>ROUND(IF(AQ55="0",BJ55,0),2)</f>
        <v>0</v>
      </c>
      <c r="AI55" s="10" t="s">
        <v>48</v>
      </c>
      <c r="AJ55" s="27">
        <f>IF(AN55=0,J55,0)</f>
        <v>0</v>
      </c>
      <c r="AK55" s="27">
        <f>IF(AN55=12,J55,0)</f>
        <v>0</v>
      </c>
      <c r="AL55" s="27">
        <f>IF(AN55=21,J55,0)</f>
        <v>0</v>
      </c>
      <c r="AN55" s="29">
        <v>21</v>
      </c>
      <c r="AO55" s="29">
        <f>G55*0</f>
        <v>0</v>
      </c>
      <c r="AP55" s="29">
        <f>G55*(1-0)</f>
        <v>0</v>
      </c>
      <c r="AQ55" s="30" t="s">
        <v>97</v>
      </c>
      <c r="AV55" s="29">
        <f>ROUND(AW55+AX55,2)</f>
        <v>0</v>
      </c>
      <c r="AW55" s="29">
        <f>ROUND(F55*AO55,2)</f>
        <v>0</v>
      </c>
      <c r="AX55" s="29">
        <f>ROUND(F55*AP55,2)</f>
        <v>0</v>
      </c>
      <c r="AY55" s="31" t="s">
        <v>129</v>
      </c>
      <c r="AZ55" s="31" t="s">
        <v>130</v>
      </c>
      <c r="BA55" s="10" t="s">
        <v>57</v>
      </c>
      <c r="BC55" s="29">
        <f>AW55+AX55</f>
        <v>0</v>
      </c>
      <c r="BD55" s="29">
        <f>G55/(100-BE55)*100</f>
        <v>0</v>
      </c>
      <c r="BE55" s="29">
        <v>0</v>
      </c>
      <c r="BF55" s="29">
        <f>58</f>
        <v>58</v>
      </c>
      <c r="BH55" s="27">
        <f>F55*AO55</f>
        <v>0</v>
      </c>
      <c r="BI55" s="27">
        <f>F55*AP55</f>
        <v>0</v>
      </c>
      <c r="BJ55" s="27">
        <f>F55*G55</f>
        <v>0</v>
      </c>
      <c r="BK55" s="30" t="s">
        <v>58</v>
      </c>
      <c r="BL55" s="29">
        <v>762</v>
      </c>
      <c r="BW55" s="29">
        <v>21</v>
      </c>
      <c r="BX55" s="26" t="s">
        <v>152</v>
      </c>
    </row>
    <row r="56" spans="1:76" x14ac:dyDescent="0.25">
      <c r="A56" s="32"/>
      <c r="C56" s="33" t="s">
        <v>153</v>
      </c>
      <c r="D56" s="34" t="s">
        <v>154</v>
      </c>
      <c r="F56" s="35">
        <v>2.1720000000000002</v>
      </c>
      <c r="K56" s="36"/>
    </row>
    <row r="57" spans="1:76" x14ac:dyDescent="0.25">
      <c r="A57" s="41">
        <v>17</v>
      </c>
      <c r="B57" s="42" t="s">
        <v>155</v>
      </c>
      <c r="C57" s="147" t="s">
        <v>156</v>
      </c>
      <c r="D57" s="148"/>
      <c r="E57" s="42" t="s">
        <v>103</v>
      </c>
      <c r="F57" s="44">
        <v>2.9830000000000001</v>
      </c>
      <c r="G57" s="44">
        <v>0</v>
      </c>
      <c r="H57" s="44">
        <f>ROUND(F57*AO57,2)</f>
        <v>0</v>
      </c>
      <c r="I57" s="44">
        <f>ROUND(F57*AP57,2)</f>
        <v>0</v>
      </c>
      <c r="J57" s="44">
        <f>ROUND(F57*G57,2)</f>
        <v>0</v>
      </c>
      <c r="K57" s="45" t="s">
        <v>295</v>
      </c>
      <c r="Z57" s="29">
        <f>ROUND(IF(AQ57="5",BJ57,0),2)</f>
        <v>0</v>
      </c>
      <c r="AB57" s="29">
        <f>ROUND(IF(AQ57="1",BH57,0),2)</f>
        <v>0</v>
      </c>
      <c r="AC57" s="29">
        <f>ROUND(IF(AQ57="1",BI57,0),2)</f>
        <v>0</v>
      </c>
      <c r="AD57" s="29">
        <f>ROUND(IF(AQ57="7",BH57,0),2)</f>
        <v>0</v>
      </c>
      <c r="AE57" s="29">
        <f>ROUND(IF(AQ57="7",BI57,0),2)</f>
        <v>0</v>
      </c>
      <c r="AF57" s="29">
        <f>ROUND(IF(AQ57="2",BH57,0),2)</f>
        <v>0</v>
      </c>
      <c r="AG57" s="29">
        <f>ROUND(IF(AQ57="2",BI57,0),2)</f>
        <v>0</v>
      </c>
      <c r="AH57" s="29">
        <f>ROUND(IF(AQ57="0",BJ57,0),2)</f>
        <v>0</v>
      </c>
      <c r="AI57" s="10" t="s">
        <v>48</v>
      </c>
      <c r="AJ57" s="44">
        <f>IF(AN57=0,J57,0)</f>
        <v>0</v>
      </c>
      <c r="AK57" s="44">
        <f>IF(AN57=12,J57,0)</f>
        <v>0</v>
      </c>
      <c r="AL57" s="44">
        <f>IF(AN57=21,J57,0)</f>
        <v>0</v>
      </c>
      <c r="AN57" s="29">
        <v>21</v>
      </c>
      <c r="AO57" s="29">
        <f>G57*1</f>
        <v>0</v>
      </c>
      <c r="AP57" s="29">
        <f>G57*(1-1)</f>
        <v>0</v>
      </c>
      <c r="AQ57" s="46" t="s">
        <v>97</v>
      </c>
      <c r="AV57" s="29">
        <f>ROUND(AW57+AX57,2)</f>
        <v>0</v>
      </c>
      <c r="AW57" s="29">
        <f>ROUND(F57*AO57,2)</f>
        <v>0</v>
      </c>
      <c r="AX57" s="29">
        <f>ROUND(F57*AP57,2)</f>
        <v>0</v>
      </c>
      <c r="AY57" s="31" t="s">
        <v>129</v>
      </c>
      <c r="AZ57" s="31" t="s">
        <v>130</v>
      </c>
      <c r="BA57" s="10" t="s">
        <v>57</v>
      </c>
      <c r="BC57" s="29">
        <f>AW57+AX57</f>
        <v>0</v>
      </c>
      <c r="BD57" s="29">
        <f>G57/(100-BE57)*100</f>
        <v>0</v>
      </c>
      <c r="BE57" s="29">
        <v>0</v>
      </c>
      <c r="BF57" s="29">
        <f>60</f>
        <v>60</v>
      </c>
      <c r="BH57" s="44">
        <f>F57*AO57</f>
        <v>0</v>
      </c>
      <c r="BI57" s="44">
        <f>F57*AP57</f>
        <v>0</v>
      </c>
      <c r="BJ57" s="44">
        <f>F57*G57</f>
        <v>0</v>
      </c>
      <c r="BK57" s="46" t="s">
        <v>157</v>
      </c>
      <c r="BL57" s="29">
        <v>762</v>
      </c>
      <c r="BW57" s="29">
        <v>21</v>
      </c>
      <c r="BX57" s="43" t="s">
        <v>156</v>
      </c>
    </row>
    <row r="58" spans="1:76" x14ac:dyDescent="0.25">
      <c r="A58" s="32"/>
      <c r="C58" s="33" t="s">
        <v>158</v>
      </c>
      <c r="D58" s="34" t="s">
        <v>159</v>
      </c>
      <c r="F58" s="35">
        <v>2.9830000000000001</v>
      </c>
      <c r="K58" s="36"/>
    </row>
    <row r="59" spans="1:76" x14ac:dyDescent="0.25">
      <c r="A59" s="24">
        <v>18</v>
      </c>
      <c r="B59" s="25" t="s">
        <v>160</v>
      </c>
      <c r="C59" s="144" t="s">
        <v>161</v>
      </c>
      <c r="D59" s="145"/>
      <c r="E59" s="25" t="s">
        <v>54</v>
      </c>
      <c r="F59" s="27">
        <v>33</v>
      </c>
      <c r="G59" s="27">
        <v>0</v>
      </c>
      <c r="H59" s="27">
        <f>ROUND(F59*AO59,2)</f>
        <v>0</v>
      </c>
      <c r="I59" s="27">
        <f>ROUND(F59*AP59,2)</f>
        <v>0</v>
      </c>
      <c r="J59" s="27">
        <f>ROUND(F59*G59,2)</f>
        <v>0</v>
      </c>
      <c r="K59" s="28" t="s">
        <v>295</v>
      </c>
      <c r="Z59" s="29">
        <f>ROUND(IF(AQ59="5",BJ59,0),2)</f>
        <v>0</v>
      </c>
      <c r="AB59" s="29">
        <f>ROUND(IF(AQ59="1",BH59,0),2)</f>
        <v>0</v>
      </c>
      <c r="AC59" s="29">
        <f>ROUND(IF(AQ59="1",BI59,0),2)</f>
        <v>0</v>
      </c>
      <c r="AD59" s="29">
        <f>ROUND(IF(AQ59="7",BH59,0),2)</f>
        <v>0</v>
      </c>
      <c r="AE59" s="29">
        <f>ROUND(IF(AQ59="7",BI59,0),2)</f>
        <v>0</v>
      </c>
      <c r="AF59" s="29">
        <f>ROUND(IF(AQ59="2",BH59,0),2)</f>
        <v>0</v>
      </c>
      <c r="AG59" s="29">
        <f>ROUND(IF(AQ59="2",BI59,0),2)</f>
        <v>0</v>
      </c>
      <c r="AH59" s="29">
        <f>ROUND(IF(AQ59="0",BJ59,0),2)</f>
        <v>0</v>
      </c>
      <c r="AI59" s="10" t="s">
        <v>48</v>
      </c>
      <c r="AJ59" s="27">
        <f>IF(AN59=0,J59,0)</f>
        <v>0</v>
      </c>
      <c r="AK59" s="27">
        <f>IF(AN59=12,J59,0)</f>
        <v>0</v>
      </c>
      <c r="AL59" s="27">
        <f>IF(AN59=21,J59,0)</f>
        <v>0</v>
      </c>
      <c r="AN59" s="29">
        <v>21</v>
      </c>
      <c r="AO59" s="29">
        <f>G59*0.336488085</f>
        <v>0</v>
      </c>
      <c r="AP59" s="29">
        <f>G59*(1-0.336488085)</f>
        <v>0</v>
      </c>
      <c r="AQ59" s="30" t="s">
        <v>97</v>
      </c>
      <c r="AV59" s="29">
        <f>ROUND(AW59+AX59,2)</f>
        <v>0</v>
      </c>
      <c r="AW59" s="29">
        <f>ROUND(F59*AO59,2)</f>
        <v>0</v>
      </c>
      <c r="AX59" s="29">
        <f>ROUND(F59*AP59,2)</f>
        <v>0</v>
      </c>
      <c r="AY59" s="31" t="s">
        <v>129</v>
      </c>
      <c r="AZ59" s="31" t="s">
        <v>130</v>
      </c>
      <c r="BA59" s="10" t="s">
        <v>57</v>
      </c>
      <c r="BC59" s="29">
        <f>AW59+AX59</f>
        <v>0</v>
      </c>
      <c r="BD59" s="29">
        <f>G59/(100-BE59)*100</f>
        <v>0</v>
      </c>
      <c r="BE59" s="29">
        <v>0</v>
      </c>
      <c r="BF59" s="29">
        <f>62</f>
        <v>62</v>
      </c>
      <c r="BH59" s="27">
        <f>F59*AO59</f>
        <v>0</v>
      </c>
      <c r="BI59" s="27">
        <f>F59*AP59</f>
        <v>0</v>
      </c>
      <c r="BJ59" s="27">
        <f>F59*G59</f>
        <v>0</v>
      </c>
      <c r="BK59" s="30" t="s">
        <v>58</v>
      </c>
      <c r="BL59" s="29">
        <v>762</v>
      </c>
      <c r="BW59" s="29">
        <v>21</v>
      </c>
      <c r="BX59" s="26" t="s">
        <v>161</v>
      </c>
    </row>
    <row r="60" spans="1:76" x14ac:dyDescent="0.25">
      <c r="A60" s="32"/>
      <c r="C60" s="33" t="s">
        <v>162</v>
      </c>
      <c r="D60" s="34" t="s">
        <v>163</v>
      </c>
      <c r="F60" s="35">
        <v>33</v>
      </c>
      <c r="K60" s="36"/>
    </row>
    <row r="61" spans="1:76" x14ac:dyDescent="0.25">
      <c r="A61" s="24">
        <v>19</v>
      </c>
      <c r="B61" s="25" t="s">
        <v>164</v>
      </c>
      <c r="C61" s="144" t="s">
        <v>165</v>
      </c>
      <c r="D61" s="145"/>
      <c r="E61" s="25" t="s">
        <v>103</v>
      </c>
      <c r="F61" s="27">
        <v>0.6</v>
      </c>
      <c r="G61" s="27">
        <v>0</v>
      </c>
      <c r="H61" s="27">
        <f>ROUND(F61*AO61,2)</f>
        <v>0</v>
      </c>
      <c r="I61" s="27">
        <f>ROUND(F61*AP61,2)</f>
        <v>0</v>
      </c>
      <c r="J61" s="27">
        <f>ROUND(F61*G61,2)</f>
        <v>0</v>
      </c>
      <c r="K61" s="28" t="s">
        <v>295</v>
      </c>
      <c r="Z61" s="29">
        <f>ROUND(IF(AQ61="5",BJ61,0),2)</f>
        <v>0</v>
      </c>
      <c r="AB61" s="29">
        <f>ROUND(IF(AQ61="1",BH61,0),2)</f>
        <v>0</v>
      </c>
      <c r="AC61" s="29">
        <f>ROUND(IF(AQ61="1",BI61,0),2)</f>
        <v>0</v>
      </c>
      <c r="AD61" s="29">
        <f>ROUND(IF(AQ61="7",BH61,0),2)</f>
        <v>0</v>
      </c>
      <c r="AE61" s="29">
        <f>ROUND(IF(AQ61="7",BI61,0),2)</f>
        <v>0</v>
      </c>
      <c r="AF61" s="29">
        <f>ROUND(IF(AQ61="2",BH61,0),2)</f>
        <v>0</v>
      </c>
      <c r="AG61" s="29">
        <f>ROUND(IF(AQ61="2",BI61,0),2)</f>
        <v>0</v>
      </c>
      <c r="AH61" s="29">
        <f>ROUND(IF(AQ61="0",BJ61,0),2)</f>
        <v>0</v>
      </c>
      <c r="AI61" s="10" t="s">
        <v>48</v>
      </c>
      <c r="AJ61" s="27">
        <f>IF(AN61=0,J61,0)</f>
        <v>0</v>
      </c>
      <c r="AK61" s="27">
        <f>IF(AN61=12,J61,0)</f>
        <v>0</v>
      </c>
      <c r="AL61" s="27">
        <f>IF(AN61=21,J61,0)</f>
        <v>0</v>
      </c>
      <c r="AN61" s="29">
        <v>21</v>
      </c>
      <c r="AO61" s="29">
        <f>G61*1</f>
        <v>0</v>
      </c>
      <c r="AP61" s="29">
        <f>G61*(1-1)</f>
        <v>0</v>
      </c>
      <c r="AQ61" s="30" t="s">
        <v>97</v>
      </c>
      <c r="AV61" s="29">
        <f>ROUND(AW61+AX61,2)</f>
        <v>0</v>
      </c>
      <c r="AW61" s="29">
        <f>ROUND(F61*AO61,2)</f>
        <v>0</v>
      </c>
      <c r="AX61" s="29">
        <f>ROUND(F61*AP61,2)</f>
        <v>0</v>
      </c>
      <c r="AY61" s="31" t="s">
        <v>129</v>
      </c>
      <c r="AZ61" s="31" t="s">
        <v>130</v>
      </c>
      <c r="BA61" s="10" t="s">
        <v>57</v>
      </c>
      <c r="BC61" s="29">
        <f>AW61+AX61</f>
        <v>0</v>
      </c>
      <c r="BD61" s="29">
        <f>G61/(100-BE61)*100</f>
        <v>0</v>
      </c>
      <c r="BE61" s="29">
        <v>0</v>
      </c>
      <c r="BF61" s="29">
        <f>64</f>
        <v>64</v>
      </c>
      <c r="BH61" s="27">
        <f>F61*AO61</f>
        <v>0</v>
      </c>
      <c r="BI61" s="27">
        <f>F61*AP61</f>
        <v>0</v>
      </c>
      <c r="BJ61" s="27">
        <f>F61*G61</f>
        <v>0</v>
      </c>
      <c r="BK61" s="30" t="s">
        <v>58</v>
      </c>
      <c r="BL61" s="29">
        <v>762</v>
      </c>
      <c r="BW61" s="29">
        <v>21</v>
      </c>
      <c r="BX61" s="26" t="s">
        <v>165</v>
      </c>
    </row>
    <row r="62" spans="1:76" x14ac:dyDescent="0.25">
      <c r="A62" s="32"/>
      <c r="C62" s="33" t="s">
        <v>166</v>
      </c>
      <c r="D62" s="34" t="s">
        <v>167</v>
      </c>
      <c r="F62" s="35">
        <v>0.6</v>
      </c>
      <c r="K62" s="36"/>
    </row>
    <row r="63" spans="1:76" x14ac:dyDescent="0.25">
      <c r="A63" s="24">
        <v>20</v>
      </c>
      <c r="B63" s="25" t="s">
        <v>168</v>
      </c>
      <c r="C63" s="144" t="s">
        <v>169</v>
      </c>
      <c r="D63" s="145"/>
      <c r="E63" s="25" t="s">
        <v>170</v>
      </c>
      <c r="F63" s="27">
        <v>2</v>
      </c>
      <c r="G63" s="27">
        <v>0</v>
      </c>
      <c r="H63" s="27">
        <f>ROUND(F63*AO63,2)</f>
        <v>0</v>
      </c>
      <c r="I63" s="27">
        <f>ROUND(F63*AP63,2)</f>
        <v>0</v>
      </c>
      <c r="J63" s="27">
        <f>ROUND(F63*G63,2)</f>
        <v>0</v>
      </c>
      <c r="K63" s="28" t="s">
        <v>48</v>
      </c>
      <c r="Z63" s="29">
        <f>ROUND(IF(AQ63="5",BJ63,0),2)</f>
        <v>0</v>
      </c>
      <c r="AB63" s="29">
        <f>ROUND(IF(AQ63="1",BH63,0),2)</f>
        <v>0</v>
      </c>
      <c r="AC63" s="29">
        <f>ROUND(IF(AQ63="1",BI63,0),2)</f>
        <v>0</v>
      </c>
      <c r="AD63" s="29">
        <f>ROUND(IF(AQ63="7",BH63,0),2)</f>
        <v>0</v>
      </c>
      <c r="AE63" s="29">
        <f>ROUND(IF(AQ63="7",BI63,0),2)</f>
        <v>0</v>
      </c>
      <c r="AF63" s="29">
        <f>ROUND(IF(AQ63="2",BH63,0),2)</f>
        <v>0</v>
      </c>
      <c r="AG63" s="29">
        <f>ROUND(IF(AQ63="2",BI63,0),2)</f>
        <v>0</v>
      </c>
      <c r="AH63" s="29">
        <f>ROUND(IF(AQ63="0",BJ63,0),2)</f>
        <v>0</v>
      </c>
      <c r="AI63" s="10" t="s">
        <v>48</v>
      </c>
      <c r="AJ63" s="27">
        <f>IF(AN63=0,J63,0)</f>
        <v>0</v>
      </c>
      <c r="AK63" s="27">
        <f>IF(AN63=12,J63,0)</f>
        <v>0</v>
      </c>
      <c r="AL63" s="27">
        <f>IF(AN63=21,J63,0)</f>
        <v>0</v>
      </c>
      <c r="AN63" s="29">
        <v>21</v>
      </c>
      <c r="AO63" s="29">
        <f>G63*0</f>
        <v>0</v>
      </c>
      <c r="AP63" s="29">
        <f>G63*(1-0)</f>
        <v>0</v>
      </c>
      <c r="AQ63" s="30" t="s">
        <v>97</v>
      </c>
      <c r="AV63" s="29">
        <f>ROUND(AW63+AX63,2)</f>
        <v>0</v>
      </c>
      <c r="AW63" s="29">
        <f>ROUND(F63*AO63,2)</f>
        <v>0</v>
      </c>
      <c r="AX63" s="29">
        <f>ROUND(F63*AP63,2)</f>
        <v>0</v>
      </c>
      <c r="AY63" s="31" t="s">
        <v>129</v>
      </c>
      <c r="AZ63" s="31" t="s">
        <v>130</v>
      </c>
      <c r="BA63" s="10" t="s">
        <v>57</v>
      </c>
      <c r="BC63" s="29">
        <f>AW63+AX63</f>
        <v>0</v>
      </c>
      <c r="BD63" s="29">
        <f>G63/(100-BE63)*100</f>
        <v>0</v>
      </c>
      <c r="BE63" s="29">
        <v>0</v>
      </c>
      <c r="BF63" s="29">
        <f>66</f>
        <v>66</v>
      </c>
      <c r="BH63" s="27">
        <f>F63*AO63</f>
        <v>0</v>
      </c>
      <c r="BI63" s="27">
        <f>F63*AP63</f>
        <v>0</v>
      </c>
      <c r="BJ63" s="27">
        <f>F63*G63</f>
        <v>0</v>
      </c>
      <c r="BK63" s="30" t="s">
        <v>58</v>
      </c>
      <c r="BL63" s="29">
        <v>762</v>
      </c>
      <c r="BW63" s="29">
        <v>21</v>
      </c>
      <c r="BX63" s="26" t="s">
        <v>169</v>
      </c>
    </row>
    <row r="64" spans="1:76" x14ac:dyDescent="0.25">
      <c r="A64" s="32"/>
      <c r="C64" s="33" t="s">
        <v>62</v>
      </c>
      <c r="D64" s="34" t="s">
        <v>48</v>
      </c>
      <c r="F64" s="35">
        <v>2</v>
      </c>
      <c r="K64" s="36"/>
    </row>
    <row r="65" spans="1:76" x14ac:dyDescent="0.25">
      <c r="A65" s="24">
        <v>21</v>
      </c>
      <c r="B65" s="25" t="s">
        <v>171</v>
      </c>
      <c r="C65" s="144" t="s">
        <v>172</v>
      </c>
      <c r="D65" s="145"/>
      <c r="E65" s="25" t="s">
        <v>170</v>
      </c>
      <c r="F65" s="27">
        <v>2</v>
      </c>
      <c r="G65" s="27">
        <v>0</v>
      </c>
      <c r="H65" s="27">
        <f>ROUND(F65*AO65,2)</f>
        <v>0</v>
      </c>
      <c r="I65" s="27">
        <f>ROUND(F65*AP65,2)</f>
        <v>0</v>
      </c>
      <c r="J65" s="27">
        <f>ROUND(F65*G65,2)</f>
        <v>0</v>
      </c>
      <c r="K65" s="28" t="s">
        <v>48</v>
      </c>
      <c r="Z65" s="29">
        <f>ROUND(IF(AQ65="5",BJ65,0),2)</f>
        <v>0</v>
      </c>
      <c r="AB65" s="29">
        <f>ROUND(IF(AQ65="1",BH65,0),2)</f>
        <v>0</v>
      </c>
      <c r="AC65" s="29">
        <f>ROUND(IF(AQ65="1",BI65,0),2)</f>
        <v>0</v>
      </c>
      <c r="AD65" s="29">
        <f>ROUND(IF(AQ65="7",BH65,0),2)</f>
        <v>0</v>
      </c>
      <c r="AE65" s="29">
        <f>ROUND(IF(AQ65="7",BI65,0),2)</f>
        <v>0</v>
      </c>
      <c r="AF65" s="29">
        <f>ROUND(IF(AQ65="2",BH65,0),2)</f>
        <v>0</v>
      </c>
      <c r="AG65" s="29">
        <f>ROUND(IF(AQ65="2",BI65,0),2)</f>
        <v>0</v>
      </c>
      <c r="AH65" s="29">
        <f>ROUND(IF(AQ65="0",BJ65,0),2)</f>
        <v>0</v>
      </c>
      <c r="AI65" s="10" t="s">
        <v>48</v>
      </c>
      <c r="AJ65" s="27">
        <f>IF(AN65=0,J65,0)</f>
        <v>0</v>
      </c>
      <c r="AK65" s="27">
        <f>IF(AN65=12,J65,0)</f>
        <v>0</v>
      </c>
      <c r="AL65" s="27">
        <f>IF(AN65=21,J65,0)</f>
        <v>0</v>
      </c>
      <c r="AN65" s="29">
        <v>21</v>
      </c>
      <c r="AO65" s="29">
        <f>G65*0</f>
        <v>0</v>
      </c>
      <c r="AP65" s="29">
        <f>G65*(1-0)</f>
        <v>0</v>
      </c>
      <c r="AQ65" s="30" t="s">
        <v>97</v>
      </c>
      <c r="AV65" s="29">
        <f>ROUND(AW65+AX65,2)</f>
        <v>0</v>
      </c>
      <c r="AW65" s="29">
        <f>ROUND(F65*AO65,2)</f>
        <v>0</v>
      </c>
      <c r="AX65" s="29">
        <f>ROUND(F65*AP65,2)</f>
        <v>0</v>
      </c>
      <c r="AY65" s="31" t="s">
        <v>129</v>
      </c>
      <c r="AZ65" s="31" t="s">
        <v>130</v>
      </c>
      <c r="BA65" s="10" t="s">
        <v>57</v>
      </c>
      <c r="BC65" s="29">
        <f>AW65+AX65</f>
        <v>0</v>
      </c>
      <c r="BD65" s="29">
        <f>G65/(100-BE65)*100</f>
        <v>0</v>
      </c>
      <c r="BE65" s="29">
        <v>0</v>
      </c>
      <c r="BF65" s="29">
        <f>68</f>
        <v>68</v>
      </c>
      <c r="BH65" s="27">
        <f>F65*AO65</f>
        <v>0</v>
      </c>
      <c r="BI65" s="27">
        <f>F65*AP65</f>
        <v>0</v>
      </c>
      <c r="BJ65" s="27">
        <f>F65*G65</f>
        <v>0</v>
      </c>
      <c r="BK65" s="30" t="s">
        <v>58</v>
      </c>
      <c r="BL65" s="29">
        <v>762</v>
      </c>
      <c r="BW65" s="29">
        <v>21</v>
      </c>
      <c r="BX65" s="26" t="s">
        <v>172</v>
      </c>
    </row>
    <row r="66" spans="1:76" x14ac:dyDescent="0.25">
      <c r="A66" s="32"/>
      <c r="C66" s="33" t="s">
        <v>62</v>
      </c>
      <c r="D66" s="34" t="s">
        <v>48</v>
      </c>
      <c r="F66" s="35">
        <v>2</v>
      </c>
      <c r="K66" s="36"/>
    </row>
    <row r="67" spans="1:76" x14ac:dyDescent="0.25">
      <c r="A67" s="24">
        <v>22</v>
      </c>
      <c r="B67" s="25" t="s">
        <v>173</v>
      </c>
      <c r="C67" s="144" t="s">
        <v>174</v>
      </c>
      <c r="D67" s="145"/>
      <c r="E67" s="25" t="s">
        <v>170</v>
      </c>
      <c r="F67" s="27">
        <v>1</v>
      </c>
      <c r="G67" s="27">
        <v>0</v>
      </c>
      <c r="H67" s="27">
        <f>ROUND(F67*AO67,2)</f>
        <v>0</v>
      </c>
      <c r="I67" s="27">
        <f>ROUND(F67*AP67,2)</f>
        <v>0</v>
      </c>
      <c r="J67" s="27">
        <f>ROUND(F67*G67,2)</f>
        <v>0</v>
      </c>
      <c r="K67" s="28" t="s">
        <v>48</v>
      </c>
      <c r="Z67" s="29">
        <f>ROUND(IF(AQ67="5",BJ67,0),2)</f>
        <v>0</v>
      </c>
      <c r="AB67" s="29">
        <f>ROUND(IF(AQ67="1",BH67,0),2)</f>
        <v>0</v>
      </c>
      <c r="AC67" s="29">
        <f>ROUND(IF(AQ67="1",BI67,0),2)</f>
        <v>0</v>
      </c>
      <c r="AD67" s="29">
        <f>ROUND(IF(AQ67="7",BH67,0),2)</f>
        <v>0</v>
      </c>
      <c r="AE67" s="29">
        <f>ROUND(IF(AQ67="7",BI67,0),2)</f>
        <v>0</v>
      </c>
      <c r="AF67" s="29">
        <f>ROUND(IF(AQ67="2",BH67,0),2)</f>
        <v>0</v>
      </c>
      <c r="AG67" s="29">
        <f>ROUND(IF(AQ67="2",BI67,0),2)</f>
        <v>0</v>
      </c>
      <c r="AH67" s="29">
        <f>ROUND(IF(AQ67="0",BJ67,0),2)</f>
        <v>0</v>
      </c>
      <c r="AI67" s="10" t="s">
        <v>48</v>
      </c>
      <c r="AJ67" s="27">
        <f>IF(AN67=0,J67,0)</f>
        <v>0</v>
      </c>
      <c r="AK67" s="27">
        <f>IF(AN67=12,J67,0)</f>
        <v>0</v>
      </c>
      <c r="AL67" s="27">
        <f>IF(AN67=21,J67,0)</f>
        <v>0</v>
      </c>
      <c r="AN67" s="29">
        <v>21</v>
      </c>
      <c r="AO67" s="29">
        <f>G67*0</f>
        <v>0</v>
      </c>
      <c r="AP67" s="29">
        <f>G67*(1-0)</f>
        <v>0</v>
      </c>
      <c r="AQ67" s="30" t="s">
        <v>97</v>
      </c>
      <c r="AV67" s="29">
        <f>ROUND(AW67+AX67,2)</f>
        <v>0</v>
      </c>
      <c r="AW67" s="29">
        <f>ROUND(F67*AO67,2)</f>
        <v>0</v>
      </c>
      <c r="AX67" s="29">
        <f>ROUND(F67*AP67,2)</f>
        <v>0</v>
      </c>
      <c r="AY67" s="31" t="s">
        <v>129</v>
      </c>
      <c r="AZ67" s="31" t="s">
        <v>130</v>
      </c>
      <c r="BA67" s="10" t="s">
        <v>57</v>
      </c>
      <c r="BC67" s="29">
        <f>AW67+AX67</f>
        <v>0</v>
      </c>
      <c r="BD67" s="29">
        <f>G67/(100-BE67)*100</f>
        <v>0</v>
      </c>
      <c r="BE67" s="29">
        <v>0</v>
      </c>
      <c r="BF67" s="29">
        <f>70</f>
        <v>70</v>
      </c>
      <c r="BH67" s="27">
        <f>F67*AO67</f>
        <v>0</v>
      </c>
      <c r="BI67" s="27">
        <f>F67*AP67</f>
        <v>0</v>
      </c>
      <c r="BJ67" s="27">
        <f>F67*G67</f>
        <v>0</v>
      </c>
      <c r="BK67" s="30" t="s">
        <v>58</v>
      </c>
      <c r="BL67" s="29">
        <v>762</v>
      </c>
      <c r="BW67" s="29">
        <v>21</v>
      </c>
      <c r="BX67" s="26" t="s">
        <v>174</v>
      </c>
    </row>
    <row r="68" spans="1:76" x14ac:dyDescent="0.25">
      <c r="A68" s="32"/>
      <c r="C68" s="33" t="s">
        <v>51</v>
      </c>
      <c r="D68" s="34" t="s">
        <v>48</v>
      </c>
      <c r="F68" s="35">
        <v>1</v>
      </c>
      <c r="K68" s="36"/>
    </row>
    <row r="69" spans="1:76" x14ac:dyDescent="0.25">
      <c r="A69" s="24">
        <v>23</v>
      </c>
      <c r="B69" s="25" t="s">
        <v>175</v>
      </c>
      <c r="C69" s="144" t="s">
        <v>176</v>
      </c>
      <c r="D69" s="145"/>
      <c r="E69" s="25" t="s">
        <v>94</v>
      </c>
      <c r="F69" s="27">
        <v>1.859</v>
      </c>
      <c r="G69" s="27">
        <v>0</v>
      </c>
      <c r="H69" s="27">
        <f>ROUND(F69*AO69,2)</f>
        <v>0</v>
      </c>
      <c r="I69" s="27">
        <f>ROUND(F69*AP69,2)</f>
        <v>0</v>
      </c>
      <c r="J69" s="27">
        <f>ROUND(F69*G69,2)</f>
        <v>0</v>
      </c>
      <c r="K69" s="28" t="s">
        <v>295</v>
      </c>
      <c r="Z69" s="29">
        <f>ROUND(IF(AQ69="5",BJ69,0),2)</f>
        <v>0</v>
      </c>
      <c r="AB69" s="29">
        <f>ROUND(IF(AQ69="1",BH69,0),2)</f>
        <v>0</v>
      </c>
      <c r="AC69" s="29">
        <f>ROUND(IF(AQ69="1",BI69,0),2)</f>
        <v>0</v>
      </c>
      <c r="AD69" s="29">
        <f>ROUND(IF(AQ69="7",BH69,0),2)</f>
        <v>0</v>
      </c>
      <c r="AE69" s="29">
        <f>ROUND(IF(AQ69="7",BI69,0),2)</f>
        <v>0</v>
      </c>
      <c r="AF69" s="29">
        <f>ROUND(IF(AQ69="2",BH69,0),2)</f>
        <v>0</v>
      </c>
      <c r="AG69" s="29">
        <f>ROUND(IF(AQ69="2",BI69,0),2)</f>
        <v>0</v>
      </c>
      <c r="AH69" s="29">
        <f>ROUND(IF(AQ69="0",BJ69,0),2)</f>
        <v>0</v>
      </c>
      <c r="AI69" s="10" t="s">
        <v>48</v>
      </c>
      <c r="AJ69" s="27">
        <f>IF(AN69=0,J69,0)</f>
        <v>0</v>
      </c>
      <c r="AK69" s="27">
        <f>IF(AN69=12,J69,0)</f>
        <v>0</v>
      </c>
      <c r="AL69" s="27">
        <f>IF(AN69=21,J69,0)</f>
        <v>0</v>
      </c>
      <c r="AN69" s="29">
        <v>21</v>
      </c>
      <c r="AO69" s="29">
        <f>G69*0</f>
        <v>0</v>
      </c>
      <c r="AP69" s="29">
        <f>G69*(1-0)</f>
        <v>0</v>
      </c>
      <c r="AQ69" s="30" t="s">
        <v>86</v>
      </c>
      <c r="AV69" s="29">
        <f>ROUND(AW69+AX69,2)</f>
        <v>0</v>
      </c>
      <c r="AW69" s="29">
        <f>ROUND(F69*AO69,2)</f>
        <v>0</v>
      </c>
      <c r="AX69" s="29">
        <f>ROUND(F69*AP69,2)</f>
        <v>0</v>
      </c>
      <c r="AY69" s="31" t="s">
        <v>129</v>
      </c>
      <c r="AZ69" s="31" t="s">
        <v>130</v>
      </c>
      <c r="BA69" s="10" t="s">
        <v>57</v>
      </c>
      <c r="BC69" s="29">
        <f>AW69+AX69</f>
        <v>0</v>
      </c>
      <c r="BD69" s="29">
        <f>G69/(100-BE69)*100</f>
        <v>0</v>
      </c>
      <c r="BE69" s="29">
        <v>0</v>
      </c>
      <c r="BF69" s="29">
        <f>72</f>
        <v>72</v>
      </c>
      <c r="BH69" s="27">
        <f>F69*AO69</f>
        <v>0</v>
      </c>
      <c r="BI69" s="27">
        <f>F69*AP69</f>
        <v>0</v>
      </c>
      <c r="BJ69" s="27">
        <f>F69*G69</f>
        <v>0</v>
      </c>
      <c r="BK69" s="30" t="s">
        <v>58</v>
      </c>
      <c r="BL69" s="29">
        <v>762</v>
      </c>
      <c r="BW69" s="29">
        <v>21</v>
      </c>
      <c r="BX69" s="26" t="s">
        <v>176</v>
      </c>
    </row>
    <row r="70" spans="1:76" x14ac:dyDescent="0.25">
      <c r="A70" s="32"/>
      <c r="C70" s="33" t="s">
        <v>177</v>
      </c>
      <c r="D70" s="34" t="s">
        <v>48</v>
      </c>
      <c r="F70" s="35">
        <v>1.859</v>
      </c>
      <c r="K70" s="36"/>
    </row>
    <row r="71" spans="1:76" x14ac:dyDescent="0.25">
      <c r="A71" s="37" t="s">
        <v>48</v>
      </c>
      <c r="B71" s="38" t="s">
        <v>178</v>
      </c>
      <c r="C71" s="142" t="s">
        <v>179</v>
      </c>
      <c r="D71" s="143"/>
      <c r="E71" s="39" t="s">
        <v>4</v>
      </c>
      <c r="F71" s="39" t="s">
        <v>4</v>
      </c>
      <c r="G71" s="39" t="s">
        <v>4</v>
      </c>
      <c r="H71" s="1">
        <f>SUM(H72:H74)</f>
        <v>0</v>
      </c>
      <c r="I71" s="1">
        <f>SUM(I72:I74)</f>
        <v>0</v>
      </c>
      <c r="J71" s="1">
        <f>SUM(J72:J74)</f>
        <v>0</v>
      </c>
      <c r="K71" s="40" t="s">
        <v>48</v>
      </c>
      <c r="AI71" s="10" t="s">
        <v>48</v>
      </c>
      <c r="AS71" s="1">
        <f>SUM(AJ72:AJ74)</f>
        <v>0</v>
      </c>
      <c r="AT71" s="1">
        <f>SUM(AK72:AK74)</f>
        <v>0</v>
      </c>
      <c r="AU71" s="1">
        <f>SUM(AL72:AL74)</f>
        <v>0</v>
      </c>
    </row>
    <row r="72" spans="1:76" x14ac:dyDescent="0.25">
      <c r="A72" s="24">
        <v>24</v>
      </c>
      <c r="B72" s="25" t="s">
        <v>180</v>
      </c>
      <c r="C72" s="144" t="s">
        <v>181</v>
      </c>
      <c r="D72" s="145"/>
      <c r="E72" s="25" t="s">
        <v>54</v>
      </c>
      <c r="F72" s="27">
        <v>33</v>
      </c>
      <c r="G72" s="27">
        <v>0</v>
      </c>
      <c r="H72" s="27">
        <f>ROUND(F72*AO72,2)</f>
        <v>0</v>
      </c>
      <c r="I72" s="27">
        <f>ROUND(F72*AP72,2)</f>
        <v>0</v>
      </c>
      <c r="J72" s="27">
        <f>ROUND(F72*G72,2)</f>
        <v>0</v>
      </c>
      <c r="K72" s="28" t="s">
        <v>295</v>
      </c>
      <c r="Z72" s="29">
        <f>ROUND(IF(AQ72="5",BJ72,0),2)</f>
        <v>0</v>
      </c>
      <c r="AB72" s="29">
        <f>ROUND(IF(AQ72="1",BH72,0),2)</f>
        <v>0</v>
      </c>
      <c r="AC72" s="29">
        <f>ROUND(IF(AQ72="1",BI72,0),2)</f>
        <v>0</v>
      </c>
      <c r="AD72" s="29">
        <f>ROUND(IF(AQ72="7",BH72,0),2)</f>
        <v>0</v>
      </c>
      <c r="AE72" s="29">
        <f>ROUND(IF(AQ72="7",BI72,0),2)</f>
        <v>0</v>
      </c>
      <c r="AF72" s="29">
        <f>ROUND(IF(AQ72="2",BH72,0),2)</f>
        <v>0</v>
      </c>
      <c r="AG72" s="29">
        <f>ROUND(IF(AQ72="2",BI72,0),2)</f>
        <v>0</v>
      </c>
      <c r="AH72" s="29">
        <f>ROUND(IF(AQ72="0",BJ72,0),2)</f>
        <v>0</v>
      </c>
      <c r="AI72" s="10" t="s">
        <v>48</v>
      </c>
      <c r="AJ72" s="27">
        <f>IF(AN72=0,J72,0)</f>
        <v>0</v>
      </c>
      <c r="AK72" s="27">
        <f>IF(AN72=12,J72,0)</f>
        <v>0</v>
      </c>
      <c r="AL72" s="27">
        <f>IF(AN72=21,J72,0)</f>
        <v>0</v>
      </c>
      <c r="AN72" s="29">
        <v>21</v>
      </c>
      <c r="AO72" s="29">
        <f>G72*0.596446543</f>
        <v>0</v>
      </c>
      <c r="AP72" s="29">
        <f>G72*(1-0.596446543)</f>
        <v>0</v>
      </c>
      <c r="AQ72" s="30" t="s">
        <v>97</v>
      </c>
      <c r="AV72" s="29">
        <f>ROUND(AW72+AX72,2)</f>
        <v>0</v>
      </c>
      <c r="AW72" s="29">
        <f>ROUND(F72*AO72,2)</f>
        <v>0</v>
      </c>
      <c r="AX72" s="29">
        <f>ROUND(F72*AP72,2)</f>
        <v>0</v>
      </c>
      <c r="AY72" s="31" t="s">
        <v>182</v>
      </c>
      <c r="AZ72" s="31" t="s">
        <v>130</v>
      </c>
      <c r="BA72" s="10" t="s">
        <v>57</v>
      </c>
      <c r="BC72" s="29">
        <f>AW72+AX72</f>
        <v>0</v>
      </c>
      <c r="BD72" s="29">
        <f>G72/(100-BE72)*100</f>
        <v>0</v>
      </c>
      <c r="BE72" s="29">
        <v>0</v>
      </c>
      <c r="BF72" s="29">
        <f>75</f>
        <v>75</v>
      </c>
      <c r="BH72" s="27">
        <f>F72*AO72</f>
        <v>0</v>
      </c>
      <c r="BI72" s="27">
        <f>F72*AP72</f>
        <v>0</v>
      </c>
      <c r="BJ72" s="27">
        <f>F72*G72</f>
        <v>0</v>
      </c>
      <c r="BK72" s="30" t="s">
        <v>58</v>
      </c>
      <c r="BL72" s="29">
        <v>765</v>
      </c>
      <c r="BW72" s="29">
        <v>21</v>
      </c>
      <c r="BX72" s="26" t="s">
        <v>181</v>
      </c>
    </row>
    <row r="73" spans="1:76" x14ac:dyDescent="0.25">
      <c r="A73" s="32"/>
      <c r="C73" s="33" t="s">
        <v>162</v>
      </c>
      <c r="D73" s="34" t="s">
        <v>163</v>
      </c>
      <c r="F73" s="35">
        <v>33</v>
      </c>
      <c r="K73" s="36"/>
    </row>
    <row r="74" spans="1:76" x14ac:dyDescent="0.25">
      <c r="A74" s="24">
        <v>25</v>
      </c>
      <c r="B74" s="25" t="s">
        <v>183</v>
      </c>
      <c r="C74" s="144" t="s">
        <v>184</v>
      </c>
      <c r="D74" s="145"/>
      <c r="E74" s="25" t="s">
        <v>94</v>
      </c>
      <c r="F74" s="27">
        <v>0.871</v>
      </c>
      <c r="G74" s="27">
        <v>0</v>
      </c>
      <c r="H74" s="27">
        <f>ROUND(F74*AO74,2)</f>
        <v>0</v>
      </c>
      <c r="I74" s="27">
        <f>ROUND(F74*AP74,2)</f>
        <v>0</v>
      </c>
      <c r="J74" s="27">
        <f>ROUND(F74*G74,2)</f>
        <v>0</v>
      </c>
      <c r="K74" s="28" t="s">
        <v>295</v>
      </c>
      <c r="Z74" s="29">
        <f>ROUND(IF(AQ74="5",BJ74,0),2)</f>
        <v>0</v>
      </c>
      <c r="AB74" s="29">
        <f>ROUND(IF(AQ74="1",BH74,0),2)</f>
        <v>0</v>
      </c>
      <c r="AC74" s="29">
        <f>ROUND(IF(AQ74="1",BI74,0),2)</f>
        <v>0</v>
      </c>
      <c r="AD74" s="29">
        <f>ROUND(IF(AQ74="7",BH74,0),2)</f>
        <v>0</v>
      </c>
      <c r="AE74" s="29">
        <f>ROUND(IF(AQ74="7",BI74,0),2)</f>
        <v>0</v>
      </c>
      <c r="AF74" s="29">
        <f>ROUND(IF(AQ74="2",BH74,0),2)</f>
        <v>0</v>
      </c>
      <c r="AG74" s="29">
        <f>ROUND(IF(AQ74="2",BI74,0),2)</f>
        <v>0</v>
      </c>
      <c r="AH74" s="29">
        <f>ROUND(IF(AQ74="0",BJ74,0),2)</f>
        <v>0</v>
      </c>
      <c r="AI74" s="10" t="s">
        <v>48</v>
      </c>
      <c r="AJ74" s="27">
        <f>IF(AN74=0,J74,0)</f>
        <v>0</v>
      </c>
      <c r="AK74" s="27">
        <f>IF(AN74=12,J74,0)</f>
        <v>0</v>
      </c>
      <c r="AL74" s="27">
        <f>IF(AN74=21,J74,0)</f>
        <v>0</v>
      </c>
      <c r="AN74" s="29">
        <v>21</v>
      </c>
      <c r="AO74" s="29">
        <f>G74*0</f>
        <v>0</v>
      </c>
      <c r="AP74" s="29">
        <f>G74*(1-0)</f>
        <v>0</v>
      </c>
      <c r="AQ74" s="30" t="s">
        <v>86</v>
      </c>
      <c r="AV74" s="29">
        <f>ROUND(AW74+AX74,2)</f>
        <v>0</v>
      </c>
      <c r="AW74" s="29">
        <f>ROUND(F74*AO74,2)</f>
        <v>0</v>
      </c>
      <c r="AX74" s="29">
        <f>ROUND(F74*AP74,2)</f>
        <v>0</v>
      </c>
      <c r="AY74" s="31" t="s">
        <v>182</v>
      </c>
      <c r="AZ74" s="31" t="s">
        <v>130</v>
      </c>
      <c r="BA74" s="10" t="s">
        <v>57</v>
      </c>
      <c r="BC74" s="29">
        <f>AW74+AX74</f>
        <v>0</v>
      </c>
      <c r="BD74" s="29">
        <f>G74/(100-BE74)*100</f>
        <v>0</v>
      </c>
      <c r="BE74" s="29">
        <v>0</v>
      </c>
      <c r="BF74" s="29">
        <f>77</f>
        <v>77</v>
      </c>
      <c r="BH74" s="27">
        <f>F74*AO74</f>
        <v>0</v>
      </c>
      <c r="BI74" s="27">
        <f>F74*AP74</f>
        <v>0</v>
      </c>
      <c r="BJ74" s="27">
        <f>F74*G74</f>
        <v>0</v>
      </c>
      <c r="BK74" s="30" t="s">
        <v>58</v>
      </c>
      <c r="BL74" s="29">
        <v>765</v>
      </c>
      <c r="BW74" s="29">
        <v>21</v>
      </c>
      <c r="BX74" s="26" t="s">
        <v>184</v>
      </c>
    </row>
    <row r="75" spans="1:76" x14ac:dyDescent="0.25">
      <c r="A75" s="32"/>
      <c r="C75" s="33" t="s">
        <v>185</v>
      </c>
      <c r="D75" s="34" t="s">
        <v>48</v>
      </c>
      <c r="F75" s="35">
        <v>0.871</v>
      </c>
      <c r="K75" s="36"/>
    </row>
    <row r="76" spans="1:76" x14ac:dyDescent="0.25">
      <c r="A76" s="37" t="s">
        <v>48</v>
      </c>
      <c r="B76" s="38" t="s">
        <v>186</v>
      </c>
      <c r="C76" s="142" t="s">
        <v>187</v>
      </c>
      <c r="D76" s="143"/>
      <c r="E76" s="39" t="s">
        <v>4</v>
      </c>
      <c r="F76" s="39" t="s">
        <v>4</v>
      </c>
      <c r="G76" s="39" t="s">
        <v>4</v>
      </c>
      <c r="H76" s="1">
        <f>SUM(H77:H81)</f>
        <v>0</v>
      </c>
      <c r="I76" s="1">
        <f>SUM(I77:I81)</f>
        <v>0</v>
      </c>
      <c r="J76" s="1">
        <f>SUM(J77:J81)</f>
        <v>0</v>
      </c>
      <c r="K76" s="40" t="s">
        <v>48</v>
      </c>
      <c r="AI76" s="10" t="s">
        <v>48</v>
      </c>
      <c r="AS76" s="1">
        <f>SUM(AJ77:AJ81)</f>
        <v>0</v>
      </c>
      <c r="AT76" s="1">
        <f>SUM(AK77:AK81)</f>
        <v>0</v>
      </c>
      <c r="AU76" s="1">
        <f>SUM(AL77:AL81)</f>
        <v>0</v>
      </c>
    </row>
    <row r="77" spans="1:76" x14ac:dyDescent="0.25">
      <c r="A77" s="24">
        <v>26</v>
      </c>
      <c r="B77" s="25" t="s">
        <v>188</v>
      </c>
      <c r="C77" s="144" t="s">
        <v>189</v>
      </c>
      <c r="D77" s="145"/>
      <c r="E77" s="25" t="s">
        <v>54</v>
      </c>
      <c r="F77" s="27">
        <v>17.399999999999999</v>
      </c>
      <c r="G77" s="27">
        <v>0</v>
      </c>
      <c r="H77" s="27">
        <f>ROUND(F77*AO77,2)</f>
        <v>0</v>
      </c>
      <c r="I77" s="27">
        <f>ROUND(F77*AP77,2)</f>
        <v>0</v>
      </c>
      <c r="J77" s="27">
        <f>ROUND(F77*G77,2)</f>
        <v>0</v>
      </c>
      <c r="K77" s="28" t="s">
        <v>295</v>
      </c>
      <c r="Z77" s="29">
        <f>ROUND(IF(AQ77="5",BJ77,0),2)</f>
        <v>0</v>
      </c>
      <c r="AB77" s="29">
        <f>ROUND(IF(AQ77="1",BH77,0),2)</f>
        <v>0</v>
      </c>
      <c r="AC77" s="29">
        <f>ROUND(IF(AQ77="1",BI77,0),2)</f>
        <v>0</v>
      </c>
      <c r="AD77" s="29">
        <f>ROUND(IF(AQ77="7",BH77,0),2)</f>
        <v>0</v>
      </c>
      <c r="AE77" s="29">
        <f>ROUND(IF(AQ77="7",BI77,0),2)</f>
        <v>0</v>
      </c>
      <c r="AF77" s="29">
        <f>ROUND(IF(AQ77="2",BH77,0),2)</f>
        <v>0</v>
      </c>
      <c r="AG77" s="29">
        <f>ROUND(IF(AQ77="2",BI77,0),2)</f>
        <v>0</v>
      </c>
      <c r="AH77" s="29">
        <f>ROUND(IF(AQ77="0",BJ77,0),2)</f>
        <v>0</v>
      </c>
      <c r="AI77" s="10" t="s">
        <v>48</v>
      </c>
      <c r="AJ77" s="27">
        <f>IF(AN77=0,J77,0)</f>
        <v>0</v>
      </c>
      <c r="AK77" s="27">
        <f>IF(AN77=12,J77,0)</f>
        <v>0</v>
      </c>
      <c r="AL77" s="27">
        <f>IF(AN77=21,J77,0)</f>
        <v>0</v>
      </c>
      <c r="AN77" s="29">
        <v>21</v>
      </c>
      <c r="AO77" s="29">
        <f>G77*0.460260299</f>
        <v>0</v>
      </c>
      <c r="AP77" s="29">
        <f>G77*(1-0.460260299)</f>
        <v>0</v>
      </c>
      <c r="AQ77" s="30" t="s">
        <v>97</v>
      </c>
      <c r="AV77" s="29">
        <f>ROUND(AW77+AX77,2)</f>
        <v>0</v>
      </c>
      <c r="AW77" s="29">
        <f>ROUND(F77*AO77,2)</f>
        <v>0</v>
      </c>
      <c r="AX77" s="29">
        <f>ROUND(F77*AP77,2)</f>
        <v>0</v>
      </c>
      <c r="AY77" s="31" t="s">
        <v>190</v>
      </c>
      <c r="AZ77" s="31" t="s">
        <v>130</v>
      </c>
      <c r="BA77" s="10" t="s">
        <v>57</v>
      </c>
      <c r="BC77" s="29">
        <f>AW77+AX77</f>
        <v>0</v>
      </c>
      <c r="BD77" s="29">
        <f>G77/(100-BE77)*100</f>
        <v>0</v>
      </c>
      <c r="BE77" s="29">
        <v>0</v>
      </c>
      <c r="BF77" s="29">
        <f>80</f>
        <v>80</v>
      </c>
      <c r="BH77" s="27">
        <f>F77*AO77</f>
        <v>0</v>
      </c>
      <c r="BI77" s="27">
        <f>F77*AP77</f>
        <v>0</v>
      </c>
      <c r="BJ77" s="27">
        <f>F77*G77</f>
        <v>0</v>
      </c>
      <c r="BK77" s="30" t="s">
        <v>58</v>
      </c>
      <c r="BL77" s="29">
        <v>766</v>
      </c>
      <c r="BW77" s="29">
        <v>21</v>
      </c>
      <c r="BX77" s="26" t="s">
        <v>189</v>
      </c>
    </row>
    <row r="78" spans="1:76" x14ac:dyDescent="0.25">
      <c r="A78" s="32"/>
      <c r="C78" s="33" t="s">
        <v>191</v>
      </c>
      <c r="D78" s="34" t="s">
        <v>48</v>
      </c>
      <c r="F78" s="35">
        <v>17.399999999999999</v>
      </c>
      <c r="K78" s="36"/>
    </row>
    <row r="79" spans="1:76" x14ac:dyDescent="0.25">
      <c r="A79" s="24">
        <v>27</v>
      </c>
      <c r="B79" s="25" t="s">
        <v>192</v>
      </c>
      <c r="C79" s="144" t="s">
        <v>193</v>
      </c>
      <c r="D79" s="145"/>
      <c r="E79" s="25" t="s">
        <v>170</v>
      </c>
      <c r="F79" s="27">
        <v>1</v>
      </c>
      <c r="G79" s="27">
        <v>0</v>
      </c>
      <c r="H79" s="27">
        <f>ROUND(F79*AO79,2)</f>
        <v>0</v>
      </c>
      <c r="I79" s="27">
        <f>ROUND(F79*AP79,2)</f>
        <v>0</v>
      </c>
      <c r="J79" s="27">
        <f>ROUND(F79*G79,2)</f>
        <v>0</v>
      </c>
      <c r="K79" s="28" t="s">
        <v>48</v>
      </c>
      <c r="Z79" s="29">
        <f>ROUND(IF(AQ79="5",BJ79,0),2)</f>
        <v>0</v>
      </c>
      <c r="AB79" s="29">
        <f>ROUND(IF(AQ79="1",BH79,0),2)</f>
        <v>0</v>
      </c>
      <c r="AC79" s="29">
        <f>ROUND(IF(AQ79="1",BI79,0),2)</f>
        <v>0</v>
      </c>
      <c r="AD79" s="29">
        <f>ROUND(IF(AQ79="7",BH79,0),2)</f>
        <v>0</v>
      </c>
      <c r="AE79" s="29">
        <f>ROUND(IF(AQ79="7",BI79,0),2)</f>
        <v>0</v>
      </c>
      <c r="AF79" s="29">
        <f>ROUND(IF(AQ79="2",BH79,0),2)</f>
        <v>0</v>
      </c>
      <c r="AG79" s="29">
        <f>ROUND(IF(AQ79="2",BI79,0),2)</f>
        <v>0</v>
      </c>
      <c r="AH79" s="29">
        <f>ROUND(IF(AQ79="0",BJ79,0),2)</f>
        <v>0</v>
      </c>
      <c r="AI79" s="10" t="s">
        <v>48</v>
      </c>
      <c r="AJ79" s="27">
        <f>IF(AN79=0,J79,0)</f>
        <v>0</v>
      </c>
      <c r="AK79" s="27">
        <f>IF(AN79=12,J79,0)</f>
        <v>0</v>
      </c>
      <c r="AL79" s="27">
        <f>IF(AN79=21,J79,0)</f>
        <v>0</v>
      </c>
      <c r="AN79" s="29">
        <v>21</v>
      </c>
      <c r="AO79" s="29">
        <f>G79*0</f>
        <v>0</v>
      </c>
      <c r="AP79" s="29">
        <f>G79*(1-0)</f>
        <v>0</v>
      </c>
      <c r="AQ79" s="30" t="s">
        <v>97</v>
      </c>
      <c r="AV79" s="29">
        <f>ROUND(AW79+AX79,2)</f>
        <v>0</v>
      </c>
      <c r="AW79" s="29">
        <f>ROUND(F79*AO79,2)</f>
        <v>0</v>
      </c>
      <c r="AX79" s="29">
        <f>ROUND(F79*AP79,2)</f>
        <v>0</v>
      </c>
      <c r="AY79" s="31" t="s">
        <v>190</v>
      </c>
      <c r="AZ79" s="31" t="s">
        <v>130</v>
      </c>
      <c r="BA79" s="10" t="s">
        <v>57</v>
      </c>
      <c r="BC79" s="29">
        <f>AW79+AX79</f>
        <v>0</v>
      </c>
      <c r="BD79" s="29">
        <f>G79/(100-BE79)*100</f>
        <v>0</v>
      </c>
      <c r="BE79" s="29">
        <v>0</v>
      </c>
      <c r="BF79" s="29">
        <f>82</f>
        <v>82</v>
      </c>
      <c r="BH79" s="27">
        <f>F79*AO79</f>
        <v>0</v>
      </c>
      <c r="BI79" s="27">
        <f>F79*AP79</f>
        <v>0</v>
      </c>
      <c r="BJ79" s="27">
        <f>F79*G79</f>
        <v>0</v>
      </c>
      <c r="BK79" s="30" t="s">
        <v>58</v>
      </c>
      <c r="BL79" s="29">
        <v>766</v>
      </c>
      <c r="BW79" s="29">
        <v>21</v>
      </c>
      <c r="BX79" s="26" t="s">
        <v>193</v>
      </c>
    </row>
    <row r="80" spans="1:76" x14ac:dyDescent="0.25">
      <c r="A80" s="32"/>
      <c r="C80" s="33" t="s">
        <v>51</v>
      </c>
      <c r="D80" s="34" t="s">
        <v>194</v>
      </c>
      <c r="F80" s="35">
        <v>1</v>
      </c>
      <c r="K80" s="36"/>
    </row>
    <row r="81" spans="1:76" x14ac:dyDescent="0.25">
      <c r="A81" s="24">
        <v>28</v>
      </c>
      <c r="B81" s="25" t="s">
        <v>195</v>
      </c>
      <c r="C81" s="144" t="s">
        <v>196</v>
      </c>
      <c r="D81" s="145"/>
      <c r="E81" s="25" t="s">
        <v>94</v>
      </c>
      <c r="F81" s="27">
        <v>0.215</v>
      </c>
      <c r="G81" s="27">
        <v>0</v>
      </c>
      <c r="H81" s="27">
        <f>ROUND(F81*AO81,2)</f>
        <v>0</v>
      </c>
      <c r="I81" s="27">
        <f>ROUND(F81*AP81,2)</f>
        <v>0</v>
      </c>
      <c r="J81" s="27">
        <f>ROUND(F81*G81,2)</f>
        <v>0</v>
      </c>
      <c r="K81" s="28" t="s">
        <v>295</v>
      </c>
      <c r="Z81" s="29">
        <f>ROUND(IF(AQ81="5",BJ81,0),2)</f>
        <v>0</v>
      </c>
      <c r="AB81" s="29">
        <f>ROUND(IF(AQ81="1",BH81,0),2)</f>
        <v>0</v>
      </c>
      <c r="AC81" s="29">
        <f>ROUND(IF(AQ81="1",BI81,0),2)</f>
        <v>0</v>
      </c>
      <c r="AD81" s="29">
        <f>ROUND(IF(AQ81="7",BH81,0),2)</f>
        <v>0</v>
      </c>
      <c r="AE81" s="29">
        <f>ROUND(IF(AQ81="7",BI81,0),2)</f>
        <v>0</v>
      </c>
      <c r="AF81" s="29">
        <f>ROUND(IF(AQ81="2",BH81,0),2)</f>
        <v>0</v>
      </c>
      <c r="AG81" s="29">
        <f>ROUND(IF(AQ81="2",BI81,0),2)</f>
        <v>0</v>
      </c>
      <c r="AH81" s="29">
        <f>ROUND(IF(AQ81="0",BJ81,0),2)</f>
        <v>0</v>
      </c>
      <c r="AI81" s="10" t="s">
        <v>48</v>
      </c>
      <c r="AJ81" s="27">
        <f>IF(AN81=0,J81,0)</f>
        <v>0</v>
      </c>
      <c r="AK81" s="27">
        <f>IF(AN81=12,J81,0)</f>
        <v>0</v>
      </c>
      <c r="AL81" s="27">
        <f>IF(AN81=21,J81,0)</f>
        <v>0</v>
      </c>
      <c r="AN81" s="29">
        <v>21</v>
      </c>
      <c r="AO81" s="29">
        <f>G81*0</f>
        <v>0</v>
      </c>
      <c r="AP81" s="29">
        <f>G81*(1-0)</f>
        <v>0</v>
      </c>
      <c r="AQ81" s="30" t="s">
        <v>86</v>
      </c>
      <c r="AV81" s="29">
        <f>ROUND(AW81+AX81,2)</f>
        <v>0</v>
      </c>
      <c r="AW81" s="29">
        <f>ROUND(F81*AO81,2)</f>
        <v>0</v>
      </c>
      <c r="AX81" s="29">
        <f>ROUND(F81*AP81,2)</f>
        <v>0</v>
      </c>
      <c r="AY81" s="31" t="s">
        <v>190</v>
      </c>
      <c r="AZ81" s="31" t="s">
        <v>130</v>
      </c>
      <c r="BA81" s="10" t="s">
        <v>57</v>
      </c>
      <c r="BC81" s="29">
        <f>AW81+AX81</f>
        <v>0</v>
      </c>
      <c r="BD81" s="29">
        <f>G81/(100-BE81)*100</f>
        <v>0</v>
      </c>
      <c r="BE81" s="29">
        <v>0</v>
      </c>
      <c r="BF81" s="29">
        <f>84</f>
        <v>84</v>
      </c>
      <c r="BH81" s="27">
        <f>F81*AO81</f>
        <v>0</v>
      </c>
      <c r="BI81" s="27">
        <f>F81*AP81</f>
        <v>0</v>
      </c>
      <c r="BJ81" s="27">
        <f>F81*G81</f>
        <v>0</v>
      </c>
      <c r="BK81" s="30" t="s">
        <v>58</v>
      </c>
      <c r="BL81" s="29">
        <v>766</v>
      </c>
      <c r="BW81" s="29">
        <v>21</v>
      </c>
      <c r="BX81" s="26" t="s">
        <v>196</v>
      </c>
    </row>
    <row r="82" spans="1:76" x14ac:dyDescent="0.25">
      <c r="A82" s="32"/>
      <c r="C82" s="33" t="s">
        <v>197</v>
      </c>
      <c r="D82" s="34" t="s">
        <v>48</v>
      </c>
      <c r="F82" s="35">
        <v>0.215</v>
      </c>
      <c r="K82" s="36"/>
    </row>
    <row r="83" spans="1:76" x14ac:dyDescent="0.25">
      <c r="A83" s="37" t="s">
        <v>48</v>
      </c>
      <c r="B83" s="38" t="s">
        <v>198</v>
      </c>
      <c r="C83" s="142" t="s">
        <v>199</v>
      </c>
      <c r="D83" s="143"/>
      <c r="E83" s="39" t="s">
        <v>4</v>
      </c>
      <c r="F83" s="39" t="s">
        <v>4</v>
      </c>
      <c r="G83" s="39" t="s">
        <v>4</v>
      </c>
      <c r="H83" s="1">
        <f>SUM(H84:H89)</f>
        <v>0</v>
      </c>
      <c r="I83" s="1">
        <f>SUM(I84:I89)</f>
        <v>0</v>
      </c>
      <c r="J83" s="1">
        <f>SUM(J84:J89)</f>
        <v>0</v>
      </c>
      <c r="K83" s="40" t="s">
        <v>48</v>
      </c>
      <c r="AI83" s="10" t="s">
        <v>48</v>
      </c>
      <c r="AS83" s="1">
        <f>SUM(AJ84:AJ89)</f>
        <v>0</v>
      </c>
      <c r="AT83" s="1">
        <f>SUM(AK84:AK89)</f>
        <v>0</v>
      </c>
      <c r="AU83" s="1">
        <f>SUM(AL84:AL89)</f>
        <v>0</v>
      </c>
    </row>
    <row r="84" spans="1:76" x14ac:dyDescent="0.25">
      <c r="A84" s="24">
        <v>29</v>
      </c>
      <c r="B84" s="25" t="s">
        <v>200</v>
      </c>
      <c r="C84" s="144" t="s">
        <v>201</v>
      </c>
      <c r="D84" s="145"/>
      <c r="E84" s="25" t="s">
        <v>54</v>
      </c>
      <c r="F84" s="27">
        <v>146.48599999999999</v>
      </c>
      <c r="G84" s="27">
        <v>0</v>
      </c>
      <c r="H84" s="27">
        <f>ROUND(F84*AO84,2)</f>
        <v>0</v>
      </c>
      <c r="I84" s="27">
        <f>ROUND(F84*AP84,2)</f>
        <v>0</v>
      </c>
      <c r="J84" s="27">
        <f>ROUND(F84*G84,2)</f>
        <v>0</v>
      </c>
      <c r="K84" s="28" t="s">
        <v>295</v>
      </c>
      <c r="Z84" s="29">
        <f>ROUND(IF(AQ84="5",BJ84,0),2)</f>
        <v>0</v>
      </c>
      <c r="AB84" s="29">
        <f>ROUND(IF(AQ84="1",BH84,0),2)</f>
        <v>0</v>
      </c>
      <c r="AC84" s="29">
        <f>ROUND(IF(AQ84="1",BI84,0),2)</f>
        <v>0</v>
      </c>
      <c r="AD84" s="29">
        <f>ROUND(IF(AQ84="7",BH84,0),2)</f>
        <v>0</v>
      </c>
      <c r="AE84" s="29">
        <f>ROUND(IF(AQ84="7",BI84,0),2)</f>
        <v>0</v>
      </c>
      <c r="AF84" s="29">
        <f>ROUND(IF(AQ84="2",BH84,0),2)</f>
        <v>0</v>
      </c>
      <c r="AG84" s="29">
        <f>ROUND(IF(AQ84="2",BI84,0),2)</f>
        <v>0</v>
      </c>
      <c r="AH84" s="29">
        <f>ROUND(IF(AQ84="0",BJ84,0),2)</f>
        <v>0</v>
      </c>
      <c r="AI84" s="10" t="s">
        <v>48</v>
      </c>
      <c r="AJ84" s="27">
        <f>IF(AN84=0,J84,0)</f>
        <v>0</v>
      </c>
      <c r="AK84" s="27">
        <f>IF(AN84=12,J84,0)</f>
        <v>0</v>
      </c>
      <c r="AL84" s="27">
        <f>IF(AN84=21,J84,0)</f>
        <v>0</v>
      </c>
      <c r="AN84" s="29">
        <v>21</v>
      </c>
      <c r="AO84" s="29">
        <f>G84*0.249196199</f>
        <v>0</v>
      </c>
      <c r="AP84" s="29">
        <f>G84*(1-0.249196199)</f>
        <v>0</v>
      </c>
      <c r="AQ84" s="30" t="s">
        <v>97</v>
      </c>
      <c r="AV84" s="29">
        <f>ROUND(AW84+AX84,2)</f>
        <v>0</v>
      </c>
      <c r="AW84" s="29">
        <f>ROUND(F84*AO84,2)</f>
        <v>0</v>
      </c>
      <c r="AX84" s="29">
        <f>ROUND(F84*AP84,2)</f>
        <v>0</v>
      </c>
      <c r="AY84" s="31" t="s">
        <v>202</v>
      </c>
      <c r="AZ84" s="31" t="s">
        <v>203</v>
      </c>
      <c r="BA84" s="10" t="s">
        <v>57</v>
      </c>
      <c r="BC84" s="29">
        <f>AW84+AX84</f>
        <v>0</v>
      </c>
      <c r="BD84" s="29">
        <f>G84/(100-BE84)*100</f>
        <v>0</v>
      </c>
      <c r="BE84" s="29">
        <v>0</v>
      </c>
      <c r="BF84" s="29">
        <f>87</f>
        <v>87</v>
      </c>
      <c r="BH84" s="27">
        <f>F84*AO84</f>
        <v>0</v>
      </c>
      <c r="BI84" s="27">
        <f>F84*AP84</f>
        <v>0</v>
      </c>
      <c r="BJ84" s="27">
        <f>F84*G84</f>
        <v>0</v>
      </c>
      <c r="BK84" s="30" t="s">
        <v>58</v>
      </c>
      <c r="BL84" s="29">
        <v>783</v>
      </c>
      <c r="BW84" s="29">
        <v>21</v>
      </c>
      <c r="BX84" s="26" t="s">
        <v>201</v>
      </c>
    </row>
    <row r="85" spans="1:76" x14ac:dyDescent="0.25">
      <c r="A85" s="32"/>
      <c r="C85" s="33" t="s">
        <v>204</v>
      </c>
      <c r="D85" s="34" t="s">
        <v>205</v>
      </c>
      <c r="F85" s="35">
        <v>53.781999999999996</v>
      </c>
      <c r="K85" s="36"/>
    </row>
    <row r="86" spans="1:76" x14ac:dyDescent="0.25">
      <c r="A86" s="32"/>
      <c r="C86" s="33" t="s">
        <v>206</v>
      </c>
      <c r="D86" s="34" t="s">
        <v>207</v>
      </c>
      <c r="F86" s="35">
        <v>22.527999999999999</v>
      </c>
      <c r="K86" s="36"/>
    </row>
    <row r="87" spans="1:76" x14ac:dyDescent="0.25">
      <c r="A87" s="32"/>
      <c r="C87" s="33" t="s">
        <v>208</v>
      </c>
      <c r="D87" s="34" t="s">
        <v>209</v>
      </c>
      <c r="F87" s="35">
        <v>4.1760000000000002</v>
      </c>
      <c r="K87" s="36"/>
    </row>
    <row r="88" spans="1:76" x14ac:dyDescent="0.25">
      <c r="A88" s="32"/>
      <c r="C88" s="33" t="s">
        <v>210</v>
      </c>
      <c r="D88" s="34" t="s">
        <v>211</v>
      </c>
      <c r="F88" s="35">
        <v>66</v>
      </c>
      <c r="K88" s="36"/>
    </row>
    <row r="89" spans="1:76" x14ac:dyDescent="0.25">
      <c r="A89" s="24">
        <v>30</v>
      </c>
      <c r="B89" s="25" t="s">
        <v>212</v>
      </c>
      <c r="C89" s="144" t="s">
        <v>213</v>
      </c>
      <c r="D89" s="145"/>
      <c r="E89" s="25" t="s">
        <v>54</v>
      </c>
      <c r="F89" s="27">
        <v>146.48599999999999</v>
      </c>
      <c r="G89" s="27">
        <v>0</v>
      </c>
      <c r="H89" s="27">
        <f>ROUND(F89*AO89,2)</f>
        <v>0</v>
      </c>
      <c r="I89" s="27">
        <f>ROUND(F89*AP89,2)</f>
        <v>0</v>
      </c>
      <c r="J89" s="27">
        <f>ROUND(F89*G89,2)</f>
        <v>0</v>
      </c>
      <c r="K89" s="28" t="s">
        <v>295</v>
      </c>
      <c r="Z89" s="29">
        <f>ROUND(IF(AQ89="5",BJ89,0),2)</f>
        <v>0</v>
      </c>
      <c r="AB89" s="29">
        <f>ROUND(IF(AQ89="1",BH89,0),2)</f>
        <v>0</v>
      </c>
      <c r="AC89" s="29">
        <f>ROUND(IF(AQ89="1",BI89,0),2)</f>
        <v>0</v>
      </c>
      <c r="AD89" s="29">
        <f>ROUND(IF(AQ89="7",BH89,0),2)</f>
        <v>0</v>
      </c>
      <c r="AE89" s="29">
        <f>ROUND(IF(AQ89="7",BI89,0),2)</f>
        <v>0</v>
      </c>
      <c r="AF89" s="29">
        <f>ROUND(IF(AQ89="2",BH89,0),2)</f>
        <v>0</v>
      </c>
      <c r="AG89" s="29">
        <f>ROUND(IF(AQ89="2",BI89,0),2)</f>
        <v>0</v>
      </c>
      <c r="AH89" s="29">
        <f>ROUND(IF(AQ89="0",BJ89,0),2)</f>
        <v>0</v>
      </c>
      <c r="AI89" s="10" t="s">
        <v>48</v>
      </c>
      <c r="AJ89" s="27">
        <f>IF(AN89=0,J89,0)</f>
        <v>0</v>
      </c>
      <c r="AK89" s="27">
        <f>IF(AN89=12,J89,0)</f>
        <v>0</v>
      </c>
      <c r="AL89" s="27">
        <f>IF(AN89=21,J89,0)</f>
        <v>0</v>
      </c>
      <c r="AN89" s="29">
        <v>21</v>
      </c>
      <c r="AO89" s="29">
        <f>G89*0.376851792</f>
        <v>0</v>
      </c>
      <c r="AP89" s="29">
        <f>G89*(1-0.376851792)</f>
        <v>0</v>
      </c>
      <c r="AQ89" s="30" t="s">
        <v>97</v>
      </c>
      <c r="AV89" s="29">
        <f>ROUND(AW89+AX89,2)</f>
        <v>0</v>
      </c>
      <c r="AW89" s="29">
        <f>ROUND(F89*AO89,2)</f>
        <v>0</v>
      </c>
      <c r="AX89" s="29">
        <f>ROUND(F89*AP89,2)</f>
        <v>0</v>
      </c>
      <c r="AY89" s="31" t="s">
        <v>202</v>
      </c>
      <c r="AZ89" s="31" t="s">
        <v>203</v>
      </c>
      <c r="BA89" s="10" t="s">
        <v>57</v>
      </c>
      <c r="BC89" s="29">
        <f>AW89+AX89</f>
        <v>0</v>
      </c>
      <c r="BD89" s="29">
        <f>G89/(100-BE89)*100</f>
        <v>0</v>
      </c>
      <c r="BE89" s="29">
        <v>0</v>
      </c>
      <c r="BF89" s="29">
        <f>92</f>
        <v>92</v>
      </c>
      <c r="BH89" s="27">
        <f>F89*AO89</f>
        <v>0</v>
      </c>
      <c r="BI89" s="27">
        <f>F89*AP89</f>
        <v>0</v>
      </c>
      <c r="BJ89" s="27">
        <f>F89*G89</f>
        <v>0</v>
      </c>
      <c r="BK89" s="30" t="s">
        <v>58</v>
      </c>
      <c r="BL89" s="29">
        <v>783</v>
      </c>
      <c r="BW89" s="29">
        <v>21</v>
      </c>
      <c r="BX89" s="26" t="s">
        <v>213</v>
      </c>
    </row>
    <row r="90" spans="1:76" x14ac:dyDescent="0.25">
      <c r="A90" s="32"/>
      <c r="C90" s="33" t="s">
        <v>214</v>
      </c>
      <c r="D90" s="34" t="s">
        <v>215</v>
      </c>
      <c r="F90" s="35">
        <v>146.48599999999999</v>
      </c>
      <c r="K90" s="36"/>
    </row>
    <row r="91" spans="1:76" x14ac:dyDescent="0.25">
      <c r="A91" s="37" t="s">
        <v>48</v>
      </c>
      <c r="B91" s="38" t="s">
        <v>216</v>
      </c>
      <c r="C91" s="142" t="s">
        <v>217</v>
      </c>
      <c r="D91" s="143"/>
      <c r="E91" s="39" t="s">
        <v>4</v>
      </c>
      <c r="F91" s="39" t="s">
        <v>4</v>
      </c>
      <c r="G91" s="39" t="s">
        <v>4</v>
      </c>
      <c r="H91" s="1">
        <f>H92</f>
        <v>0</v>
      </c>
      <c r="I91" s="1">
        <f>I92</f>
        <v>0</v>
      </c>
      <c r="J91" s="1">
        <f>J92</f>
        <v>0</v>
      </c>
      <c r="K91" s="40" t="s">
        <v>48</v>
      </c>
      <c r="AI91" s="10" t="s">
        <v>48</v>
      </c>
    </row>
    <row r="92" spans="1:76" x14ac:dyDescent="0.25">
      <c r="A92" s="37" t="s">
        <v>48</v>
      </c>
      <c r="B92" s="38" t="s">
        <v>218</v>
      </c>
      <c r="C92" s="142" t="s">
        <v>219</v>
      </c>
      <c r="D92" s="143"/>
      <c r="E92" s="39" t="s">
        <v>4</v>
      </c>
      <c r="F92" s="39" t="s">
        <v>4</v>
      </c>
      <c r="G92" s="39" t="s">
        <v>4</v>
      </c>
      <c r="H92" s="1">
        <f>SUM(H93:H93)</f>
        <v>0</v>
      </c>
      <c r="I92" s="1">
        <f>SUM(I93:I93)</f>
        <v>0</v>
      </c>
      <c r="J92" s="1">
        <f>SUM(J93:J93)</f>
        <v>0</v>
      </c>
      <c r="K92" s="40" t="s">
        <v>48</v>
      </c>
      <c r="AI92" s="10" t="s">
        <v>48</v>
      </c>
      <c r="AS92" s="1">
        <f>SUM(AJ93:AJ93)</f>
        <v>0</v>
      </c>
      <c r="AT92" s="1">
        <f>SUM(AK93:AK93)</f>
        <v>0</v>
      </c>
      <c r="AU92" s="1">
        <f>SUM(AL93:AL93)</f>
        <v>0</v>
      </c>
    </row>
    <row r="93" spans="1:76" x14ac:dyDescent="0.25">
      <c r="A93" s="24">
        <v>31</v>
      </c>
      <c r="B93" s="25" t="s">
        <v>220</v>
      </c>
      <c r="C93" s="144" t="s">
        <v>219</v>
      </c>
      <c r="D93" s="145"/>
      <c r="E93" s="25" t="s">
        <v>221</v>
      </c>
      <c r="F93" s="27">
        <v>1</v>
      </c>
      <c r="G93" s="27">
        <v>0</v>
      </c>
      <c r="H93" s="27">
        <f>ROUND(F93*AO93,2)</f>
        <v>0</v>
      </c>
      <c r="I93" s="27">
        <f>ROUND(F93*AP93,2)</f>
        <v>0</v>
      </c>
      <c r="J93" s="27">
        <f>ROUND(F93*G93,2)</f>
        <v>0</v>
      </c>
      <c r="K93" s="28" t="s">
        <v>295</v>
      </c>
      <c r="Z93" s="29">
        <f>ROUND(IF(AQ93="5",BJ93,0),2)</f>
        <v>0</v>
      </c>
      <c r="AB93" s="29">
        <f>ROUND(IF(AQ93="1",BH93,0),2)</f>
        <v>0</v>
      </c>
      <c r="AC93" s="29">
        <f>ROUND(IF(AQ93="1",BI93,0),2)</f>
        <v>0</v>
      </c>
      <c r="AD93" s="29">
        <f>ROUND(IF(AQ93="7",BH93,0),2)</f>
        <v>0</v>
      </c>
      <c r="AE93" s="29">
        <f>ROUND(IF(AQ93="7",BI93,0),2)</f>
        <v>0</v>
      </c>
      <c r="AF93" s="29">
        <f>ROUND(IF(AQ93="2",BH93,0),2)</f>
        <v>0</v>
      </c>
      <c r="AG93" s="29">
        <f>ROUND(IF(AQ93="2",BI93,0),2)</f>
        <v>0</v>
      </c>
      <c r="AH93" s="29">
        <f>ROUND(IF(AQ93="0",BJ93,0),2)</f>
        <v>0</v>
      </c>
      <c r="AI93" s="10" t="s">
        <v>48</v>
      </c>
      <c r="AJ93" s="27">
        <f>IF(AN93=0,J93,0)</f>
        <v>0</v>
      </c>
      <c r="AK93" s="27">
        <f>IF(AN93=12,J93,0)</f>
        <v>0</v>
      </c>
      <c r="AL93" s="27">
        <f>IF(AN93=21,J93,0)</f>
        <v>0</v>
      </c>
      <c r="AN93" s="29">
        <v>21</v>
      </c>
      <c r="AO93" s="29">
        <f>G93*0</f>
        <v>0</v>
      </c>
      <c r="AP93" s="29">
        <f>G93*(1-0)</f>
        <v>0</v>
      </c>
      <c r="AQ93" s="30" t="s">
        <v>222</v>
      </c>
      <c r="AV93" s="29">
        <f>ROUND(AW93+AX93,2)</f>
        <v>0</v>
      </c>
      <c r="AW93" s="29">
        <f>ROUND(F93*AO93,2)</f>
        <v>0</v>
      </c>
      <c r="AX93" s="29">
        <f>ROUND(F93*AP93,2)</f>
        <v>0</v>
      </c>
      <c r="AY93" s="31" t="s">
        <v>223</v>
      </c>
      <c r="AZ93" s="31" t="s">
        <v>224</v>
      </c>
      <c r="BA93" s="10" t="s">
        <v>57</v>
      </c>
      <c r="BC93" s="29">
        <f>AW93+AX93</f>
        <v>0</v>
      </c>
      <c r="BD93" s="29">
        <f>G93/(100-BE93)*100</f>
        <v>0</v>
      </c>
      <c r="BE93" s="29">
        <v>0</v>
      </c>
      <c r="BF93" s="29">
        <f>96</f>
        <v>96</v>
      </c>
      <c r="BH93" s="27">
        <f>F93*AO93</f>
        <v>0</v>
      </c>
      <c r="BI93" s="27">
        <f>F93*AP93</f>
        <v>0</v>
      </c>
      <c r="BJ93" s="27">
        <f>F93*G93</f>
        <v>0</v>
      </c>
      <c r="BK93" s="30" t="s">
        <v>58</v>
      </c>
      <c r="BL93" s="29"/>
      <c r="BR93" s="29">
        <f>F93*G93</f>
        <v>0</v>
      </c>
      <c r="BW93" s="29">
        <v>21</v>
      </c>
      <c r="BX93" s="26" t="s">
        <v>219</v>
      </c>
    </row>
    <row r="94" spans="1:76" x14ac:dyDescent="0.25">
      <c r="A94" s="47"/>
      <c r="B94" s="48"/>
      <c r="C94" s="49" t="s">
        <v>51</v>
      </c>
      <c r="D94" s="50" t="s">
        <v>48</v>
      </c>
      <c r="E94" s="48"/>
      <c r="F94" s="51">
        <v>1</v>
      </c>
      <c r="G94" s="48"/>
      <c r="H94" s="48"/>
      <c r="I94" s="48"/>
      <c r="J94" s="48"/>
      <c r="K94" s="52"/>
    </row>
    <row r="95" spans="1:76" x14ac:dyDescent="0.25">
      <c r="H95" s="146" t="s">
        <v>225</v>
      </c>
      <c r="I95" s="146"/>
      <c r="J95" s="53" t="e">
        <f>ROUND(J12+J15+J18+J21+J24+#REF!+J28+J31+J42+J71+J76+J83+J92,2)</f>
        <v>#REF!</v>
      </c>
    </row>
    <row r="96" spans="1:76" x14ac:dyDescent="0.25">
      <c r="A96" s="54" t="s">
        <v>226</v>
      </c>
    </row>
    <row r="97" spans="1:11" ht="12.75" customHeight="1" x14ac:dyDescent="0.25">
      <c r="A97" s="86" t="s">
        <v>48</v>
      </c>
      <c r="B97" s="87"/>
      <c r="C97" s="87"/>
      <c r="D97" s="87"/>
      <c r="E97" s="87"/>
      <c r="F97" s="87"/>
      <c r="G97" s="87"/>
      <c r="H97" s="87"/>
      <c r="I97" s="87"/>
      <c r="J97" s="87"/>
      <c r="K97" s="87"/>
    </row>
  </sheetData>
  <mergeCells count="74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5:D15"/>
    <mergeCell ref="C16:D16"/>
    <mergeCell ref="C18:D18"/>
    <mergeCell ref="C19:D19"/>
    <mergeCell ref="C21:D21"/>
    <mergeCell ref="C22:D22"/>
    <mergeCell ref="C24:D24"/>
    <mergeCell ref="C25:D25"/>
    <mergeCell ref="C27:D27"/>
    <mergeCell ref="C28:D28"/>
    <mergeCell ref="C29:D29"/>
    <mergeCell ref="C31:D31"/>
    <mergeCell ref="C32:D32"/>
    <mergeCell ref="C34:D34"/>
    <mergeCell ref="C36:D36"/>
    <mergeCell ref="C38:D38"/>
    <mergeCell ref="C40:D40"/>
    <mergeCell ref="C42:D42"/>
    <mergeCell ref="C43:D43"/>
    <mergeCell ref="C46:D46"/>
    <mergeCell ref="C51:D51"/>
    <mergeCell ref="C55:D55"/>
    <mergeCell ref="C57:D57"/>
    <mergeCell ref="C59:D59"/>
    <mergeCell ref="C61:D61"/>
    <mergeCell ref="C63:D63"/>
    <mergeCell ref="C65:D65"/>
    <mergeCell ref="C67:D67"/>
    <mergeCell ref="C69:D69"/>
    <mergeCell ref="C71:D71"/>
    <mergeCell ref="C72:D72"/>
    <mergeCell ref="C74:D74"/>
    <mergeCell ref="C76:D76"/>
    <mergeCell ref="C77:D77"/>
    <mergeCell ref="C79:D79"/>
    <mergeCell ref="C81:D81"/>
    <mergeCell ref="C83:D83"/>
    <mergeCell ref="C84:D84"/>
    <mergeCell ref="C89:D89"/>
    <mergeCell ref="C91:D91"/>
    <mergeCell ref="C92:D92"/>
    <mergeCell ref="C93:D93"/>
    <mergeCell ref="H95:I95"/>
    <mergeCell ref="A97:K9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tabSelected="1"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0" t="s">
        <v>217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5">
      <c r="A2" s="132" t="s">
        <v>1</v>
      </c>
      <c r="B2" s="133"/>
      <c r="C2" s="127" t="str">
        <f>'Stavební rozpočet'!C2</f>
        <v>Odstranění stávajícího dřevěnnného altálu a novostavba náhrady</v>
      </c>
      <c r="D2" s="128"/>
      <c r="E2" s="124" t="s">
        <v>5</v>
      </c>
      <c r="F2" s="124" t="str">
        <f>'Stavební rozpočet'!I2</f>
        <v> </v>
      </c>
      <c r="G2" s="133"/>
      <c r="H2" s="124" t="s">
        <v>235</v>
      </c>
      <c r="I2" s="135" t="s">
        <v>48</v>
      </c>
    </row>
    <row r="3" spans="1:9" ht="25.5" customHeight="1" x14ac:dyDescent="0.25">
      <c r="A3" s="134"/>
      <c r="B3" s="87"/>
      <c r="C3" s="129"/>
      <c r="D3" s="129"/>
      <c r="E3" s="87"/>
      <c r="F3" s="87"/>
      <c r="G3" s="87"/>
      <c r="H3" s="87"/>
      <c r="I3" s="136"/>
    </row>
    <row r="4" spans="1:9" x14ac:dyDescent="0.25">
      <c r="A4" s="125" t="s">
        <v>7</v>
      </c>
      <c r="B4" s="87"/>
      <c r="C4" s="86" t="str">
        <f>'Stavební rozpočet'!C4</f>
        <v>Náhrada stavajícího dřěvěného altánu</v>
      </c>
      <c r="D4" s="87"/>
      <c r="E4" s="86" t="s">
        <v>11</v>
      </c>
      <c r="F4" s="86" t="str">
        <f>'Stavební rozpočet'!I4</f>
        <v> </v>
      </c>
      <c r="G4" s="87"/>
      <c r="H4" s="86" t="s">
        <v>235</v>
      </c>
      <c r="I4" s="136" t="s">
        <v>48</v>
      </c>
    </row>
    <row r="5" spans="1:9" ht="15" customHeight="1" x14ac:dyDescent="0.25">
      <c r="A5" s="134"/>
      <c r="B5" s="87"/>
      <c r="C5" s="87"/>
      <c r="D5" s="87"/>
      <c r="E5" s="87"/>
      <c r="F5" s="87"/>
      <c r="G5" s="87"/>
      <c r="H5" s="87"/>
      <c r="I5" s="136"/>
    </row>
    <row r="6" spans="1:9" x14ac:dyDescent="0.25">
      <c r="A6" s="125" t="s">
        <v>12</v>
      </c>
      <c r="B6" s="87"/>
      <c r="C6" s="86" t="str">
        <f>'Stavební rozpočet'!C6</f>
        <v>Bruntál - Uhlířský vrch</v>
      </c>
      <c r="D6" s="87"/>
      <c r="E6" s="86" t="s">
        <v>15</v>
      </c>
      <c r="F6" s="86" t="str">
        <f>'Stavební rozpočet'!I6</f>
        <v> </v>
      </c>
      <c r="G6" s="87"/>
      <c r="H6" s="86" t="s">
        <v>235</v>
      </c>
      <c r="I6" s="136" t="s">
        <v>48</v>
      </c>
    </row>
    <row r="7" spans="1:9" ht="15" customHeight="1" x14ac:dyDescent="0.25">
      <c r="A7" s="134"/>
      <c r="B7" s="87"/>
      <c r="C7" s="87"/>
      <c r="D7" s="87"/>
      <c r="E7" s="87"/>
      <c r="F7" s="87"/>
      <c r="G7" s="87"/>
      <c r="H7" s="87"/>
      <c r="I7" s="136"/>
    </row>
    <row r="8" spans="1:9" x14ac:dyDescent="0.25">
      <c r="A8" s="125" t="s">
        <v>9</v>
      </c>
      <c r="B8" s="87"/>
      <c r="C8" s="86" t="str">
        <f>'Stavební rozpočet'!G4</f>
        <v>08.08.2025</v>
      </c>
      <c r="D8" s="87"/>
      <c r="E8" s="86" t="s">
        <v>14</v>
      </c>
      <c r="F8" s="86" t="str">
        <f>'Stavební rozpočet'!G6</f>
        <v xml:space="preserve"> </v>
      </c>
      <c r="G8" s="87"/>
      <c r="H8" s="87" t="s">
        <v>236</v>
      </c>
      <c r="I8" s="137">
        <v>32</v>
      </c>
    </row>
    <row r="9" spans="1:9" x14ac:dyDescent="0.25">
      <c r="A9" s="134"/>
      <c r="B9" s="87"/>
      <c r="C9" s="87"/>
      <c r="D9" s="87"/>
      <c r="E9" s="87"/>
      <c r="F9" s="87"/>
      <c r="G9" s="87"/>
      <c r="H9" s="87"/>
      <c r="I9" s="136"/>
    </row>
    <row r="10" spans="1:9" x14ac:dyDescent="0.25">
      <c r="A10" s="125" t="s">
        <v>16</v>
      </c>
      <c r="B10" s="87"/>
      <c r="C10" s="86" t="str">
        <f>'Stavební rozpočet'!C8</f>
        <v xml:space="preserve"> </v>
      </c>
      <c r="D10" s="87"/>
      <c r="E10" s="86" t="s">
        <v>18</v>
      </c>
      <c r="F10" s="86" t="str">
        <f>'Stavební rozpočet'!I8</f>
        <v> </v>
      </c>
      <c r="G10" s="87"/>
      <c r="H10" s="87" t="s">
        <v>237</v>
      </c>
      <c r="I10" s="118" t="str">
        <f>'Stavební rozpočet'!G8</f>
        <v>08.08.2025</v>
      </c>
    </row>
    <row r="11" spans="1:9" x14ac:dyDescent="0.25">
      <c r="A11" s="126"/>
      <c r="B11" s="123"/>
      <c r="C11" s="123"/>
      <c r="D11" s="123"/>
      <c r="E11" s="123"/>
      <c r="F11" s="123"/>
      <c r="G11" s="123"/>
      <c r="H11" s="123"/>
      <c r="I11" s="119"/>
    </row>
    <row r="13" spans="1:9" ht="15.75" x14ac:dyDescent="0.25">
      <c r="A13" s="173" t="s">
        <v>277</v>
      </c>
      <c r="B13" s="173"/>
      <c r="C13" s="173"/>
      <c r="D13" s="173"/>
      <c r="E13" s="173"/>
    </row>
    <row r="14" spans="1:9" x14ac:dyDescent="0.25">
      <c r="A14" s="174" t="s">
        <v>278</v>
      </c>
      <c r="B14" s="175"/>
      <c r="C14" s="175"/>
      <c r="D14" s="175"/>
      <c r="E14" s="176"/>
      <c r="F14" s="78" t="s">
        <v>279</v>
      </c>
      <c r="G14" s="78" t="s">
        <v>280</v>
      </c>
      <c r="H14" s="78" t="s">
        <v>281</v>
      </c>
      <c r="I14" s="78" t="s">
        <v>279</v>
      </c>
    </row>
    <row r="15" spans="1:9" x14ac:dyDescent="0.25">
      <c r="A15" s="158" t="s">
        <v>247</v>
      </c>
      <c r="B15" s="159"/>
      <c r="C15" s="159"/>
      <c r="D15" s="159"/>
      <c r="E15" s="160"/>
      <c r="F15" s="79">
        <v>0</v>
      </c>
      <c r="G15" s="80" t="s">
        <v>48</v>
      </c>
      <c r="H15" s="80" t="s">
        <v>48</v>
      </c>
      <c r="I15" s="79">
        <f>F15</f>
        <v>0</v>
      </c>
    </row>
    <row r="16" spans="1:9" x14ac:dyDescent="0.25">
      <c r="A16" s="158" t="s">
        <v>249</v>
      </c>
      <c r="B16" s="159"/>
      <c r="C16" s="159"/>
      <c r="D16" s="159"/>
      <c r="E16" s="160"/>
      <c r="F16" s="79">
        <v>0</v>
      </c>
      <c r="G16" s="80" t="s">
        <v>48</v>
      </c>
      <c r="H16" s="80" t="s">
        <v>48</v>
      </c>
      <c r="I16" s="79">
        <f>F16</f>
        <v>0</v>
      </c>
    </row>
    <row r="17" spans="1:9" x14ac:dyDescent="0.25">
      <c r="A17" s="161" t="s">
        <v>252</v>
      </c>
      <c r="B17" s="162"/>
      <c r="C17" s="162"/>
      <c r="D17" s="162"/>
      <c r="E17" s="163"/>
      <c r="F17" s="81">
        <v>0</v>
      </c>
      <c r="G17" s="82" t="s">
        <v>48</v>
      </c>
      <c r="H17" s="82" t="s">
        <v>48</v>
      </c>
      <c r="I17" s="81">
        <f>F17</f>
        <v>0</v>
      </c>
    </row>
    <row r="18" spans="1:9" x14ac:dyDescent="0.25">
      <c r="A18" s="164" t="s">
        <v>282</v>
      </c>
      <c r="B18" s="165"/>
      <c r="C18" s="165"/>
      <c r="D18" s="165"/>
      <c r="E18" s="166"/>
      <c r="F18" s="83" t="s">
        <v>48</v>
      </c>
      <c r="G18" s="84" t="s">
        <v>48</v>
      </c>
      <c r="H18" s="84" t="s">
        <v>48</v>
      </c>
      <c r="I18" s="85">
        <f>SUM(I15:I17)</f>
        <v>0</v>
      </c>
    </row>
    <row r="20" spans="1:9" x14ac:dyDescent="0.25">
      <c r="A20" s="174" t="s">
        <v>244</v>
      </c>
      <c r="B20" s="175"/>
      <c r="C20" s="175"/>
      <c r="D20" s="175"/>
      <c r="E20" s="176"/>
      <c r="F20" s="78" t="s">
        <v>279</v>
      </c>
      <c r="G20" s="78" t="s">
        <v>280</v>
      </c>
      <c r="H20" s="78" t="s">
        <v>281</v>
      </c>
      <c r="I20" s="78" t="s">
        <v>279</v>
      </c>
    </row>
    <row r="21" spans="1:9" x14ac:dyDescent="0.25">
      <c r="A21" s="158" t="s">
        <v>248</v>
      </c>
      <c r="B21" s="159"/>
      <c r="C21" s="159"/>
      <c r="D21" s="159"/>
      <c r="E21" s="160"/>
      <c r="F21" s="79">
        <v>0</v>
      </c>
      <c r="G21" s="80" t="s">
        <v>48</v>
      </c>
      <c r="H21" s="80" t="s">
        <v>48</v>
      </c>
      <c r="I21" s="79">
        <f t="shared" ref="I21:I26" si="0">F21</f>
        <v>0</v>
      </c>
    </row>
    <row r="22" spans="1:9" x14ac:dyDescent="0.25">
      <c r="A22" s="158" t="s">
        <v>250</v>
      </c>
      <c r="B22" s="159"/>
      <c r="C22" s="159"/>
      <c r="D22" s="159"/>
      <c r="E22" s="160"/>
      <c r="F22" s="79">
        <v>0</v>
      </c>
      <c r="G22" s="80" t="s">
        <v>48</v>
      </c>
      <c r="H22" s="80" t="s">
        <v>48</v>
      </c>
      <c r="I22" s="79">
        <f t="shared" si="0"/>
        <v>0</v>
      </c>
    </row>
    <row r="23" spans="1:9" x14ac:dyDescent="0.25">
      <c r="A23" s="158" t="s">
        <v>219</v>
      </c>
      <c r="B23" s="159"/>
      <c r="C23" s="159"/>
      <c r="D23" s="159"/>
      <c r="E23" s="160"/>
      <c r="F23" s="79">
        <v>0</v>
      </c>
      <c r="G23" s="80" t="s">
        <v>48</v>
      </c>
      <c r="H23" s="80" t="s">
        <v>48</v>
      </c>
      <c r="I23" s="79">
        <f t="shared" si="0"/>
        <v>0</v>
      </c>
    </row>
    <row r="24" spans="1:9" x14ac:dyDescent="0.25">
      <c r="A24" s="158" t="s">
        <v>253</v>
      </c>
      <c r="B24" s="159"/>
      <c r="C24" s="159"/>
      <c r="D24" s="159"/>
      <c r="E24" s="160"/>
      <c r="F24" s="79">
        <v>0</v>
      </c>
      <c r="G24" s="80" t="s">
        <v>48</v>
      </c>
      <c r="H24" s="80" t="s">
        <v>48</v>
      </c>
      <c r="I24" s="79">
        <f t="shared" si="0"/>
        <v>0</v>
      </c>
    </row>
    <row r="25" spans="1:9" x14ac:dyDescent="0.25">
      <c r="A25" s="158" t="s">
        <v>255</v>
      </c>
      <c r="B25" s="159"/>
      <c r="C25" s="159"/>
      <c r="D25" s="159"/>
      <c r="E25" s="160"/>
      <c r="F25" s="79">
        <v>0</v>
      </c>
      <c r="G25" s="80" t="s">
        <v>48</v>
      </c>
      <c r="H25" s="80" t="s">
        <v>48</v>
      </c>
      <c r="I25" s="79">
        <f t="shared" si="0"/>
        <v>0</v>
      </c>
    </row>
    <row r="26" spans="1:9" x14ac:dyDescent="0.25">
      <c r="A26" s="161" t="s">
        <v>256</v>
      </c>
      <c r="B26" s="162"/>
      <c r="C26" s="162"/>
      <c r="D26" s="162"/>
      <c r="E26" s="163"/>
      <c r="F26" s="81">
        <v>0</v>
      </c>
      <c r="G26" s="82" t="s">
        <v>48</v>
      </c>
      <c r="H26" s="82" t="s">
        <v>48</v>
      </c>
      <c r="I26" s="81">
        <f t="shared" si="0"/>
        <v>0</v>
      </c>
    </row>
    <row r="27" spans="1:9" x14ac:dyDescent="0.25">
      <c r="A27" s="164" t="s">
        <v>283</v>
      </c>
      <c r="B27" s="165"/>
      <c r="C27" s="165"/>
      <c r="D27" s="165"/>
      <c r="E27" s="166"/>
      <c r="F27" s="83" t="s">
        <v>48</v>
      </c>
      <c r="G27" s="84" t="s">
        <v>48</v>
      </c>
      <c r="H27" s="84" t="s">
        <v>48</v>
      </c>
      <c r="I27" s="85">
        <f>SUM(I21:I26)</f>
        <v>0</v>
      </c>
    </row>
    <row r="29" spans="1:9" ht="15.75" x14ac:dyDescent="0.25">
      <c r="A29" s="167" t="s">
        <v>284</v>
      </c>
      <c r="B29" s="168"/>
      <c r="C29" s="168"/>
      <c r="D29" s="168"/>
      <c r="E29" s="169"/>
      <c r="F29" s="170">
        <f>I18+I27</f>
        <v>0</v>
      </c>
      <c r="G29" s="171"/>
      <c r="H29" s="171"/>
      <c r="I29" s="172"/>
    </row>
    <row r="33" spans="1:9" ht="15.75" x14ac:dyDescent="0.25">
      <c r="A33" s="173" t="s">
        <v>285</v>
      </c>
      <c r="B33" s="173"/>
      <c r="C33" s="173"/>
      <c r="D33" s="173"/>
      <c r="E33" s="173"/>
    </row>
    <row r="34" spans="1:9" x14ac:dyDescent="0.25">
      <c r="A34" s="174" t="s">
        <v>286</v>
      </c>
      <c r="B34" s="175"/>
      <c r="C34" s="175"/>
      <c r="D34" s="175"/>
      <c r="E34" s="176"/>
      <c r="F34" s="78" t="s">
        <v>279</v>
      </c>
      <c r="G34" s="78" t="s">
        <v>280</v>
      </c>
      <c r="H34" s="78" t="s">
        <v>281</v>
      </c>
      <c r="I34" s="78" t="s">
        <v>279</v>
      </c>
    </row>
    <row r="35" spans="1:9" x14ac:dyDescent="0.25">
      <c r="A35" s="158" t="s">
        <v>287</v>
      </c>
      <c r="B35" s="159"/>
      <c r="C35" s="159"/>
      <c r="D35" s="159"/>
      <c r="E35" s="160"/>
      <c r="F35" s="79">
        <f>SUM('Stavební rozpočet'!BM12:BM191)</f>
        <v>0</v>
      </c>
      <c r="G35" s="80" t="s">
        <v>48</v>
      </c>
      <c r="H35" s="80" t="s">
        <v>48</v>
      </c>
      <c r="I35" s="79">
        <f t="shared" ref="I35:I44" si="1">F35</f>
        <v>0</v>
      </c>
    </row>
    <row r="36" spans="1:9" x14ac:dyDescent="0.25">
      <c r="A36" s="158" t="s">
        <v>288</v>
      </c>
      <c r="B36" s="159"/>
      <c r="C36" s="159"/>
      <c r="D36" s="159"/>
      <c r="E36" s="160"/>
      <c r="F36" s="79">
        <f>SUM('Stavební rozpočet'!BN12:BN191)</f>
        <v>0</v>
      </c>
      <c r="G36" s="80" t="s">
        <v>48</v>
      </c>
      <c r="H36" s="80" t="s">
        <v>48</v>
      </c>
      <c r="I36" s="79">
        <f t="shared" si="1"/>
        <v>0</v>
      </c>
    </row>
    <row r="37" spans="1:9" x14ac:dyDescent="0.25">
      <c r="A37" s="158" t="s">
        <v>248</v>
      </c>
      <c r="B37" s="159"/>
      <c r="C37" s="159"/>
      <c r="D37" s="159"/>
      <c r="E37" s="160"/>
      <c r="F37" s="79">
        <f>SUM('Stavební rozpočet'!BO12:BO191)</f>
        <v>0</v>
      </c>
      <c r="G37" s="80" t="s">
        <v>48</v>
      </c>
      <c r="H37" s="80" t="s">
        <v>48</v>
      </c>
      <c r="I37" s="79">
        <f t="shared" si="1"/>
        <v>0</v>
      </c>
    </row>
    <row r="38" spans="1:9" x14ac:dyDescent="0.25">
      <c r="A38" s="158" t="s">
        <v>289</v>
      </c>
      <c r="B38" s="159"/>
      <c r="C38" s="159"/>
      <c r="D38" s="159"/>
      <c r="E38" s="160"/>
      <c r="F38" s="79">
        <f>SUM('Stavební rozpočet'!BP12:BP191)</f>
        <v>0</v>
      </c>
      <c r="G38" s="80" t="s">
        <v>48</v>
      </c>
      <c r="H38" s="80" t="s">
        <v>48</v>
      </c>
      <c r="I38" s="79">
        <f t="shared" si="1"/>
        <v>0</v>
      </c>
    </row>
    <row r="39" spans="1:9" x14ac:dyDescent="0.25">
      <c r="A39" s="158" t="s">
        <v>290</v>
      </c>
      <c r="B39" s="159"/>
      <c r="C39" s="159"/>
      <c r="D39" s="159"/>
      <c r="E39" s="160"/>
      <c r="F39" s="79">
        <f>SUM('Stavební rozpočet'!BQ12:BQ191)</f>
        <v>0</v>
      </c>
      <c r="G39" s="80" t="s">
        <v>48</v>
      </c>
      <c r="H39" s="80" t="s">
        <v>48</v>
      </c>
      <c r="I39" s="79">
        <f t="shared" si="1"/>
        <v>0</v>
      </c>
    </row>
    <row r="40" spans="1:9" x14ac:dyDescent="0.25">
      <c r="A40" s="158" t="s">
        <v>219</v>
      </c>
      <c r="B40" s="159"/>
      <c r="C40" s="159"/>
      <c r="D40" s="159"/>
      <c r="E40" s="160"/>
      <c r="F40" s="79">
        <f>SUM('Stavební rozpočet'!BR12:BR191)</f>
        <v>0</v>
      </c>
      <c r="G40" s="80" t="s">
        <v>48</v>
      </c>
      <c r="H40" s="80" t="s">
        <v>48</v>
      </c>
      <c r="I40" s="79">
        <f t="shared" si="1"/>
        <v>0</v>
      </c>
    </row>
    <row r="41" spans="1:9" x14ac:dyDescent="0.25">
      <c r="A41" s="158" t="s">
        <v>253</v>
      </c>
      <c r="B41" s="159"/>
      <c r="C41" s="159"/>
      <c r="D41" s="159"/>
      <c r="E41" s="160"/>
      <c r="F41" s="79">
        <f>SUM('Stavební rozpočet'!BS12:BS191)</f>
        <v>0</v>
      </c>
      <c r="G41" s="80" t="s">
        <v>48</v>
      </c>
      <c r="H41" s="80" t="s">
        <v>48</v>
      </c>
      <c r="I41" s="79">
        <f t="shared" si="1"/>
        <v>0</v>
      </c>
    </row>
    <row r="42" spans="1:9" x14ac:dyDescent="0.25">
      <c r="A42" s="158" t="s">
        <v>291</v>
      </c>
      <c r="B42" s="159"/>
      <c r="C42" s="159"/>
      <c r="D42" s="159"/>
      <c r="E42" s="160"/>
      <c r="F42" s="79">
        <f>SUM('Stavební rozpočet'!BT12:BT191)</f>
        <v>0</v>
      </c>
      <c r="G42" s="80" t="s">
        <v>48</v>
      </c>
      <c r="H42" s="80" t="s">
        <v>48</v>
      </c>
      <c r="I42" s="79">
        <f t="shared" si="1"/>
        <v>0</v>
      </c>
    </row>
    <row r="43" spans="1:9" x14ac:dyDescent="0.25">
      <c r="A43" s="158" t="s">
        <v>292</v>
      </c>
      <c r="B43" s="159"/>
      <c r="C43" s="159"/>
      <c r="D43" s="159"/>
      <c r="E43" s="160"/>
      <c r="F43" s="79">
        <f>SUM('Stavební rozpočet'!BU12:BU191)</f>
        <v>0</v>
      </c>
      <c r="G43" s="80" t="s">
        <v>48</v>
      </c>
      <c r="H43" s="80" t="s">
        <v>48</v>
      </c>
      <c r="I43" s="79">
        <f t="shared" si="1"/>
        <v>0</v>
      </c>
    </row>
    <row r="44" spans="1:9" x14ac:dyDescent="0.25">
      <c r="A44" s="161" t="s">
        <v>293</v>
      </c>
      <c r="B44" s="162"/>
      <c r="C44" s="162"/>
      <c r="D44" s="162"/>
      <c r="E44" s="163"/>
      <c r="F44" s="81">
        <f>SUM('Stavební rozpočet'!BV12:BV191)</f>
        <v>0</v>
      </c>
      <c r="G44" s="82" t="s">
        <v>48</v>
      </c>
      <c r="H44" s="82" t="s">
        <v>48</v>
      </c>
      <c r="I44" s="81">
        <f t="shared" si="1"/>
        <v>0</v>
      </c>
    </row>
    <row r="45" spans="1:9" x14ac:dyDescent="0.25">
      <c r="A45" s="164" t="s">
        <v>294</v>
      </c>
      <c r="B45" s="165"/>
      <c r="C45" s="165"/>
      <c r="D45" s="165"/>
      <c r="E45" s="166"/>
      <c r="F45" s="83" t="s">
        <v>48</v>
      </c>
      <c r="G45" s="84" t="s">
        <v>48</v>
      </c>
      <c r="H45" s="84" t="s">
        <v>48</v>
      </c>
      <c r="I45" s="85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Stavební rozpočet - součet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Petrušková Táňa</cp:lastModifiedBy>
  <dcterms:created xsi:type="dcterms:W3CDTF">2021-06-10T20:06:38Z</dcterms:created>
  <dcterms:modified xsi:type="dcterms:W3CDTF">2026-03-26T07:39:57Z</dcterms:modified>
</cp:coreProperties>
</file>