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esktop/"/>
    </mc:Choice>
  </mc:AlternateContent>
  <xr:revisionPtr revIDLastSave="46" documentId="8_{689D5833-6897-4995-BC3D-A0E7FE41ED00}" xr6:coauthVersionLast="47" xr6:coauthVersionMax="47" xr10:uidLastSave="{3AE352F5-7B12-42C2-B294-78AB7CE57D1C}"/>
  <bookViews>
    <workbookView xWindow="-120" yWindow="-120" windowWidth="29040" windowHeight="1572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F6" i="2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6" i="3"/>
  <c r="I36" i="3" s="1"/>
  <c r="I27" i="3"/>
  <c r="I26" i="3"/>
  <c r="I19" i="2" s="1"/>
  <c r="I25" i="3"/>
  <c r="I24" i="3"/>
  <c r="I23" i="3"/>
  <c r="I16" i="2" s="1"/>
  <c r="I22" i="3"/>
  <c r="I21" i="3"/>
  <c r="I14" i="2" s="1"/>
  <c r="I17" i="3"/>
  <c r="I16" i="3"/>
  <c r="I15" i="3"/>
  <c r="I18" i="3" s="1"/>
  <c r="I10" i="3"/>
  <c r="F10" i="3"/>
  <c r="C10" i="3"/>
  <c r="F8" i="3"/>
  <c r="C8" i="3"/>
  <c r="F6" i="3"/>
  <c r="C6" i="3"/>
  <c r="F4" i="3"/>
  <c r="C4" i="3"/>
  <c r="F2" i="3"/>
  <c r="C2" i="3"/>
  <c r="I18" i="2"/>
  <c r="I17" i="2"/>
  <c r="F16" i="2"/>
  <c r="I15" i="2"/>
  <c r="F15" i="2"/>
  <c r="F14" i="2"/>
  <c r="F22" i="2" s="1"/>
  <c r="I10" i="2"/>
  <c r="F10" i="2"/>
  <c r="C10" i="2"/>
  <c r="F8" i="2"/>
  <c r="C8" i="2"/>
  <c r="C6" i="2"/>
  <c r="F4" i="2"/>
  <c r="C4" i="2"/>
  <c r="F2" i="2"/>
  <c r="C2" i="2"/>
  <c r="BO81" i="1"/>
  <c r="BJ81" i="1"/>
  <c r="BF81" i="1"/>
  <c r="BD81" i="1"/>
  <c r="AP81" i="1"/>
  <c r="AO81" i="1"/>
  <c r="AK81" i="1"/>
  <c r="AJ81" i="1"/>
  <c r="AH81" i="1"/>
  <c r="AG81" i="1"/>
  <c r="AF81" i="1"/>
  <c r="AE81" i="1"/>
  <c r="AD81" i="1"/>
  <c r="AC81" i="1"/>
  <c r="AB81" i="1"/>
  <c r="Z81" i="1"/>
  <c r="J81" i="1"/>
  <c r="BO80" i="1"/>
  <c r="BJ80" i="1"/>
  <c r="BF80" i="1"/>
  <c r="BD80" i="1"/>
  <c r="AP80" i="1"/>
  <c r="AO80" i="1"/>
  <c r="AK80" i="1"/>
  <c r="AJ80" i="1"/>
  <c r="AH80" i="1"/>
  <c r="AG80" i="1"/>
  <c r="AF80" i="1"/>
  <c r="AE80" i="1"/>
  <c r="AD80" i="1"/>
  <c r="AC80" i="1"/>
  <c r="AB80" i="1"/>
  <c r="Z80" i="1"/>
  <c r="J80" i="1"/>
  <c r="AL80" i="1" s="1"/>
  <c r="I80" i="1"/>
  <c r="H80" i="1"/>
  <c r="BO79" i="1"/>
  <c r="F37" i="3" s="1"/>
  <c r="I37" i="3" s="1"/>
  <c r="BJ79" i="1"/>
  <c r="BF79" i="1"/>
  <c r="BD79" i="1"/>
  <c r="AP79" i="1"/>
  <c r="AO79" i="1"/>
  <c r="AW79" i="1" s="1"/>
  <c r="AK79" i="1"/>
  <c r="AT78" i="1" s="1"/>
  <c r="AJ79" i="1"/>
  <c r="AH79" i="1"/>
  <c r="AG79" i="1"/>
  <c r="AF79" i="1"/>
  <c r="AE79" i="1"/>
  <c r="AD79" i="1"/>
  <c r="AC79" i="1"/>
  <c r="AB79" i="1"/>
  <c r="Z79" i="1"/>
  <c r="J79" i="1"/>
  <c r="AL79" i="1" s="1"/>
  <c r="I79" i="1"/>
  <c r="H79" i="1"/>
  <c r="AS78" i="1"/>
  <c r="BM77" i="1"/>
  <c r="F35" i="3" s="1"/>
  <c r="I35" i="3" s="1"/>
  <c r="I45" i="3" s="1"/>
  <c r="I24" i="2" s="1"/>
  <c r="BJ77" i="1"/>
  <c r="BF77" i="1"/>
  <c r="BD77" i="1"/>
  <c r="AP77" i="1"/>
  <c r="AO77" i="1"/>
  <c r="AK77" i="1"/>
  <c r="AJ77" i="1"/>
  <c r="AS76" i="1" s="1"/>
  <c r="AH77" i="1"/>
  <c r="AG77" i="1"/>
  <c r="AF77" i="1"/>
  <c r="AE77" i="1"/>
  <c r="AD77" i="1"/>
  <c r="AC77" i="1"/>
  <c r="AB77" i="1"/>
  <c r="Z77" i="1"/>
  <c r="J77" i="1"/>
  <c r="AL77" i="1" s="1"/>
  <c r="I77" i="1"/>
  <c r="H77" i="1"/>
  <c r="AT76" i="1"/>
  <c r="BJ74" i="1"/>
  <c r="BF74" i="1"/>
  <c r="BD74" i="1"/>
  <c r="AP74" i="1"/>
  <c r="AO74" i="1"/>
  <c r="AK74" i="1"/>
  <c r="AJ74" i="1"/>
  <c r="AH74" i="1"/>
  <c r="AG74" i="1"/>
  <c r="AF74" i="1"/>
  <c r="AE74" i="1"/>
  <c r="AD74" i="1"/>
  <c r="AC74" i="1"/>
  <c r="AB74" i="1"/>
  <c r="Z74" i="1"/>
  <c r="J74" i="1"/>
  <c r="AL74" i="1" s="1"/>
  <c r="BJ73" i="1"/>
  <c r="BF73" i="1"/>
  <c r="BD73" i="1"/>
  <c r="AP73" i="1"/>
  <c r="AO73" i="1"/>
  <c r="AK73" i="1"/>
  <c r="AJ73" i="1"/>
  <c r="AH73" i="1"/>
  <c r="AG73" i="1"/>
  <c r="AF73" i="1"/>
  <c r="AE73" i="1"/>
  <c r="AD73" i="1"/>
  <c r="AC73" i="1"/>
  <c r="AB73" i="1"/>
  <c r="Z73" i="1"/>
  <c r="J73" i="1"/>
  <c r="AL73" i="1" s="1"/>
  <c r="H73" i="1"/>
  <c r="BJ72" i="1"/>
  <c r="BF72" i="1"/>
  <c r="BD72" i="1"/>
  <c r="AP72" i="1"/>
  <c r="AO72" i="1"/>
  <c r="AK72" i="1"/>
  <c r="AJ72" i="1"/>
  <c r="AH72" i="1"/>
  <c r="AG72" i="1"/>
  <c r="AF72" i="1"/>
  <c r="AE72" i="1"/>
  <c r="AD72" i="1"/>
  <c r="AC72" i="1"/>
  <c r="AB72" i="1"/>
  <c r="Z72" i="1"/>
  <c r="J72" i="1"/>
  <c r="AL72" i="1" s="1"/>
  <c r="I72" i="1"/>
  <c r="H72" i="1"/>
  <c r="BJ71" i="1"/>
  <c r="AH71" i="1" s="1"/>
  <c r="BF71" i="1"/>
  <c r="BD71" i="1"/>
  <c r="AP71" i="1"/>
  <c r="AO71" i="1"/>
  <c r="AK71" i="1"/>
  <c r="AJ71" i="1"/>
  <c r="AG71" i="1"/>
  <c r="AF71" i="1"/>
  <c r="AE71" i="1"/>
  <c r="AD71" i="1"/>
  <c r="AC71" i="1"/>
  <c r="AB71" i="1"/>
  <c r="Z71" i="1"/>
  <c r="J71" i="1"/>
  <c r="AL71" i="1" s="1"/>
  <c r="I71" i="1"/>
  <c r="H71" i="1"/>
  <c r="BJ70" i="1"/>
  <c r="AH70" i="1" s="1"/>
  <c r="BF70" i="1"/>
  <c r="BD70" i="1"/>
  <c r="AP70" i="1"/>
  <c r="AO70" i="1"/>
  <c r="AW70" i="1" s="1"/>
  <c r="AK70" i="1"/>
  <c r="AJ70" i="1"/>
  <c r="AG70" i="1"/>
  <c r="AF70" i="1"/>
  <c r="AE70" i="1"/>
  <c r="AD70" i="1"/>
  <c r="AC70" i="1"/>
  <c r="AB70" i="1"/>
  <c r="Z70" i="1"/>
  <c r="J70" i="1"/>
  <c r="AL70" i="1" s="1"/>
  <c r="I70" i="1"/>
  <c r="H70" i="1"/>
  <c r="BJ69" i="1"/>
  <c r="BF69" i="1"/>
  <c r="BD69" i="1"/>
  <c r="AP69" i="1"/>
  <c r="AX69" i="1" s="1"/>
  <c r="AO69" i="1"/>
  <c r="AK69" i="1"/>
  <c r="AJ69" i="1"/>
  <c r="AH69" i="1"/>
  <c r="AG69" i="1"/>
  <c r="AF69" i="1"/>
  <c r="AE69" i="1"/>
  <c r="AD69" i="1"/>
  <c r="AC69" i="1"/>
  <c r="AB69" i="1"/>
  <c r="Z69" i="1"/>
  <c r="J69" i="1"/>
  <c r="AL69" i="1" s="1"/>
  <c r="I69" i="1"/>
  <c r="BJ67" i="1"/>
  <c r="BF67" i="1"/>
  <c r="BD67" i="1"/>
  <c r="AP67" i="1"/>
  <c r="AO67" i="1"/>
  <c r="AK67" i="1"/>
  <c r="AJ67" i="1"/>
  <c r="AH67" i="1"/>
  <c r="AG67" i="1"/>
  <c r="AF67" i="1"/>
  <c r="AE67" i="1"/>
  <c r="AD67" i="1"/>
  <c r="AC67" i="1"/>
  <c r="AB67" i="1"/>
  <c r="Z67" i="1"/>
  <c r="J67" i="1"/>
  <c r="BJ66" i="1"/>
  <c r="BF66" i="1"/>
  <c r="BD66" i="1"/>
  <c r="AP66" i="1"/>
  <c r="AO66" i="1"/>
  <c r="AK66" i="1"/>
  <c r="AJ66" i="1"/>
  <c r="AH66" i="1"/>
  <c r="AG66" i="1"/>
  <c r="AF66" i="1"/>
  <c r="AE66" i="1"/>
  <c r="AD66" i="1"/>
  <c r="AC66" i="1"/>
  <c r="AB66" i="1"/>
  <c r="Z66" i="1"/>
  <c r="J66" i="1"/>
  <c r="AL66" i="1" s="1"/>
  <c r="H66" i="1"/>
  <c r="AT65" i="1"/>
  <c r="AS65" i="1"/>
  <c r="BJ64" i="1"/>
  <c r="BF64" i="1"/>
  <c r="BD64" i="1"/>
  <c r="AP64" i="1"/>
  <c r="AO64" i="1"/>
  <c r="AK64" i="1"/>
  <c r="AJ64" i="1"/>
  <c r="AH64" i="1"/>
  <c r="AE64" i="1"/>
  <c r="AD64" i="1"/>
  <c r="AC64" i="1"/>
  <c r="AB64" i="1"/>
  <c r="Z64" i="1"/>
  <c r="J64" i="1"/>
  <c r="AL64" i="1" s="1"/>
  <c r="I64" i="1"/>
  <c r="H64" i="1"/>
  <c r="BJ63" i="1"/>
  <c r="BF63" i="1"/>
  <c r="BD63" i="1"/>
  <c r="AP63" i="1"/>
  <c r="AO63" i="1"/>
  <c r="AK63" i="1"/>
  <c r="AJ63" i="1"/>
  <c r="AH63" i="1"/>
  <c r="AE63" i="1"/>
  <c r="AD63" i="1"/>
  <c r="AC63" i="1"/>
  <c r="AB63" i="1"/>
  <c r="Z63" i="1"/>
  <c r="J63" i="1"/>
  <c r="AL63" i="1" s="1"/>
  <c r="I63" i="1"/>
  <c r="H63" i="1"/>
  <c r="BJ62" i="1"/>
  <c r="BF62" i="1"/>
  <c r="BD62" i="1"/>
  <c r="AP62" i="1"/>
  <c r="AO62" i="1"/>
  <c r="BH62" i="1" s="1"/>
  <c r="AF62" i="1" s="1"/>
  <c r="AK62" i="1"/>
  <c r="AT61" i="1" s="1"/>
  <c r="AJ62" i="1"/>
  <c r="AH62" i="1"/>
  <c r="AE62" i="1"/>
  <c r="AD62" i="1"/>
  <c r="AC62" i="1"/>
  <c r="AB62" i="1"/>
  <c r="Z62" i="1"/>
  <c r="J62" i="1"/>
  <c r="I62" i="1"/>
  <c r="I61" i="1" s="1"/>
  <c r="H62" i="1"/>
  <c r="H61" i="1" s="1"/>
  <c r="BJ60" i="1"/>
  <c r="BF60" i="1"/>
  <c r="BD60" i="1"/>
  <c r="AP60" i="1"/>
  <c r="AX60" i="1" s="1"/>
  <c r="AO60" i="1"/>
  <c r="AK60" i="1"/>
  <c r="AJ60" i="1"/>
  <c r="AH60" i="1"/>
  <c r="AE60" i="1"/>
  <c r="AD60" i="1"/>
  <c r="AC60" i="1"/>
  <c r="AB60" i="1"/>
  <c r="Z60" i="1"/>
  <c r="J60" i="1"/>
  <c r="AL60" i="1" s="1"/>
  <c r="AU59" i="1" s="1"/>
  <c r="I60" i="1"/>
  <c r="AT59" i="1"/>
  <c r="AS59" i="1"/>
  <c r="J59" i="1"/>
  <c r="I59" i="1"/>
  <c r="BJ58" i="1"/>
  <c r="BF58" i="1"/>
  <c r="BD58" i="1"/>
  <c r="AP58" i="1"/>
  <c r="AO58" i="1"/>
  <c r="AK58" i="1"/>
  <c r="AJ58" i="1"/>
  <c r="AH58" i="1"/>
  <c r="AE58" i="1"/>
  <c r="AD58" i="1"/>
  <c r="AC58" i="1"/>
  <c r="AB58" i="1"/>
  <c r="Z58" i="1"/>
  <c r="J58" i="1"/>
  <c r="AL58" i="1" s="1"/>
  <c r="AU57" i="1" s="1"/>
  <c r="AT57" i="1"/>
  <c r="AS57" i="1"/>
  <c r="BJ56" i="1"/>
  <c r="BF56" i="1"/>
  <c r="BD56" i="1"/>
  <c r="AP56" i="1"/>
  <c r="AO56" i="1"/>
  <c r="AK56" i="1"/>
  <c r="AJ56" i="1"/>
  <c r="AH56" i="1"/>
  <c r="AG56" i="1"/>
  <c r="AF56" i="1"/>
  <c r="AE56" i="1"/>
  <c r="AD56" i="1"/>
  <c r="AC56" i="1"/>
  <c r="AB56" i="1"/>
  <c r="Z56" i="1"/>
  <c r="J56" i="1"/>
  <c r="AL56" i="1" s="1"/>
  <c r="H56" i="1"/>
  <c r="H55" i="1" s="1"/>
  <c r="AU55" i="1"/>
  <c r="AT55" i="1"/>
  <c r="AS55" i="1"/>
  <c r="J55" i="1"/>
  <c r="BJ54" i="1"/>
  <c r="BF54" i="1"/>
  <c r="BD54" i="1"/>
  <c r="AP54" i="1"/>
  <c r="AO54" i="1"/>
  <c r="AK54" i="1"/>
  <c r="AJ54" i="1"/>
  <c r="AS53" i="1" s="1"/>
  <c r="AH54" i="1"/>
  <c r="AG54" i="1"/>
  <c r="AF54" i="1"/>
  <c r="AE54" i="1"/>
  <c r="AD54" i="1"/>
  <c r="Z54" i="1"/>
  <c r="J54" i="1"/>
  <c r="AL54" i="1" s="1"/>
  <c r="AU53" i="1" s="1"/>
  <c r="I54" i="1"/>
  <c r="H54" i="1"/>
  <c r="AT53" i="1"/>
  <c r="J53" i="1"/>
  <c r="I53" i="1"/>
  <c r="H53" i="1"/>
  <c r="BJ52" i="1"/>
  <c r="BF52" i="1"/>
  <c r="BD52" i="1"/>
  <c r="AP52" i="1"/>
  <c r="AO52" i="1"/>
  <c r="AK52" i="1"/>
  <c r="AJ52" i="1"/>
  <c r="AH52" i="1"/>
  <c r="AG52" i="1"/>
  <c r="AF52" i="1"/>
  <c r="AC52" i="1"/>
  <c r="AB52" i="1"/>
  <c r="Z52" i="1"/>
  <c r="J52" i="1"/>
  <c r="AL52" i="1" s="1"/>
  <c r="I52" i="1"/>
  <c r="H52" i="1"/>
  <c r="BJ51" i="1"/>
  <c r="BF51" i="1"/>
  <c r="BD51" i="1"/>
  <c r="AP51" i="1"/>
  <c r="AO51" i="1"/>
  <c r="AK51" i="1"/>
  <c r="AT50" i="1" s="1"/>
  <c r="AJ51" i="1"/>
  <c r="AH51" i="1"/>
  <c r="AG51" i="1"/>
  <c r="AF51" i="1"/>
  <c r="AC51" i="1"/>
  <c r="AB51" i="1"/>
  <c r="Z51" i="1"/>
  <c r="J51" i="1"/>
  <c r="I51" i="1"/>
  <c r="I50" i="1" s="1"/>
  <c r="H51" i="1"/>
  <c r="H50" i="1" s="1"/>
  <c r="BJ49" i="1"/>
  <c r="BF49" i="1"/>
  <c r="BD49" i="1"/>
  <c r="AP49" i="1"/>
  <c r="AX49" i="1" s="1"/>
  <c r="AO49" i="1"/>
  <c r="AK49" i="1"/>
  <c r="AJ49" i="1"/>
  <c r="AH49" i="1"/>
  <c r="AG49" i="1"/>
  <c r="AF49" i="1"/>
  <c r="AC49" i="1"/>
  <c r="AB49" i="1"/>
  <c r="Z49" i="1"/>
  <c r="J49" i="1"/>
  <c r="AL49" i="1" s="1"/>
  <c r="AU48" i="1" s="1"/>
  <c r="I49" i="1"/>
  <c r="AT48" i="1"/>
  <c r="AS48" i="1"/>
  <c r="J48" i="1"/>
  <c r="I48" i="1"/>
  <c r="BJ47" i="1"/>
  <c r="BF47" i="1"/>
  <c r="BD47" i="1"/>
  <c r="AP47" i="1"/>
  <c r="AO47" i="1"/>
  <c r="AK47" i="1"/>
  <c r="AJ47" i="1"/>
  <c r="AH47" i="1"/>
  <c r="AG47" i="1"/>
  <c r="AF47" i="1"/>
  <c r="AC47" i="1"/>
  <c r="AB47" i="1"/>
  <c r="Z47" i="1"/>
  <c r="J47" i="1"/>
  <c r="BJ46" i="1"/>
  <c r="BF46" i="1"/>
  <c r="BD46" i="1"/>
  <c r="AP46" i="1"/>
  <c r="AO46" i="1"/>
  <c r="AK46" i="1"/>
  <c r="AJ46" i="1"/>
  <c r="AH46" i="1"/>
  <c r="AG46" i="1"/>
  <c r="AF46" i="1"/>
  <c r="AC46" i="1"/>
  <c r="AB46" i="1"/>
  <c r="Z46" i="1"/>
  <c r="J46" i="1"/>
  <c r="AL46" i="1" s="1"/>
  <c r="H46" i="1"/>
  <c r="BJ45" i="1"/>
  <c r="BF45" i="1"/>
  <c r="BD45" i="1"/>
  <c r="AP45" i="1"/>
  <c r="AO45" i="1"/>
  <c r="AK45" i="1"/>
  <c r="AJ45" i="1"/>
  <c r="AS44" i="1" s="1"/>
  <c r="AH45" i="1"/>
  <c r="AG45" i="1"/>
  <c r="AF45" i="1"/>
  <c r="AC45" i="1"/>
  <c r="AB45" i="1"/>
  <c r="Z45" i="1"/>
  <c r="J45" i="1"/>
  <c r="AL45" i="1" s="1"/>
  <c r="I45" i="1"/>
  <c r="H45" i="1"/>
  <c r="AT44" i="1"/>
  <c r="BJ43" i="1"/>
  <c r="BF43" i="1"/>
  <c r="BD43" i="1"/>
  <c r="AP43" i="1"/>
  <c r="AO43" i="1"/>
  <c r="AK43" i="1"/>
  <c r="AJ43" i="1"/>
  <c r="AH43" i="1"/>
  <c r="AG43" i="1"/>
  <c r="AF43" i="1"/>
  <c r="AC43" i="1"/>
  <c r="AB43" i="1"/>
  <c r="Z43" i="1"/>
  <c r="J43" i="1"/>
  <c r="AL43" i="1" s="1"/>
  <c r="I43" i="1"/>
  <c r="H43" i="1"/>
  <c r="BJ42" i="1"/>
  <c r="BF42" i="1"/>
  <c r="BD42" i="1"/>
  <c r="AP42" i="1"/>
  <c r="AO42" i="1"/>
  <c r="AK42" i="1"/>
  <c r="AJ42" i="1"/>
  <c r="AH42" i="1"/>
  <c r="AG42" i="1"/>
  <c r="AF42" i="1"/>
  <c r="AC42" i="1"/>
  <c r="AB42" i="1"/>
  <c r="Z42" i="1"/>
  <c r="J42" i="1"/>
  <c r="AL42" i="1" s="1"/>
  <c r="I42" i="1"/>
  <c r="H42" i="1"/>
  <c r="BJ41" i="1"/>
  <c r="BF41" i="1"/>
  <c r="BD41" i="1"/>
  <c r="AP41" i="1"/>
  <c r="I41" i="1" s="1"/>
  <c r="AO41" i="1"/>
  <c r="AK41" i="1"/>
  <c r="AJ41" i="1"/>
  <c r="AH41" i="1"/>
  <c r="AG41" i="1"/>
  <c r="AF41" i="1"/>
  <c r="AC41" i="1"/>
  <c r="AB41" i="1"/>
  <c r="Z41" i="1"/>
  <c r="J41" i="1"/>
  <c r="AL41" i="1" s="1"/>
  <c r="BJ40" i="1"/>
  <c r="BF40" i="1"/>
  <c r="BD40" i="1"/>
  <c r="AP40" i="1"/>
  <c r="AO40" i="1"/>
  <c r="AK40" i="1"/>
  <c r="AJ40" i="1"/>
  <c r="AH40" i="1"/>
  <c r="AG40" i="1"/>
  <c r="AF40" i="1"/>
  <c r="AC40" i="1"/>
  <c r="AB40" i="1"/>
  <c r="Z40" i="1"/>
  <c r="J40" i="1"/>
  <c r="BJ39" i="1"/>
  <c r="BF39" i="1"/>
  <c r="BD39" i="1"/>
  <c r="AP39" i="1"/>
  <c r="AO39" i="1"/>
  <c r="AK39" i="1"/>
  <c r="AJ39" i="1"/>
  <c r="AH39" i="1"/>
  <c r="AG39" i="1"/>
  <c r="AF39" i="1"/>
  <c r="AC39" i="1"/>
  <c r="AB39" i="1"/>
  <c r="Z39" i="1"/>
  <c r="J39" i="1"/>
  <c r="AL39" i="1" s="1"/>
  <c r="H39" i="1"/>
  <c r="BJ38" i="1"/>
  <c r="BF38" i="1"/>
  <c r="BD38" i="1"/>
  <c r="AP38" i="1"/>
  <c r="AO38" i="1"/>
  <c r="AK38" i="1"/>
  <c r="AJ38" i="1"/>
  <c r="AH38" i="1"/>
  <c r="AG38" i="1"/>
  <c r="AF38" i="1"/>
  <c r="AC38" i="1"/>
  <c r="AB38" i="1"/>
  <c r="Z38" i="1"/>
  <c r="J38" i="1"/>
  <c r="AL38" i="1" s="1"/>
  <c r="I38" i="1"/>
  <c r="H38" i="1"/>
  <c r="AT37" i="1"/>
  <c r="BJ36" i="1"/>
  <c r="BF36" i="1"/>
  <c r="BD36" i="1"/>
  <c r="AP36" i="1"/>
  <c r="AO36" i="1"/>
  <c r="AK36" i="1"/>
  <c r="AJ36" i="1"/>
  <c r="AH36" i="1"/>
  <c r="AG36" i="1"/>
  <c r="AF36" i="1"/>
  <c r="AC36" i="1"/>
  <c r="AB36" i="1"/>
  <c r="Z36" i="1"/>
  <c r="J36" i="1"/>
  <c r="AL36" i="1" s="1"/>
  <c r="I36" i="1"/>
  <c r="H36" i="1"/>
  <c r="BJ35" i="1"/>
  <c r="BF35" i="1"/>
  <c r="BD35" i="1"/>
  <c r="AP35" i="1"/>
  <c r="AO35" i="1"/>
  <c r="AK35" i="1"/>
  <c r="AJ35" i="1"/>
  <c r="AH35" i="1"/>
  <c r="AG35" i="1"/>
  <c r="AF35" i="1"/>
  <c r="AC35" i="1"/>
  <c r="AB35" i="1"/>
  <c r="Z35" i="1"/>
  <c r="J35" i="1"/>
  <c r="AL35" i="1" s="1"/>
  <c r="I35" i="1"/>
  <c r="H35" i="1"/>
  <c r="BJ34" i="1"/>
  <c r="BF34" i="1"/>
  <c r="BD34" i="1"/>
  <c r="AP34" i="1"/>
  <c r="I34" i="1" s="1"/>
  <c r="AO34" i="1"/>
  <c r="AK34" i="1"/>
  <c r="AJ34" i="1"/>
  <c r="AH34" i="1"/>
  <c r="AG34" i="1"/>
  <c r="AF34" i="1"/>
  <c r="AC34" i="1"/>
  <c r="AB34" i="1"/>
  <c r="Z34" i="1"/>
  <c r="J34" i="1"/>
  <c r="AL34" i="1" s="1"/>
  <c r="BJ33" i="1"/>
  <c r="BF33" i="1"/>
  <c r="BD33" i="1"/>
  <c r="AP33" i="1"/>
  <c r="AO33" i="1"/>
  <c r="AK33" i="1"/>
  <c r="AJ33" i="1"/>
  <c r="AH33" i="1"/>
  <c r="AG33" i="1"/>
  <c r="AF33" i="1"/>
  <c r="AC33" i="1"/>
  <c r="AB33" i="1"/>
  <c r="Z33" i="1"/>
  <c r="J33" i="1"/>
  <c r="BJ32" i="1"/>
  <c r="BF32" i="1"/>
  <c r="BD32" i="1"/>
  <c r="AP32" i="1"/>
  <c r="AO32" i="1"/>
  <c r="AK32" i="1"/>
  <c r="AJ32" i="1"/>
  <c r="AH32" i="1"/>
  <c r="AG32" i="1"/>
  <c r="AF32" i="1"/>
  <c r="AC32" i="1"/>
  <c r="AB32" i="1"/>
  <c r="Z32" i="1"/>
  <c r="J32" i="1"/>
  <c r="AL32" i="1" s="1"/>
  <c r="H32" i="1"/>
  <c r="BJ30" i="1"/>
  <c r="BF30" i="1"/>
  <c r="BD30" i="1"/>
  <c r="AP30" i="1"/>
  <c r="AO30" i="1"/>
  <c r="AK30" i="1"/>
  <c r="AJ30" i="1"/>
  <c r="AH30" i="1"/>
  <c r="AG30" i="1"/>
  <c r="AF30" i="1"/>
  <c r="AE30" i="1"/>
  <c r="AD30" i="1"/>
  <c r="Z30" i="1"/>
  <c r="J30" i="1"/>
  <c r="AL30" i="1" s="1"/>
  <c r="I30" i="1"/>
  <c r="H30" i="1"/>
  <c r="BJ29" i="1"/>
  <c r="BF29" i="1"/>
  <c r="BD29" i="1"/>
  <c r="AP29" i="1"/>
  <c r="AO29" i="1"/>
  <c r="AK29" i="1"/>
  <c r="AT28" i="1" s="1"/>
  <c r="AJ29" i="1"/>
  <c r="AS28" i="1" s="1"/>
  <c r="AH29" i="1"/>
  <c r="AG29" i="1"/>
  <c r="AF29" i="1"/>
  <c r="AE29" i="1"/>
  <c r="AD29" i="1"/>
  <c r="Z29" i="1"/>
  <c r="J29" i="1"/>
  <c r="I29" i="1"/>
  <c r="I28" i="1" s="1"/>
  <c r="H29" i="1"/>
  <c r="H28" i="1" s="1"/>
  <c r="BJ27" i="1"/>
  <c r="BF27" i="1"/>
  <c r="BD27" i="1"/>
  <c r="AP27" i="1"/>
  <c r="AO27" i="1"/>
  <c r="AW27" i="1" s="1"/>
  <c r="AK27" i="1"/>
  <c r="AT26" i="1" s="1"/>
  <c r="AJ27" i="1"/>
  <c r="AH27" i="1"/>
  <c r="AG27" i="1"/>
  <c r="AF27" i="1"/>
  <c r="AE27" i="1"/>
  <c r="AD27" i="1"/>
  <c r="Z27" i="1"/>
  <c r="J27" i="1"/>
  <c r="AL27" i="1" s="1"/>
  <c r="AU26" i="1" s="1"/>
  <c r="I27" i="1"/>
  <c r="H27" i="1"/>
  <c r="AS26" i="1"/>
  <c r="J26" i="1"/>
  <c r="I26" i="1"/>
  <c r="H26" i="1"/>
  <c r="BJ25" i="1"/>
  <c r="BF25" i="1"/>
  <c r="BD25" i="1"/>
  <c r="AP25" i="1"/>
  <c r="AO25" i="1"/>
  <c r="AK25" i="1"/>
  <c r="AJ25" i="1"/>
  <c r="AH25" i="1"/>
  <c r="AG25" i="1"/>
  <c r="AF25" i="1"/>
  <c r="AE25" i="1"/>
  <c r="AD25" i="1"/>
  <c r="Z25" i="1"/>
  <c r="J25" i="1"/>
  <c r="AL25" i="1" s="1"/>
  <c r="I25" i="1"/>
  <c r="BJ24" i="1"/>
  <c r="BF24" i="1"/>
  <c r="BD24" i="1"/>
  <c r="AP24" i="1"/>
  <c r="AO24" i="1"/>
  <c r="AK24" i="1"/>
  <c r="AJ24" i="1"/>
  <c r="AH24" i="1"/>
  <c r="AG24" i="1"/>
  <c r="AF24" i="1"/>
  <c r="AE24" i="1"/>
  <c r="AD24" i="1"/>
  <c r="Z24" i="1"/>
  <c r="J24" i="1"/>
  <c r="AL24" i="1" s="1"/>
  <c r="BJ23" i="1"/>
  <c r="BF23" i="1"/>
  <c r="BD23" i="1"/>
  <c r="AP23" i="1"/>
  <c r="AO23" i="1"/>
  <c r="AK23" i="1"/>
  <c r="AJ23" i="1"/>
  <c r="AH23" i="1"/>
  <c r="AG23" i="1"/>
  <c r="AF23" i="1"/>
  <c r="AE23" i="1"/>
  <c r="AD23" i="1"/>
  <c r="Z23" i="1"/>
  <c r="J23" i="1"/>
  <c r="AL23" i="1" s="1"/>
  <c r="H23" i="1"/>
  <c r="BJ22" i="1"/>
  <c r="BF22" i="1"/>
  <c r="BD22" i="1"/>
  <c r="AP22" i="1"/>
  <c r="AO22" i="1"/>
  <c r="AK22" i="1"/>
  <c r="AJ22" i="1"/>
  <c r="AS21" i="1" s="1"/>
  <c r="AH22" i="1"/>
  <c r="AG22" i="1"/>
  <c r="AF22" i="1"/>
  <c r="AE22" i="1"/>
  <c r="AD22" i="1"/>
  <c r="Z22" i="1"/>
  <c r="J22" i="1"/>
  <c r="AL22" i="1" s="1"/>
  <c r="I22" i="1"/>
  <c r="H22" i="1"/>
  <c r="AT21" i="1"/>
  <c r="BJ20" i="1"/>
  <c r="BF20" i="1"/>
  <c r="BD20" i="1"/>
  <c r="AP20" i="1"/>
  <c r="AO20" i="1"/>
  <c r="AK20" i="1"/>
  <c r="AJ20" i="1"/>
  <c r="AH20" i="1"/>
  <c r="AG20" i="1"/>
  <c r="AF20" i="1"/>
  <c r="AE20" i="1"/>
  <c r="AD20" i="1"/>
  <c r="Z20" i="1"/>
  <c r="J20" i="1"/>
  <c r="AL20" i="1" s="1"/>
  <c r="I20" i="1"/>
  <c r="H20" i="1"/>
  <c r="BJ19" i="1"/>
  <c r="BF19" i="1"/>
  <c r="BD19" i="1"/>
  <c r="AP19" i="1"/>
  <c r="BI19" i="1" s="1"/>
  <c r="AC19" i="1" s="1"/>
  <c r="AO19" i="1"/>
  <c r="AK19" i="1"/>
  <c r="AJ19" i="1"/>
  <c r="AH19" i="1"/>
  <c r="AG19" i="1"/>
  <c r="AF19" i="1"/>
  <c r="AE19" i="1"/>
  <c r="AD19" i="1"/>
  <c r="Z19" i="1"/>
  <c r="J19" i="1"/>
  <c r="AL19" i="1" s="1"/>
  <c r="AU18" i="1" s="1"/>
  <c r="I19" i="1"/>
  <c r="I18" i="1" s="1"/>
  <c r="H19" i="1"/>
  <c r="BJ17" i="1"/>
  <c r="BF17" i="1"/>
  <c r="BD17" i="1"/>
  <c r="AP17" i="1"/>
  <c r="AX17" i="1" s="1"/>
  <c r="AO17" i="1"/>
  <c r="BH17" i="1" s="1"/>
  <c r="AB17" i="1" s="1"/>
  <c r="AK17" i="1"/>
  <c r="AJ17" i="1"/>
  <c r="AH17" i="1"/>
  <c r="AG17" i="1"/>
  <c r="AF17" i="1"/>
  <c r="AE17" i="1"/>
  <c r="AD17" i="1"/>
  <c r="Z17" i="1"/>
  <c r="J17" i="1"/>
  <c r="AL17" i="1" s="1"/>
  <c r="I17" i="1"/>
  <c r="BJ16" i="1"/>
  <c r="BF16" i="1"/>
  <c r="BD16" i="1"/>
  <c r="AP16" i="1"/>
  <c r="AO16" i="1"/>
  <c r="BH16" i="1" s="1"/>
  <c r="AB16" i="1" s="1"/>
  <c r="AK16" i="1"/>
  <c r="AJ16" i="1"/>
  <c r="AS15" i="1" s="1"/>
  <c r="AH16" i="1"/>
  <c r="AG16" i="1"/>
  <c r="AF16" i="1"/>
  <c r="AE16" i="1"/>
  <c r="AD16" i="1"/>
  <c r="Z16" i="1"/>
  <c r="J16" i="1"/>
  <c r="AL16" i="1" s="1"/>
  <c r="AU15" i="1" s="1"/>
  <c r="AT15" i="1"/>
  <c r="BJ14" i="1"/>
  <c r="BF14" i="1"/>
  <c r="BD14" i="1"/>
  <c r="AP14" i="1"/>
  <c r="AX14" i="1" s="1"/>
  <c r="AO14" i="1"/>
  <c r="AK14" i="1"/>
  <c r="AJ14" i="1"/>
  <c r="AH14" i="1"/>
  <c r="AG14" i="1"/>
  <c r="AF14" i="1"/>
  <c r="AE14" i="1"/>
  <c r="AD14" i="1"/>
  <c r="Z14" i="1"/>
  <c r="J14" i="1"/>
  <c r="AL14" i="1" s="1"/>
  <c r="BJ13" i="1"/>
  <c r="BF13" i="1"/>
  <c r="BD13" i="1"/>
  <c r="AP13" i="1"/>
  <c r="AO13" i="1"/>
  <c r="AK13" i="1"/>
  <c r="AJ13" i="1"/>
  <c r="AH13" i="1"/>
  <c r="AG13" i="1"/>
  <c r="AF13" i="1"/>
  <c r="AE13" i="1"/>
  <c r="AD13" i="1"/>
  <c r="Z13" i="1"/>
  <c r="J13" i="1"/>
  <c r="AL13" i="1" s="1"/>
  <c r="I13" i="1"/>
  <c r="H13" i="1"/>
  <c r="AT12" i="1"/>
  <c r="AU1" i="1"/>
  <c r="AT1" i="1"/>
  <c r="AS1" i="1"/>
  <c r="H12" i="1" l="1"/>
  <c r="BH13" i="1"/>
  <c r="AB13" i="1" s="1"/>
  <c r="AW13" i="1"/>
  <c r="BI13" i="1"/>
  <c r="AC13" i="1" s="1"/>
  <c r="AX13" i="1"/>
  <c r="AV13" i="1" s="1"/>
  <c r="BH14" i="1"/>
  <c r="AB14" i="1" s="1"/>
  <c r="AW14" i="1"/>
  <c r="AV14" i="1"/>
  <c r="H18" i="1"/>
  <c r="AS18" i="1"/>
  <c r="BH20" i="1"/>
  <c r="AB20" i="1" s="1"/>
  <c r="AW20" i="1"/>
  <c r="BI20" i="1"/>
  <c r="AC20" i="1" s="1"/>
  <c r="AX20" i="1"/>
  <c r="BH22" i="1"/>
  <c r="AB22" i="1" s="1"/>
  <c r="AW22" i="1"/>
  <c r="BI22" i="1"/>
  <c r="AC22" i="1" s="1"/>
  <c r="AX22" i="1"/>
  <c r="BH23" i="1"/>
  <c r="AB23" i="1" s="1"/>
  <c r="AW23" i="1"/>
  <c r="AU21" i="1"/>
  <c r="BI27" i="1"/>
  <c r="AC27" i="1" s="1"/>
  <c r="AX27" i="1"/>
  <c r="J28" i="1"/>
  <c r="AL29" i="1"/>
  <c r="AU28" i="1" s="1"/>
  <c r="BH29" i="1"/>
  <c r="AB29" i="1" s="1"/>
  <c r="AW29" i="1"/>
  <c r="BI29" i="1"/>
  <c r="AC29" i="1" s="1"/>
  <c r="AX29" i="1"/>
  <c r="BH30" i="1"/>
  <c r="AB30" i="1" s="1"/>
  <c r="AW30" i="1"/>
  <c r="BI30" i="1"/>
  <c r="AC30" i="1" s="1"/>
  <c r="AX30" i="1"/>
  <c r="BH32" i="1"/>
  <c r="AD32" i="1" s="1"/>
  <c r="AW32" i="1"/>
  <c r="AT31" i="1"/>
  <c r="BI35" i="1"/>
  <c r="AE35" i="1" s="1"/>
  <c r="AX35" i="1"/>
  <c r="AS31" i="1"/>
  <c r="BH36" i="1"/>
  <c r="AD36" i="1" s="1"/>
  <c r="AW36" i="1"/>
  <c r="BI36" i="1"/>
  <c r="AE36" i="1" s="1"/>
  <c r="AX36" i="1"/>
  <c r="BH38" i="1"/>
  <c r="AD38" i="1" s="1"/>
  <c r="AW38" i="1"/>
  <c r="BI38" i="1"/>
  <c r="AE38" i="1" s="1"/>
  <c r="AX38" i="1"/>
  <c r="BH39" i="1"/>
  <c r="AD39" i="1" s="1"/>
  <c r="AW39" i="1"/>
  <c r="BI42" i="1"/>
  <c r="AE42" i="1" s="1"/>
  <c r="AX42" i="1"/>
  <c r="BH43" i="1"/>
  <c r="AD43" i="1" s="1"/>
  <c r="AW43" i="1"/>
  <c r="BI43" i="1"/>
  <c r="AE43" i="1" s="1"/>
  <c r="AX43" i="1"/>
  <c r="BH45" i="1"/>
  <c r="AD45" i="1" s="1"/>
  <c r="AW45" i="1"/>
  <c r="BI45" i="1"/>
  <c r="AE45" i="1" s="1"/>
  <c r="AX45" i="1"/>
  <c r="BH46" i="1"/>
  <c r="AD46" i="1" s="1"/>
  <c r="AW46" i="1"/>
  <c r="AW49" i="1"/>
  <c r="AV49" i="1" s="1"/>
  <c r="BH49" i="1"/>
  <c r="AD49" i="1" s="1"/>
  <c r="J50" i="1"/>
  <c r="AL51" i="1"/>
  <c r="AU50" i="1" s="1"/>
  <c r="BI51" i="1"/>
  <c r="AE51" i="1" s="1"/>
  <c r="AX51" i="1"/>
  <c r="AS50" i="1"/>
  <c r="BH52" i="1"/>
  <c r="AD52" i="1" s="1"/>
  <c r="AW52" i="1"/>
  <c r="BI52" i="1"/>
  <c r="AE52" i="1" s="1"/>
  <c r="AX52" i="1"/>
  <c r="BH54" i="1"/>
  <c r="AB54" i="1" s="1"/>
  <c r="AW54" i="1"/>
  <c r="BI54" i="1"/>
  <c r="AC54" i="1" s="1"/>
  <c r="AX54" i="1"/>
  <c r="AV54" i="1" s="1"/>
  <c r="BH56" i="1"/>
  <c r="AW56" i="1"/>
  <c r="AW60" i="1"/>
  <c r="BC60" i="1" s="1"/>
  <c r="BH60" i="1"/>
  <c r="AF60" i="1" s="1"/>
  <c r="J61" i="1"/>
  <c r="AL62" i="1"/>
  <c r="AU61" i="1" s="1"/>
  <c r="BI62" i="1"/>
  <c r="AG62" i="1" s="1"/>
  <c r="AX62" i="1"/>
  <c r="BH63" i="1"/>
  <c r="AF63" i="1" s="1"/>
  <c r="AW63" i="1"/>
  <c r="BI63" i="1"/>
  <c r="AG63" i="1" s="1"/>
  <c r="AX63" i="1"/>
  <c r="BH64" i="1"/>
  <c r="AF64" i="1" s="1"/>
  <c r="AW64" i="1"/>
  <c r="BI64" i="1"/>
  <c r="AG64" i="1" s="1"/>
  <c r="AX64" i="1"/>
  <c r="BH66" i="1"/>
  <c r="AW66" i="1"/>
  <c r="AW69" i="1"/>
  <c r="AV69" i="1" s="1"/>
  <c r="BH69" i="1"/>
  <c r="AT68" i="1"/>
  <c r="BI70" i="1"/>
  <c r="AX70" i="1"/>
  <c r="AV70" i="1" s="1"/>
  <c r="AS68" i="1"/>
  <c r="BH71" i="1"/>
  <c r="AW71" i="1"/>
  <c r="BI71" i="1"/>
  <c r="AX71" i="1"/>
  <c r="BH72" i="1"/>
  <c r="AW72" i="1"/>
  <c r="BI72" i="1"/>
  <c r="AX72" i="1"/>
  <c r="BH73" i="1"/>
  <c r="AW73" i="1"/>
  <c r="BH77" i="1"/>
  <c r="AW77" i="1"/>
  <c r="BI77" i="1"/>
  <c r="AX77" i="1"/>
  <c r="BI79" i="1"/>
  <c r="AX79" i="1"/>
  <c r="BC79" i="1" s="1"/>
  <c r="BH80" i="1"/>
  <c r="AW80" i="1"/>
  <c r="BI80" i="1"/>
  <c r="AX80" i="1"/>
  <c r="BC29" i="1"/>
  <c r="AV29" i="1"/>
  <c r="BH51" i="1"/>
  <c r="AD51" i="1" s="1"/>
  <c r="AW51" i="1"/>
  <c r="BC13" i="1"/>
  <c r="I40" i="1"/>
  <c r="BI40" i="1"/>
  <c r="AE40" i="1" s="1"/>
  <c r="AX40" i="1"/>
  <c r="BH42" i="1"/>
  <c r="AD42" i="1" s="1"/>
  <c r="AW42" i="1"/>
  <c r="H76" i="1"/>
  <c r="H24" i="1"/>
  <c r="BH24" i="1"/>
  <c r="AB24" i="1" s="1"/>
  <c r="AW24" i="1"/>
  <c r="BC54" i="1"/>
  <c r="BC63" i="1"/>
  <c r="AV63" i="1"/>
  <c r="BC69" i="1"/>
  <c r="AV72" i="1"/>
  <c r="AU76" i="1"/>
  <c r="J76" i="1"/>
  <c r="I76" i="1"/>
  <c r="I24" i="1"/>
  <c r="BI24" i="1"/>
  <c r="AC24" i="1" s="1"/>
  <c r="AX24" i="1"/>
  <c r="C20" i="2"/>
  <c r="AV27" i="1"/>
  <c r="I46" i="1"/>
  <c r="BI46" i="1"/>
  <c r="AE46" i="1" s="1"/>
  <c r="AX46" i="1"/>
  <c r="AV46" i="1" s="1"/>
  <c r="AL67" i="1"/>
  <c r="AU65" i="1" s="1"/>
  <c r="J65" i="1"/>
  <c r="I67" i="1"/>
  <c r="BI67" i="1"/>
  <c r="AX67" i="1"/>
  <c r="AV71" i="1"/>
  <c r="BC71" i="1"/>
  <c r="H33" i="1"/>
  <c r="BH33" i="1"/>
  <c r="AD33" i="1" s="1"/>
  <c r="AW33" i="1"/>
  <c r="AX56" i="1"/>
  <c r="I56" i="1"/>
  <c r="I55" i="1" s="1"/>
  <c r="J15" i="1"/>
  <c r="AU12" i="1"/>
  <c r="C27" i="2"/>
  <c r="AS12" i="1"/>
  <c r="AW16" i="1"/>
  <c r="H16" i="1"/>
  <c r="AL33" i="1"/>
  <c r="AU31" i="1" s="1"/>
  <c r="J31" i="1"/>
  <c r="H41" i="1"/>
  <c r="BH41" i="1"/>
  <c r="AD41" i="1" s="1"/>
  <c r="AW41" i="1"/>
  <c r="H74" i="1"/>
  <c r="BH74" i="1"/>
  <c r="AW74" i="1"/>
  <c r="H81" i="1"/>
  <c r="H78" i="1" s="1"/>
  <c r="BH81" i="1"/>
  <c r="AW81" i="1"/>
  <c r="F29" i="3"/>
  <c r="H67" i="1"/>
  <c r="H65" i="1" s="1"/>
  <c r="BH67" i="1"/>
  <c r="AW67" i="1"/>
  <c r="AS37" i="1"/>
  <c r="BI41" i="1"/>
  <c r="AE41" i="1" s="1"/>
  <c r="AX41" i="1"/>
  <c r="BC46" i="1"/>
  <c r="I74" i="1"/>
  <c r="BI74" i="1"/>
  <c r="AX74" i="1"/>
  <c r="AL81" i="1"/>
  <c r="J78" i="1"/>
  <c r="I81" i="1"/>
  <c r="I78" i="1" s="1"/>
  <c r="BI81" i="1"/>
  <c r="AX81" i="1"/>
  <c r="AT18" i="1"/>
  <c r="BI23" i="1"/>
  <c r="AC23" i="1" s="1"/>
  <c r="I23" i="1"/>
  <c r="I21" i="1" s="1"/>
  <c r="H25" i="1"/>
  <c r="BH25" i="1"/>
  <c r="AB25" i="1" s="1"/>
  <c r="AW25" i="1"/>
  <c r="AV22" i="1"/>
  <c r="BI25" i="1"/>
  <c r="AC25" i="1" s="1"/>
  <c r="AX25" i="1"/>
  <c r="BC27" i="1"/>
  <c r="BI39" i="1"/>
  <c r="AE39" i="1" s="1"/>
  <c r="I39" i="1"/>
  <c r="I37" i="1" s="1"/>
  <c r="AX39" i="1"/>
  <c r="AV39" i="1" s="1"/>
  <c r="AV45" i="1"/>
  <c r="BI56" i="1"/>
  <c r="AL40" i="1"/>
  <c r="AU37" i="1" s="1"/>
  <c r="J37" i="1"/>
  <c r="I33" i="1"/>
  <c r="BI33" i="1"/>
  <c r="AE33" i="1" s="1"/>
  <c r="AX33" i="1"/>
  <c r="BC56" i="1"/>
  <c r="AX16" i="1"/>
  <c r="I16" i="1"/>
  <c r="I15" i="1" s="1"/>
  <c r="BC20" i="1"/>
  <c r="AV20" i="1"/>
  <c r="I14" i="1"/>
  <c r="I12" i="1" s="1"/>
  <c r="BI14" i="1"/>
  <c r="AC14" i="1" s="1"/>
  <c r="BH19" i="1"/>
  <c r="AB19" i="1" s="1"/>
  <c r="AW19" i="1"/>
  <c r="H34" i="1"/>
  <c r="BH34" i="1"/>
  <c r="AD34" i="1" s="1"/>
  <c r="AW34" i="1"/>
  <c r="BC43" i="1"/>
  <c r="AV43" i="1"/>
  <c r="H47" i="1"/>
  <c r="H44" i="1" s="1"/>
  <c r="BH47" i="1"/>
  <c r="AD47" i="1" s="1"/>
  <c r="AW47" i="1"/>
  <c r="BC49" i="1"/>
  <c r="AS61" i="1"/>
  <c r="I22" i="2"/>
  <c r="C28" i="2"/>
  <c r="F28" i="2" s="1"/>
  <c r="C21" i="2"/>
  <c r="AX23" i="1"/>
  <c r="BI34" i="1"/>
  <c r="AE34" i="1" s="1"/>
  <c r="AX34" i="1"/>
  <c r="I47" i="1"/>
  <c r="BI47" i="1"/>
  <c r="AE47" i="1" s="1"/>
  <c r="AX47" i="1"/>
  <c r="J57" i="1"/>
  <c r="AV60" i="1"/>
  <c r="I66" i="1"/>
  <c r="BI66" i="1"/>
  <c r="AX66" i="1"/>
  <c r="AV66" i="1" s="1"/>
  <c r="J68" i="1"/>
  <c r="BC70" i="1"/>
  <c r="AV80" i="1"/>
  <c r="BH35" i="1"/>
  <c r="AD35" i="1" s="1"/>
  <c r="AW35" i="1"/>
  <c r="BC14" i="1"/>
  <c r="BI16" i="1"/>
  <c r="AC16" i="1" s="1"/>
  <c r="J18" i="1"/>
  <c r="AX19" i="1"/>
  <c r="I32" i="1"/>
  <c r="I31" i="1" s="1"/>
  <c r="BI32" i="1"/>
  <c r="AE32" i="1" s="1"/>
  <c r="AX32" i="1"/>
  <c r="AV32" i="1" s="1"/>
  <c r="AV38" i="1"/>
  <c r="BH58" i="1"/>
  <c r="AF58" i="1" s="1"/>
  <c r="H58" i="1"/>
  <c r="H57" i="1" s="1"/>
  <c r="AW58" i="1"/>
  <c r="AU68" i="1"/>
  <c r="AV79" i="1"/>
  <c r="C18" i="2"/>
  <c r="AW17" i="1"/>
  <c r="H17" i="1"/>
  <c r="BC36" i="1"/>
  <c r="AV36" i="1"/>
  <c r="BH40" i="1"/>
  <c r="AD40" i="1" s="1"/>
  <c r="H40" i="1"/>
  <c r="H37" i="1" s="1"/>
  <c r="AW40" i="1"/>
  <c r="AL47" i="1"/>
  <c r="AU44" i="1" s="1"/>
  <c r="J44" i="1"/>
  <c r="BC52" i="1"/>
  <c r="AV52" i="1"/>
  <c r="I58" i="1"/>
  <c r="I57" i="1" s="1"/>
  <c r="BI58" i="1"/>
  <c r="AG58" i="1" s="1"/>
  <c r="AX58" i="1"/>
  <c r="BC66" i="1"/>
  <c r="I73" i="1"/>
  <c r="I68" i="1" s="1"/>
  <c r="BI73" i="1"/>
  <c r="AX73" i="1"/>
  <c r="AV73" i="1" s="1"/>
  <c r="AU78" i="1"/>
  <c r="BI49" i="1"/>
  <c r="AE49" i="1" s="1"/>
  <c r="BI60" i="1"/>
  <c r="AG60" i="1" s="1"/>
  <c r="BI69" i="1"/>
  <c r="BH70" i="1"/>
  <c r="BH79" i="1"/>
  <c r="J12" i="1"/>
  <c r="BI17" i="1"/>
  <c r="AC17" i="1" s="1"/>
  <c r="C15" i="2" s="1"/>
  <c r="J21" i="1"/>
  <c r="BH27" i="1"/>
  <c r="AB27" i="1" s="1"/>
  <c r="H49" i="1"/>
  <c r="H48" i="1" s="1"/>
  <c r="H60" i="1"/>
  <c r="H59" i="1" s="1"/>
  <c r="AW62" i="1"/>
  <c r="H69" i="1"/>
  <c r="H68" i="1" s="1"/>
  <c r="AV56" i="1"/>
  <c r="J82" i="1" l="1"/>
  <c r="C19" i="2"/>
  <c r="C17" i="2"/>
  <c r="BC23" i="1"/>
  <c r="AV23" i="1"/>
  <c r="C14" i="2"/>
  <c r="C16" i="2"/>
  <c r="H31" i="1"/>
  <c r="J75" i="1"/>
  <c r="BC80" i="1"/>
  <c r="BC77" i="1"/>
  <c r="AV77" i="1"/>
  <c r="BC72" i="1"/>
  <c r="BC64" i="1"/>
  <c r="AV64" i="1"/>
  <c r="BC45" i="1"/>
  <c r="BC38" i="1"/>
  <c r="BC30" i="1"/>
  <c r="AV30" i="1"/>
  <c r="BC22" i="1"/>
  <c r="BC74" i="1"/>
  <c r="AV74" i="1"/>
  <c r="I75" i="1"/>
  <c r="BC51" i="1"/>
  <c r="AV51" i="1"/>
  <c r="AV41" i="1"/>
  <c r="BC41" i="1"/>
  <c r="BC73" i="1"/>
  <c r="H75" i="1"/>
  <c r="AV17" i="1"/>
  <c r="BC17" i="1"/>
  <c r="BC35" i="1"/>
  <c r="AV35" i="1"/>
  <c r="BC58" i="1"/>
  <c r="AV58" i="1"/>
  <c r="BC39" i="1"/>
  <c r="BC62" i="1"/>
  <c r="AV62" i="1"/>
  <c r="BC40" i="1"/>
  <c r="AV40" i="1"/>
  <c r="BC33" i="1"/>
  <c r="AV33" i="1"/>
  <c r="I44" i="1"/>
  <c r="BC42" i="1"/>
  <c r="AV42" i="1"/>
  <c r="BC47" i="1"/>
  <c r="AV47" i="1"/>
  <c r="AV34" i="1"/>
  <c r="BC34" i="1"/>
  <c r="AV19" i="1"/>
  <c r="BC19" i="1"/>
  <c r="H15" i="1"/>
  <c r="C29" i="2"/>
  <c r="F29" i="2" s="1"/>
  <c r="H21" i="1"/>
  <c r="BC67" i="1"/>
  <c r="AV67" i="1"/>
  <c r="I65" i="1"/>
  <c r="AV25" i="1"/>
  <c r="BC25" i="1"/>
  <c r="BC81" i="1"/>
  <c r="AV81" i="1"/>
  <c r="BC16" i="1"/>
  <c r="AV16" i="1"/>
  <c r="BC24" i="1"/>
  <c r="AV24" i="1"/>
  <c r="BC32" i="1"/>
  <c r="C22" i="2" l="1"/>
  <c r="I28" i="2"/>
  <c r="I29" i="2" s="1"/>
</calcChain>
</file>

<file path=xl/sharedStrings.xml><?xml version="1.0" encoding="utf-8"?>
<sst xmlns="http://schemas.openxmlformats.org/spreadsheetml/2006/main" count="1011" uniqueCount="348">
  <si>
    <t>Slepý stavební rozpočet</t>
  </si>
  <si>
    <t>Název stavby:</t>
  </si>
  <si>
    <t>Zastřešení parkovacích stání a přístřešek Cestmistrovství Turnov-Silnice LK a.s.</t>
  </si>
  <si>
    <t>Doba výstavby:</t>
  </si>
  <si>
    <t xml:space="preserve"> </t>
  </si>
  <si>
    <t>Objednatel:</t>
  </si>
  <si>
    <t> </t>
  </si>
  <si>
    <t>Druh stavby:</t>
  </si>
  <si>
    <t>Doplňková stavba</t>
  </si>
  <si>
    <t>Začátek výstavby:</t>
  </si>
  <si>
    <t>Projektant:</t>
  </si>
  <si>
    <t>Lokalita:</t>
  </si>
  <si>
    <t>Turnov, Průmyslová 3001, Turnov 511 01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</si>
  <si>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</si>
  <si>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</si>
  <si>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</si>
  <si>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</si>
  <si>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</si>
  <si>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</si>
  <si>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</si>
  <si>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</si>
  <si>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</si>
  <si>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</si>
  <si>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</si>
  <si>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</si>
  <si>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</si>
  <si>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</si>
  <si>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</si>
  <si>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</si>
  <si>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</si>
  <si>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</si>
  <si>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</si>
  <si>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</si>
  <si>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</si>
  <si>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</si>
  <si>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</si>
  <si>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</si>
  <si>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</si>
  <si>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</si>
  <si>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</si>
  <si>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</si>
  <si>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</si>
  <si>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</si>
  <si>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</si>
  <si>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</si>
  <si>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</si>
  <si>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</si>
  <si>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</si>
  <si>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13</t>
  </si>
  <si>
    <t>Hloubené vykopávky</t>
  </si>
  <si>
    <t>1</t>
  </si>
  <si>
    <t>132201110R00</t>
  </si>
  <si>
    <t>Hloubení rýh š.do 60 cm v hor.3 do 50 m3, STROJNĚ</t>
  </si>
  <si>
    <t>m3</t>
  </si>
  <si>
    <t>RTS I / 2026</t>
  </si>
  <si>
    <t>13_</t>
  </si>
  <si>
    <t>1_</t>
  </si>
  <si>
    <t>_</t>
  </si>
  <si>
    <t>P</t>
  </si>
  <si>
    <t>2</t>
  </si>
  <si>
    <t>131201110R00</t>
  </si>
  <si>
    <t>Hloubení nezapaž. jam hor.3 do 50 m3, STROJNĚ</t>
  </si>
  <si>
    <t>16</t>
  </si>
  <si>
    <t>Přemístění výkopku</t>
  </si>
  <si>
    <t>3</t>
  </si>
  <si>
    <t>161101102R00</t>
  </si>
  <si>
    <t>Svislé přemístění výkopku z hor.1-4 do 4,0 m</t>
  </si>
  <si>
    <t>16_</t>
  </si>
  <si>
    <t>4</t>
  </si>
  <si>
    <t>162201102R00</t>
  </si>
  <si>
    <t>Vodorovné přemístění výkopku z hor.1-4 do 50 m</t>
  </si>
  <si>
    <t>27</t>
  </si>
  <si>
    <t>Základy</t>
  </si>
  <si>
    <t>5</t>
  </si>
  <si>
    <t>275311116R00</t>
  </si>
  <si>
    <t>Beton základ. patek prostý z cem. portlad. C 16/20</t>
  </si>
  <si>
    <t>27_</t>
  </si>
  <si>
    <t>2_</t>
  </si>
  <si>
    <t>6</t>
  </si>
  <si>
    <t>274311116R00</t>
  </si>
  <si>
    <t>Beton základ. pasů prostý z cem. portland. C 16/20</t>
  </si>
  <si>
    <t>31</t>
  </si>
  <si>
    <t>Zdi podpěrné a volné</t>
  </si>
  <si>
    <t>7</t>
  </si>
  <si>
    <t>317941125R00</t>
  </si>
  <si>
    <t>Osazení ocelových válcovaných nosníků č. 22 a vyšší</t>
  </si>
  <si>
    <t>t</t>
  </si>
  <si>
    <t>31_</t>
  </si>
  <si>
    <t>3_</t>
  </si>
  <si>
    <t>8</t>
  </si>
  <si>
    <t>317941123R00</t>
  </si>
  <si>
    <t>Osazení ocelových válcovaných nosníků  č. 14 - 22</t>
  </si>
  <si>
    <t>9</t>
  </si>
  <si>
    <t>311361221R00</t>
  </si>
  <si>
    <t>Výztuž nadzákladových zdí z betonářské oceli 10 216 (E)</t>
  </si>
  <si>
    <t>10</t>
  </si>
  <si>
    <t>318261112RT2</t>
  </si>
  <si>
    <t>Zdivo plotové z tvárnic typu tzv: "FACE BLOCK", bet. zálivka, tl. 190 mm, barevné(odstín dle stáv.plotu), rohové tvárnice a čelo  štípané</t>
  </si>
  <si>
    <t>m2</t>
  </si>
  <si>
    <t>Zdivo plotové z tvárnic FACE BLOCK, bet. zálivka, tl. 190 mm, barevné(odstín dle stáv.plotu), rohové tvárnice a čelo  štípané</t>
  </si>
  <si>
    <t>34</t>
  </si>
  <si>
    <t>Stěny a příčky</t>
  </si>
  <si>
    <t>11</t>
  </si>
  <si>
    <t>345232121RT1</t>
  </si>
  <si>
    <t>Stříška plotu ze zákrytových desek, šířka stříšky 300 mm pro stěnu tl. 200 mm, barevná</t>
  </si>
  <si>
    <t>m</t>
  </si>
  <si>
    <t>34_</t>
  </si>
  <si>
    <t>57</t>
  </si>
  <si>
    <t>Kryty pozemních komunikací, letišť a ploch z kameniva nebo živičné</t>
  </si>
  <si>
    <t>12</t>
  </si>
  <si>
    <t>573911111R00</t>
  </si>
  <si>
    <t>Postřik regenerační ze  silničního ředěného asfaltu  0,1 kg/m2</t>
  </si>
  <si>
    <t>RTS II / 2023</t>
  </si>
  <si>
    <t>57_</t>
  </si>
  <si>
    <t>5_</t>
  </si>
  <si>
    <t>Postřik regenerační z Asfaltonu ARP 30A, 0,1 kg/m2</t>
  </si>
  <si>
    <t>576111315R00</t>
  </si>
  <si>
    <t>Koberec asfaltový mastixový SMA 16 S (AKMH), šířky do 3 m, tl. 60 mm po zhutnění</t>
  </si>
  <si>
    <t>712</t>
  </si>
  <si>
    <t>Izolace střech (živičné krytiny)</t>
  </si>
  <si>
    <t>14</t>
  </si>
  <si>
    <t>712391171RZ5</t>
  </si>
  <si>
    <t>Provedení povlakové krytiny střech do 10°, podkladní textilií</t>
  </si>
  <si>
    <t>712_</t>
  </si>
  <si>
    <t>71_</t>
  </si>
  <si>
    <t>15</t>
  </si>
  <si>
    <t>712378004R00</t>
  </si>
  <si>
    <t>Povlaková krytina střech do 10°, fólie, závětrná lišta rš 250 mm</t>
  </si>
  <si>
    <t>Povlaková krytina střech do 10°, fólie, závětrná lišta VIPLANYL rš 250 mm</t>
  </si>
  <si>
    <t>712378003R00</t>
  </si>
  <si>
    <t>Povlaková krytina střech do 10°, fólie, atiková okapnice rš 250 mm</t>
  </si>
  <si>
    <t>Povlaková krytina střech do 10°, fólie, atiková okapnice VIPLANYL rš 250 mm</t>
  </si>
  <si>
    <t>17</t>
  </si>
  <si>
    <t>712378005R00</t>
  </si>
  <si>
    <t>Povlaková krytina střech do 10°, fólie, stěnová lišta vyhnutá rš 70 mm</t>
  </si>
  <si>
    <t>Povlaková krytina střech do 10°, fólie, stěnová lišta vyhnutá VIPLANYL rš 70 mm</t>
  </si>
  <si>
    <t>18</t>
  </si>
  <si>
    <t>712371901RZ3</t>
  </si>
  <si>
    <t>Provedení povlakové krytiny střech do 10°, fólií PVC tl. 2 mm lepenou celoplošně</t>
  </si>
  <si>
    <t>762</t>
  </si>
  <si>
    <t>Konstrukce tesařské</t>
  </si>
  <si>
    <t>19</t>
  </si>
  <si>
    <t>762311103R00</t>
  </si>
  <si>
    <t>Montáž kotevních želez, příložek, patek, táhel</t>
  </si>
  <si>
    <t>kus</t>
  </si>
  <si>
    <t>762_</t>
  </si>
  <si>
    <t>76_</t>
  </si>
  <si>
    <t>20</t>
  </si>
  <si>
    <t>762495000R00</t>
  </si>
  <si>
    <t>Spojovací a ochranné prostř. obložení stěn, stropů</t>
  </si>
  <si>
    <t>21</t>
  </si>
  <si>
    <t>762421120RT2</t>
  </si>
  <si>
    <t>Montáž obložení stropů lignátem tl. do 10 mm</t>
  </si>
  <si>
    <t>22</t>
  </si>
  <si>
    <t>762441112RT4</t>
  </si>
  <si>
    <t>Montáž střešních ploch,OSB desky,1vrst.,šroubováním</t>
  </si>
  <si>
    <t>23</t>
  </si>
  <si>
    <t>762342203RT2</t>
  </si>
  <si>
    <t>Montáž laťování střech, vzdálenost latí 22 - 36 cm</t>
  </si>
  <si>
    <t>24</t>
  </si>
  <si>
    <t>762334140RT2</t>
  </si>
  <si>
    <t>Montáž vázan.krovů pravidelných do 450cm2 ocel.spojkami</t>
  </si>
  <si>
    <t>764</t>
  </si>
  <si>
    <t>Konstrukce klempířské</t>
  </si>
  <si>
    <t>25</t>
  </si>
  <si>
    <t>764908104RT2</t>
  </si>
  <si>
    <t>Žlab podokapní půlkruhový R,velikost 125 mm</t>
  </si>
  <si>
    <t>RTS II / 2025</t>
  </si>
  <si>
    <t>764_</t>
  </si>
  <si>
    <t>Lindab žlab podokapní půlkruhový R,velikost 125 mm</t>
  </si>
  <si>
    <t>26</t>
  </si>
  <si>
    <t>764908110RT2</t>
  </si>
  <si>
    <t>Odpadní trouby kruhové SROR, D 120 mm</t>
  </si>
  <si>
    <t>Lindab odpadní trouby kruhové SROR, D 120 mm</t>
  </si>
  <si>
    <t>764908101RT2</t>
  </si>
  <si>
    <t>Kotlík žlabový kónický SOK,vel.žlabu 125 mm</t>
  </si>
  <si>
    <t>Lindab,kotlík žlabový kónický SOK,vel.žlabu 125 mm</t>
  </si>
  <si>
    <t>767</t>
  </si>
  <si>
    <t>Konstrukce doplňkové stavební (zámečnické)</t>
  </si>
  <si>
    <t>28</t>
  </si>
  <si>
    <t>767900090RA0</t>
  </si>
  <si>
    <t>Demontáž atypických ocelových konstrukcí</t>
  </si>
  <si>
    <t>kg</t>
  </si>
  <si>
    <t>767_</t>
  </si>
  <si>
    <t>783</t>
  </si>
  <si>
    <t>Nátěry</t>
  </si>
  <si>
    <t>29</t>
  </si>
  <si>
    <t>783122210R00</t>
  </si>
  <si>
    <t>Nátěr syntetický OK "A" 1x + 2x email</t>
  </si>
  <si>
    <t>783_</t>
  </si>
  <si>
    <t>78_</t>
  </si>
  <si>
    <t>30</t>
  </si>
  <si>
    <t>783782221R00</t>
  </si>
  <si>
    <t>Nátěr tesařských konstrukcí na bázi dřeva proti dřevokaznému hmyzu, provedení 2x</t>
  </si>
  <si>
    <t>Nátěr tesařských konstrukcí Lignofix I Profi 2x</t>
  </si>
  <si>
    <t>94</t>
  </si>
  <si>
    <t>Lešení a stavební výtahy</t>
  </si>
  <si>
    <t>949941101R00</t>
  </si>
  <si>
    <t>Výsuvná šplhací plošina, motorický zdvih, H 80 m</t>
  </si>
  <si>
    <t>den</t>
  </si>
  <si>
    <t>94_</t>
  </si>
  <si>
    <t>9_</t>
  </si>
  <si>
    <t>H01</t>
  </si>
  <si>
    <t>Budovy</t>
  </si>
  <si>
    <t>32</t>
  </si>
  <si>
    <t>998011001R00</t>
  </si>
  <si>
    <t>Přesun hmot pro budovy  výšky do 6 m</t>
  </si>
  <si>
    <t>H01_</t>
  </si>
  <si>
    <t>M21</t>
  </si>
  <si>
    <t>Elektromontáže</t>
  </si>
  <si>
    <t>33</t>
  </si>
  <si>
    <t>210220021RT1</t>
  </si>
  <si>
    <t>Vedení uzemňovací v zemi FeZn do 120 mm2 vč.svorek</t>
  </si>
  <si>
    <t>M21_</t>
  </si>
  <si>
    <t>M43</t>
  </si>
  <si>
    <t>Montáže ocelových konstrukcí</t>
  </si>
  <si>
    <t>430863006R00</t>
  </si>
  <si>
    <t>Křivka cenová třetí, hmotnost do 20000 kg</t>
  </si>
  <si>
    <t>M43_</t>
  </si>
  <si>
    <t>M46</t>
  </si>
  <si>
    <t>Zemní práce při montážích</t>
  </si>
  <si>
    <t>35</t>
  </si>
  <si>
    <t>460030081RT3</t>
  </si>
  <si>
    <t>Řezání spáry v asfaltu nebo betonu</t>
  </si>
  <si>
    <t>M46_</t>
  </si>
  <si>
    <t>36</t>
  </si>
  <si>
    <t>460030072RT3</t>
  </si>
  <si>
    <t>Bourání živičných povrchů tl. vrstvy 5 - 10 cm</t>
  </si>
  <si>
    <t>37</t>
  </si>
  <si>
    <t>460600001RT3</t>
  </si>
  <si>
    <t>Naložení a odvoz zeminy</t>
  </si>
  <si>
    <t>S</t>
  </si>
  <si>
    <t>Přesuny sutí</t>
  </si>
  <si>
    <t>38</t>
  </si>
  <si>
    <t>979999973R00</t>
  </si>
  <si>
    <t>Poplatek za uložení, zemina a kamení, (skup.170504)</t>
  </si>
  <si>
    <t>S_</t>
  </si>
  <si>
    <t>39</t>
  </si>
  <si>
    <t>979999996R00</t>
  </si>
  <si>
    <t>Poplatek za recyklaci asfaltu, kusovost nad 1600 cm2 (skup.170302)</t>
  </si>
  <si>
    <t>M</t>
  </si>
  <si>
    <t>Ostatní materiál</t>
  </si>
  <si>
    <t>40</t>
  </si>
  <si>
    <t>13480820</t>
  </si>
  <si>
    <t>Tyč průřezu I 220, hrubé, jakost oceli S235</t>
  </si>
  <si>
    <t>0</t>
  </si>
  <si>
    <t>Z99999_</t>
  </si>
  <si>
    <t>Z_</t>
  </si>
  <si>
    <t>41</t>
  </si>
  <si>
    <t>13480830</t>
  </si>
  <si>
    <t>Tyč průřezu I 260, hrubé, jakost oceli S235</t>
  </si>
  <si>
    <t>42</t>
  </si>
  <si>
    <t>13485315</t>
  </si>
  <si>
    <t>Tyč průřezu UPE 200 hrubé, jakost oceli S235</t>
  </si>
  <si>
    <t>43</t>
  </si>
  <si>
    <t>31173175</t>
  </si>
  <si>
    <t>Vysoce výkonná vytlačovací hybridní lepicí hmota se směšovačem</t>
  </si>
  <si>
    <t>Lepicí hmota HIT-HY 170 se směšovačem</t>
  </si>
  <si>
    <t>44</t>
  </si>
  <si>
    <t>3117179810</t>
  </si>
  <si>
    <t>Kotevní tyč pr.20 mm, ocel ST 500S</t>
  </si>
  <si>
    <t>Kotevní tyč CTK  pr.20 mm, ocel ST 500S</t>
  </si>
  <si>
    <t>45</t>
  </si>
  <si>
    <t>3117179830</t>
  </si>
  <si>
    <t>Matice pro tyč o pr. 20 mm, ST 500 S</t>
  </si>
  <si>
    <t>Matice pro CTK o 20 mm, ST 500 S</t>
  </si>
  <si>
    <t>VORN</t>
  </si>
  <si>
    <t>Vedlejší a ostatní rozpočtové náklady</t>
  </si>
  <si>
    <t>01VRN</t>
  </si>
  <si>
    <t>Průzkumy, geodetické a projektové práce</t>
  </si>
  <si>
    <t>46</t>
  </si>
  <si>
    <t>012002VRN</t>
  </si>
  <si>
    <t>Geodetické práce(vytýčení stavby pro kolaudaci)</t>
  </si>
  <si>
    <t>Soubor</t>
  </si>
  <si>
    <t>99</t>
  </si>
  <si>
    <t>01VRN_</t>
  </si>
  <si>
    <t>Â _</t>
  </si>
  <si>
    <t>03VRN</t>
  </si>
  <si>
    <t>Zařízení staveniště</t>
  </si>
  <si>
    <t>030001VRN</t>
  </si>
  <si>
    <t>03VRN_</t>
  </si>
  <si>
    <t>033002VRN</t>
  </si>
  <si>
    <t>Připojení na energie a jejich spotřeba</t>
  </si>
  <si>
    <t>039002VRN</t>
  </si>
  <si>
    <t>Odstranění zařízení staveniště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</si>
  <si>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</si>
  <si>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</si>
  <si>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</si>
  <si>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</si>
  <si>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</si>
  <si>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</si>
  <si>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</si>
  <si>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</si>
  <si>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</si>
  <si>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</si>
  <si>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</si>
  <si>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</si>
  <si>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</si>
  <si>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</si>
  <si>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</si>
  <si>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</si>
  <si>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</si>
  <si>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</si>
  <si>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</si>
  <si>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</si>
  <si>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</si>
  <si>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</si>
  <si>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</si>
  <si>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</si>
  <si>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</si>
  <si>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</si>
  <si>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</si>
  <si>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</si>
  <si>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</si>
  <si>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</si>
  <si>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</si>
  <si>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</si>
  <si>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</si>
  <si>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</si>
  <si>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</si>
  <si>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</si>
  <si>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</si>
  <si>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</si>
  <si>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</si>
  <si>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</si>
  <si>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</si>
  <si>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</si>
  <si>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</si>
  <si>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</si>
  <si>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</si>
  <si>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</si>
  <si>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</si>
  <si>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</si>
  <si>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</si>
  <si>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</si>
  <si>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</si>
  <si>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</si>
  <si>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</si>
  <si>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</si>
  <si>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</si>
  <si>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</si>
  <si>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</si>
  <si>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</si>
  <si>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</si>
  <si>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</si>
  <si>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</si>
  <si>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 Silnice LK a.s.</t>
  </si>
  <si>
    <t>28746503/CZ28746503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</si>
</sst>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" fontId="9" fillId="0" borderId="12" xfId="0" applyNumberFormat="1" applyFont="1" applyBorder="1" applyAlignment="1">
      <alignment horizontal="right" vertical="center"/>
    </xf>
    <xf numFmtId="4" fontId="8" fillId="2" borderId="14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4" fontId="3" fillId="0" borderId="31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/>
    </xf>
    <xf numFmtId="4" fontId="2" fillId="0" borderId="33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4" fontId="3" fillId="3" borderId="19" xfId="0" applyNumberFormat="1" applyFont="1" applyFill="1" applyBorder="1" applyAlignment="1" applyProtection="1">
      <alignment horizontal="right" vertical="center"/>
      <protection locked="0"/>
    </xf>
    <xf numFmtId="4" fontId="9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8" fillId="2" borderId="12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horizontal="right" vertical="center"/>
    </xf>
    <xf numFmtId="4" fontId="8" fillId="2" borderId="3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4" fontId="3" fillId="0" borderId="39" xfId="0" applyNumberFormat="1" applyFont="1" applyBorder="1" applyAlignment="1">
      <alignment horizontal="left" vertical="center" wrapText="1"/>
    </xf>
    <xf numFmtId="14" fontId="3" fillId="0" borderId="40" xfId="0" applyNumberFormat="1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2" fontId="10" fillId="3" borderId="39" xfId="0" applyNumberFormat="1" applyFont="1" applyFill="1" applyBorder="1" applyAlignment="1" applyProtection="1">
      <alignment horizontal="left" vertical="center"/>
      <protection locked="0"/>
    </xf>
    <xf numFmtId="1" fontId="3" fillId="0" borderId="39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31" xfId="0" applyFont="1" applyFill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left" vertical="center"/>
    </xf>
    <xf numFmtId="14" fontId="3" fillId="3" borderId="0" xfId="0" applyNumberFormat="1" applyFont="1" applyFill="1" applyAlignment="1" applyProtection="1">
      <alignment horizontal="left" vertical="center"/>
      <protection locked="0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" fontId="8" fillId="0" borderId="34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" fontId="3" fillId="0" borderId="31" xfId="0" applyNumberFormat="1" applyFont="1" applyBorder="1" applyAlignment="1">
      <alignment horizontal="left" vertical="center"/>
    </xf>
    <xf numFmtId="0" fontId="1" fillId="0" borderId="3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31" xfId="0" applyFont="1" applyBorder="1" applyAlignment="1" applyProtection="1">
      <alignment horizontal="left" vertical="center"/>
    </xf>
    <xf numFmtId="0" fontId="3" fillId="0" borderId="29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left" vertical="center"/>
    </xf>
    <xf numFmtId="0" fontId="2" fillId="2" borderId="30" xfId="0" applyFont="1" applyFill="1" applyBorder="1" applyAlignment="1" applyProtection="1">
      <alignment horizontal="left" vertical="center"/>
    </xf>
    <xf numFmtId="0" fontId="2" fillId="2" borderId="30" xfId="0" applyFont="1" applyFill="1" applyBorder="1" applyAlignment="1" applyProtection="1">
      <alignment horizontal="left" vertical="center" wrapText="1"/>
    </xf>
    <xf numFmtId="0" fontId="2" fillId="2" borderId="30" xfId="0" applyFont="1" applyFill="1" applyBorder="1" applyAlignment="1" applyProtection="1">
      <alignment horizontal="left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4" borderId="30" xfId="0" applyFont="1" applyFill="1" applyBorder="1" applyAlignment="1" applyProtection="1">
      <alignment horizontal="left" vertical="center"/>
    </xf>
    <xf numFmtId="4" fontId="2" fillId="2" borderId="30" xfId="0" applyNumberFormat="1" applyFont="1" applyFill="1" applyBorder="1" applyAlignment="1" applyProtection="1">
      <alignment horizontal="right" vertical="center"/>
    </xf>
    <xf numFmtId="0" fontId="2" fillId="2" borderId="31" xfId="0" applyFont="1" applyFill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right" vertical="center"/>
    </xf>
    <xf numFmtId="0" fontId="3" fillId="0" borderId="31" xfId="0" applyFont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4" fontId="2" fillId="2" borderId="0" xfId="0" applyNumberFormat="1" applyFont="1" applyFill="1" applyAlignment="1" applyProtection="1">
      <alignment horizontal="righ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 vertical="center"/>
    </xf>
    <xf numFmtId="4" fontId="3" fillId="0" borderId="19" xfId="0" applyNumberFormat="1" applyFont="1" applyBorder="1" applyAlignment="1" applyProtection="1">
      <alignment horizontal="right" vertical="center"/>
    </xf>
    <xf numFmtId="4" fontId="3" fillId="0" borderId="30" xfId="0" applyNumberFormat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right" vertical="center"/>
    </xf>
    <xf numFmtId="0" fontId="0" fillId="0" borderId="0" xfId="0" applyProtection="1"/>
    <xf numFmtId="0" fontId="2" fillId="0" borderId="35" xfId="0" applyFont="1" applyBorder="1" applyAlignment="1" applyProtection="1">
      <alignment horizontal="left" vertical="center"/>
    </xf>
    <xf numFmtId="0" fontId="2" fillId="0" borderId="36" xfId="0" applyFont="1" applyBorder="1" applyAlignment="1" applyProtection="1">
      <alignment horizontal="left" vertical="center"/>
    </xf>
    <xf numFmtId="4" fontId="2" fillId="0" borderId="37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84"/>
  <sheetViews>
    <sheetView tabSelected="1" workbookViewId="0">
      <pane ySplit="11" topLeftCell="A12" activePane="bottomLeft" state="frozen"/>
      <selection pane="bottomLeft" activeCell="M14" sqref="M14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08" t="s">
        <v>1</v>
      </c>
      <c r="B2" s="109"/>
      <c r="C2" s="110" t="s">
        <v>2</v>
      </c>
      <c r="D2" s="111"/>
      <c r="E2" s="109" t="s">
        <v>3</v>
      </c>
      <c r="F2" s="109"/>
      <c r="G2" s="109" t="s">
        <v>4</v>
      </c>
      <c r="H2" s="112" t="s">
        <v>5</v>
      </c>
      <c r="I2" s="113" t="s">
        <v>346</v>
      </c>
      <c r="J2" s="113"/>
      <c r="K2" s="114"/>
    </row>
    <row r="3" spans="1:76" x14ac:dyDescent="0.25">
      <c r="A3" s="115"/>
      <c r="B3" s="116"/>
      <c r="C3" s="117"/>
      <c r="D3" s="117"/>
      <c r="E3" s="116"/>
      <c r="F3" s="116"/>
      <c r="G3" s="116"/>
      <c r="H3" s="116"/>
      <c r="I3" s="118"/>
      <c r="J3" s="118"/>
      <c r="K3" s="119"/>
    </row>
    <row r="4" spans="1:76" x14ac:dyDescent="0.25">
      <c r="A4" s="120" t="s">
        <v>7</v>
      </c>
      <c r="B4" s="116"/>
      <c r="C4" s="121" t="s">
        <v>8</v>
      </c>
      <c r="D4" s="116"/>
      <c r="E4" s="116" t="s">
        <v>9</v>
      </c>
      <c r="F4" s="116"/>
      <c r="G4" s="116"/>
      <c r="H4" s="121" t="s">
        <v>10</v>
      </c>
      <c r="I4" s="116" t="s">
        <v>6</v>
      </c>
      <c r="J4" s="116"/>
      <c r="K4" s="122"/>
    </row>
    <row r="5" spans="1:76" x14ac:dyDescent="0.25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22"/>
    </row>
    <row r="6" spans="1:76" x14ac:dyDescent="0.25">
      <c r="A6" s="120" t="s">
        <v>11</v>
      </c>
      <c r="B6" s="116"/>
      <c r="C6" s="121" t="s">
        <v>12</v>
      </c>
      <c r="D6" s="116"/>
      <c r="E6" s="116" t="s">
        <v>13</v>
      </c>
      <c r="F6" s="116"/>
      <c r="G6" s="116" t="s">
        <v>4</v>
      </c>
      <c r="H6" s="121" t="s">
        <v>14</v>
      </c>
      <c r="I6" s="85"/>
      <c r="J6" s="85"/>
      <c r="K6" s="86"/>
    </row>
    <row r="7" spans="1:76" x14ac:dyDescent="0.25">
      <c r="A7" s="115"/>
      <c r="B7" s="116"/>
      <c r="C7" s="116"/>
      <c r="D7" s="116"/>
      <c r="E7" s="116"/>
      <c r="F7" s="116"/>
      <c r="G7" s="116"/>
      <c r="H7" s="116"/>
      <c r="I7" s="85"/>
      <c r="J7" s="85"/>
      <c r="K7" s="86"/>
    </row>
    <row r="8" spans="1:76" x14ac:dyDescent="0.25">
      <c r="A8" s="120" t="s">
        <v>15</v>
      </c>
      <c r="B8" s="116"/>
      <c r="C8" s="121" t="s">
        <v>4</v>
      </c>
      <c r="D8" s="116"/>
      <c r="E8" s="116" t="s">
        <v>16</v>
      </c>
      <c r="F8" s="116"/>
      <c r="G8" s="88"/>
      <c r="H8" s="121" t="s">
        <v>17</v>
      </c>
      <c r="I8" s="116" t="s">
        <v>6</v>
      </c>
      <c r="J8" s="116"/>
      <c r="K8" s="122"/>
    </row>
    <row r="9" spans="1:76" x14ac:dyDescent="0.25">
      <c r="A9" s="115"/>
      <c r="B9" s="123"/>
      <c r="C9" s="123"/>
      <c r="D9" s="123"/>
      <c r="E9" s="123"/>
      <c r="F9" s="123"/>
      <c r="G9" s="89"/>
      <c r="H9" s="123"/>
      <c r="I9" s="123"/>
      <c r="J9" s="123"/>
      <c r="K9" s="122"/>
    </row>
    <row r="10" spans="1:76" x14ac:dyDescent="0.25">
      <c r="A10" s="124" t="s">
        <v>18</v>
      </c>
      <c r="B10" s="125" t="s">
        <v>19</v>
      </c>
      <c r="C10" s="126" t="s">
        <v>20</v>
      </c>
      <c r="D10" s="127"/>
      <c r="E10" s="125" t="s">
        <v>21</v>
      </c>
      <c r="F10" s="128" t="s">
        <v>22</v>
      </c>
      <c r="G10" s="129" t="s">
        <v>23</v>
      </c>
      <c r="H10" s="130" t="s">
        <v>24</v>
      </c>
      <c r="I10" s="131"/>
      <c r="J10" s="132"/>
      <c r="K10" s="128" t="s">
        <v>25</v>
      </c>
      <c r="BK10" s="3" t="s">
        <v>26</v>
      </c>
      <c r="BL10" s="4" t="s">
        <v>27</v>
      </c>
      <c r="BW10" s="4" t="s">
        <v>28</v>
      </c>
    </row>
    <row r="11" spans="1:76" x14ac:dyDescent="0.25">
      <c r="A11" s="133" t="s">
        <v>4</v>
      </c>
      <c r="B11" s="134" t="s">
        <v>4</v>
      </c>
      <c r="C11" s="135" t="s">
        <v>29</v>
      </c>
      <c r="D11" s="136"/>
      <c r="E11" s="134" t="s">
        <v>4</v>
      </c>
      <c r="F11" s="134" t="s">
        <v>4</v>
      </c>
      <c r="G11" s="137" t="s">
        <v>30</v>
      </c>
      <c r="H11" s="138" t="s">
        <v>31</v>
      </c>
      <c r="I11" s="139" t="s">
        <v>32</v>
      </c>
      <c r="J11" s="140" t="s">
        <v>33</v>
      </c>
      <c r="K11" s="139" t="s">
        <v>34</v>
      </c>
      <c r="Z11" s="3" t="s">
        <v>35</v>
      </c>
      <c r="AA11" s="3" t="s">
        <v>36</v>
      </c>
      <c r="AB11" s="3" t="s">
        <v>37</v>
      </c>
      <c r="AC11" s="3" t="s">
        <v>38</v>
      </c>
      <c r="AD11" s="3" t="s">
        <v>39</v>
      </c>
      <c r="AE11" s="3" t="s">
        <v>40</v>
      </c>
      <c r="AF11" s="3" t="s">
        <v>41</v>
      </c>
      <c r="AG11" s="3" t="s">
        <v>42</v>
      </c>
      <c r="AH11" s="3" t="s">
        <v>43</v>
      </c>
      <c r="BH11" s="3" t="s">
        <v>44</v>
      </c>
      <c r="BI11" s="3" t="s">
        <v>45</v>
      </c>
      <c r="BJ11" s="3" t="s">
        <v>46</v>
      </c>
    </row>
    <row r="12" spans="1:76" x14ac:dyDescent="0.25">
      <c r="A12" s="141" t="s">
        <v>47</v>
      </c>
      <c r="B12" s="142" t="s">
        <v>48</v>
      </c>
      <c r="C12" s="143" t="s">
        <v>49</v>
      </c>
      <c r="D12" s="144"/>
      <c r="E12" s="145" t="s">
        <v>4</v>
      </c>
      <c r="F12" s="145" t="s">
        <v>4</v>
      </c>
      <c r="G12" s="146" t="s">
        <v>4</v>
      </c>
      <c r="H12" s="147">
        <f>ROUND(SUM(H13:H14),2)</f>
        <v>0</v>
      </c>
      <c r="I12" s="147">
        <f>ROUND(SUM(I13:I14),2)</f>
        <v>0</v>
      </c>
      <c r="J12" s="147">
        <f>ROUND(SUM(J13:J14),2)</f>
        <v>0</v>
      </c>
      <c r="K12" s="148" t="s">
        <v>47</v>
      </c>
      <c r="AI12" s="3" t="s">
        <v>47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149" t="s">
        <v>50</v>
      </c>
      <c r="B13" s="150" t="s">
        <v>51</v>
      </c>
      <c r="C13" s="121" t="s">
        <v>52</v>
      </c>
      <c r="D13" s="116"/>
      <c r="E13" s="150" t="s">
        <v>53</v>
      </c>
      <c r="F13" s="151">
        <v>8.25</v>
      </c>
      <c r="G13" s="21">
        <v>0</v>
      </c>
      <c r="H13" s="151">
        <f>ROUND(F13*AO13,2)</f>
        <v>0</v>
      </c>
      <c r="I13" s="151">
        <f>ROUND(F13*AP13,2)</f>
        <v>0</v>
      </c>
      <c r="J13" s="151">
        <f>ROUND(F13*G13,2)</f>
        <v>0</v>
      </c>
      <c r="K13" s="152" t="s">
        <v>54</v>
      </c>
      <c r="Z13" s="5">
        <f>ROUND(IF(AQ13="5",BJ13,0),2)</f>
        <v>0</v>
      </c>
      <c r="AB13" s="5">
        <f>ROUND(IF(AQ13="1",BH13,0),2)</f>
        <v>0</v>
      </c>
      <c r="AC13" s="5">
        <f>ROUND(IF(AQ13="1",BI13,0),2)</f>
        <v>0</v>
      </c>
      <c r="AD13" s="5">
        <f>ROUND(IF(AQ13="7",BH13,0),2)</f>
        <v>0</v>
      </c>
      <c r="AE13" s="5">
        <f>ROUND(IF(AQ13="7",BI13,0),2)</f>
        <v>0</v>
      </c>
      <c r="AF13" s="5">
        <f>ROUND(IF(AQ13="2",BH13,0),2)</f>
        <v>0</v>
      </c>
      <c r="AG13" s="5">
        <f>ROUND(IF(AQ13="2",BI13,0),2)</f>
        <v>0</v>
      </c>
      <c r="AH13" s="5">
        <f>ROUND(IF(AQ13="0",BJ13,0),2)</f>
        <v>0</v>
      </c>
      <c r="AI13" s="3" t="s">
        <v>47</v>
      </c>
      <c r="AJ13" s="5">
        <f>IF(AN13=0,J13,0)</f>
        <v>0</v>
      </c>
      <c r="AK13" s="5">
        <f>IF(AN13=12,J13,0)</f>
        <v>0</v>
      </c>
      <c r="AL13" s="5">
        <f>IF(AN13=21,J13,0)</f>
        <v>0</v>
      </c>
      <c r="AN13" s="5">
        <v>21</v>
      </c>
      <c r="AO13" s="5">
        <f>G13*0</f>
        <v>0</v>
      </c>
      <c r="AP13" s="5">
        <f>G13*(1-0)</f>
        <v>0</v>
      </c>
      <c r="AQ13" s="6" t="s">
        <v>50</v>
      </c>
      <c r="AV13" s="5">
        <f>ROUND(AW13+AX13,2)</f>
        <v>0</v>
      </c>
      <c r="AW13" s="5">
        <f>ROUND(F13*AO13,2)</f>
        <v>0</v>
      </c>
      <c r="AX13" s="5">
        <f>ROUND(F13*AP13,2)</f>
        <v>0</v>
      </c>
      <c r="AY13" s="6" t="s">
        <v>55</v>
      </c>
      <c r="AZ13" s="6" t="s">
        <v>56</v>
      </c>
      <c r="BA13" s="3" t="s">
        <v>57</v>
      </c>
      <c r="BC13" s="5">
        <f>AW13+AX13</f>
        <v>0</v>
      </c>
      <c r="BD13" s="5">
        <f>G13/(100-BE13)*100</f>
        <v>0</v>
      </c>
      <c r="BE13" s="5">
        <v>0</v>
      </c>
      <c r="BF13" s="5">
        <f>13</f>
        <v>13</v>
      </c>
      <c r="BH13" s="5">
        <f>F13*AO13</f>
        <v>0</v>
      </c>
      <c r="BI13" s="5">
        <f>F13*AP13</f>
        <v>0</v>
      </c>
      <c r="BJ13" s="5">
        <f>F13*G13</f>
        <v>0</v>
      </c>
      <c r="BK13" s="6" t="s">
        <v>58</v>
      </c>
      <c r="BL13" s="5">
        <v>13</v>
      </c>
      <c r="BW13" s="5">
        <v>21</v>
      </c>
      <c r="BX13" s="2" t="s">
        <v>52</v>
      </c>
    </row>
    <row r="14" spans="1:76" x14ac:dyDescent="0.25">
      <c r="A14" s="149" t="s">
        <v>59</v>
      </c>
      <c r="B14" s="150" t="s">
        <v>60</v>
      </c>
      <c r="C14" s="121" t="s">
        <v>61</v>
      </c>
      <c r="D14" s="116"/>
      <c r="E14" s="150" t="s">
        <v>53</v>
      </c>
      <c r="F14" s="151">
        <v>36.200000000000003</v>
      </c>
      <c r="G14" s="21">
        <v>0</v>
      </c>
      <c r="H14" s="151">
        <f>ROUND(F14*AO14,2)</f>
        <v>0</v>
      </c>
      <c r="I14" s="151">
        <f>ROUND(F14*AP14,2)</f>
        <v>0</v>
      </c>
      <c r="J14" s="151">
        <f>ROUND(F14*G14,2)</f>
        <v>0</v>
      </c>
      <c r="K14" s="152" t="s">
        <v>54</v>
      </c>
      <c r="Z14" s="5">
        <f>ROUND(IF(AQ14="5",BJ14,0),2)</f>
        <v>0</v>
      </c>
      <c r="AB14" s="5">
        <f>ROUND(IF(AQ14="1",BH14,0),2)</f>
        <v>0</v>
      </c>
      <c r="AC14" s="5">
        <f>ROUND(IF(AQ14="1",BI14,0),2)</f>
        <v>0</v>
      </c>
      <c r="AD14" s="5">
        <f>ROUND(IF(AQ14="7",BH14,0),2)</f>
        <v>0</v>
      </c>
      <c r="AE14" s="5">
        <f>ROUND(IF(AQ14="7",BI14,0),2)</f>
        <v>0</v>
      </c>
      <c r="AF14" s="5">
        <f>ROUND(IF(AQ14="2",BH14,0),2)</f>
        <v>0</v>
      </c>
      <c r="AG14" s="5">
        <f>ROUND(IF(AQ14="2",BI14,0),2)</f>
        <v>0</v>
      </c>
      <c r="AH14" s="5">
        <f>ROUND(IF(AQ14="0",BJ14,0),2)</f>
        <v>0</v>
      </c>
      <c r="AI14" s="3" t="s">
        <v>47</v>
      </c>
      <c r="AJ14" s="5">
        <f>IF(AN14=0,J14,0)</f>
        <v>0</v>
      </c>
      <c r="AK14" s="5">
        <f>IF(AN14=12,J14,0)</f>
        <v>0</v>
      </c>
      <c r="AL14" s="5">
        <f>IF(AN14=21,J14,0)</f>
        <v>0</v>
      </c>
      <c r="AN14" s="5">
        <v>21</v>
      </c>
      <c r="AO14" s="5">
        <f>G14*0</f>
        <v>0</v>
      </c>
      <c r="AP14" s="5">
        <f>G14*(1-0)</f>
        <v>0</v>
      </c>
      <c r="AQ14" s="6" t="s">
        <v>50</v>
      </c>
      <c r="AV14" s="5">
        <f>ROUND(AW14+AX14,2)</f>
        <v>0</v>
      </c>
      <c r="AW14" s="5">
        <f>ROUND(F14*AO14,2)</f>
        <v>0</v>
      </c>
      <c r="AX14" s="5">
        <f>ROUND(F14*AP14,2)</f>
        <v>0</v>
      </c>
      <c r="AY14" s="6" t="s">
        <v>55</v>
      </c>
      <c r="AZ14" s="6" t="s">
        <v>56</v>
      </c>
      <c r="BA14" s="3" t="s">
        <v>57</v>
      </c>
      <c r="BC14" s="5">
        <f>AW14+AX14</f>
        <v>0</v>
      </c>
      <c r="BD14" s="5">
        <f>G14/(100-BE14)*100</f>
        <v>0</v>
      </c>
      <c r="BE14" s="5">
        <v>0</v>
      </c>
      <c r="BF14" s="5">
        <f>14</f>
        <v>14</v>
      </c>
      <c r="BH14" s="5">
        <f>F14*AO14</f>
        <v>0</v>
      </c>
      <c r="BI14" s="5">
        <f>F14*AP14</f>
        <v>0</v>
      </c>
      <c r="BJ14" s="5">
        <f>F14*G14</f>
        <v>0</v>
      </c>
      <c r="BK14" s="6" t="s">
        <v>58</v>
      </c>
      <c r="BL14" s="5">
        <v>13</v>
      </c>
      <c r="BW14" s="5">
        <v>21</v>
      </c>
      <c r="BX14" s="2" t="s">
        <v>61</v>
      </c>
    </row>
    <row r="15" spans="1:76" x14ac:dyDescent="0.25">
      <c r="A15" s="141" t="s">
        <v>47</v>
      </c>
      <c r="B15" s="153" t="s">
        <v>62</v>
      </c>
      <c r="C15" s="154" t="s">
        <v>63</v>
      </c>
      <c r="D15" s="155"/>
      <c r="E15" s="156" t="s">
        <v>4</v>
      </c>
      <c r="F15" s="156" t="s">
        <v>4</v>
      </c>
      <c r="G15" s="157" t="s">
        <v>4</v>
      </c>
      <c r="H15" s="158">
        <f>ROUND(SUM(H16:H17),2)</f>
        <v>0</v>
      </c>
      <c r="I15" s="158">
        <f>ROUND(SUM(I16:I17),2)</f>
        <v>0</v>
      </c>
      <c r="J15" s="158">
        <f>ROUND(SUM(J16:J17),2)</f>
        <v>0</v>
      </c>
      <c r="K15" s="148" t="s">
        <v>47</v>
      </c>
      <c r="AI15" s="3" t="s">
        <v>47</v>
      </c>
      <c r="AS15" s="1">
        <f>SUM(AJ16:AJ17)</f>
        <v>0</v>
      </c>
      <c r="AT15" s="1">
        <f>SUM(AK16:AK17)</f>
        <v>0</v>
      </c>
      <c r="AU15" s="1">
        <f>SUM(AL16:AL17)</f>
        <v>0</v>
      </c>
    </row>
    <row r="16" spans="1:76" x14ac:dyDescent="0.25">
      <c r="A16" s="149" t="s">
        <v>64</v>
      </c>
      <c r="B16" s="150" t="s">
        <v>65</v>
      </c>
      <c r="C16" s="121" t="s">
        <v>66</v>
      </c>
      <c r="D16" s="116"/>
      <c r="E16" s="150" t="s">
        <v>53</v>
      </c>
      <c r="F16" s="151">
        <v>44.45</v>
      </c>
      <c r="G16" s="21">
        <v>0</v>
      </c>
      <c r="H16" s="151">
        <f>ROUND(F16*AO16,2)</f>
        <v>0</v>
      </c>
      <c r="I16" s="151">
        <f>ROUND(F16*AP16,2)</f>
        <v>0</v>
      </c>
      <c r="J16" s="151">
        <f>ROUND(F16*G16,2)</f>
        <v>0</v>
      </c>
      <c r="K16" s="152" t="s">
        <v>54</v>
      </c>
      <c r="Z16" s="5">
        <f>ROUND(IF(AQ16="5",BJ16,0),2)</f>
        <v>0</v>
      </c>
      <c r="AB16" s="5">
        <f>ROUND(IF(AQ16="1",BH16,0),2)</f>
        <v>0</v>
      </c>
      <c r="AC16" s="5">
        <f>ROUND(IF(AQ16="1",BI16,0),2)</f>
        <v>0</v>
      </c>
      <c r="AD16" s="5">
        <f>ROUND(IF(AQ16="7",BH16,0),2)</f>
        <v>0</v>
      </c>
      <c r="AE16" s="5">
        <f>ROUND(IF(AQ16="7",BI16,0),2)</f>
        <v>0</v>
      </c>
      <c r="AF16" s="5">
        <f>ROUND(IF(AQ16="2",BH16,0),2)</f>
        <v>0</v>
      </c>
      <c r="AG16" s="5">
        <f>ROUND(IF(AQ16="2",BI16,0),2)</f>
        <v>0</v>
      </c>
      <c r="AH16" s="5">
        <f>ROUND(IF(AQ16="0",BJ16,0),2)</f>
        <v>0</v>
      </c>
      <c r="AI16" s="3" t="s">
        <v>47</v>
      </c>
      <c r="AJ16" s="5">
        <f>IF(AN16=0,J16,0)</f>
        <v>0</v>
      </c>
      <c r="AK16" s="5">
        <f>IF(AN16=12,J16,0)</f>
        <v>0</v>
      </c>
      <c r="AL16" s="5">
        <f>IF(AN16=21,J16,0)</f>
        <v>0</v>
      </c>
      <c r="AN16" s="5">
        <v>21</v>
      </c>
      <c r="AO16" s="5">
        <f>G16*0</f>
        <v>0</v>
      </c>
      <c r="AP16" s="5">
        <f>G16*(1-0)</f>
        <v>0</v>
      </c>
      <c r="AQ16" s="6" t="s">
        <v>50</v>
      </c>
      <c r="AV16" s="5">
        <f>ROUND(AW16+AX16,2)</f>
        <v>0</v>
      </c>
      <c r="AW16" s="5">
        <f>ROUND(F16*AO16,2)</f>
        <v>0</v>
      </c>
      <c r="AX16" s="5">
        <f>ROUND(F16*AP16,2)</f>
        <v>0</v>
      </c>
      <c r="AY16" s="6" t="s">
        <v>67</v>
      </c>
      <c r="AZ16" s="6" t="s">
        <v>56</v>
      </c>
      <c r="BA16" s="3" t="s">
        <v>57</v>
      </c>
      <c r="BC16" s="5">
        <f>AW16+AX16</f>
        <v>0</v>
      </c>
      <c r="BD16" s="5">
        <f>G16/(100-BE16)*100</f>
        <v>0</v>
      </c>
      <c r="BE16" s="5">
        <v>0</v>
      </c>
      <c r="BF16" s="5">
        <f>16</f>
        <v>16</v>
      </c>
      <c r="BH16" s="5">
        <f>F16*AO16</f>
        <v>0</v>
      </c>
      <c r="BI16" s="5">
        <f>F16*AP16</f>
        <v>0</v>
      </c>
      <c r="BJ16" s="5">
        <f>F16*G16</f>
        <v>0</v>
      </c>
      <c r="BK16" s="6" t="s">
        <v>58</v>
      </c>
      <c r="BL16" s="5">
        <v>16</v>
      </c>
      <c r="BW16" s="5">
        <v>21</v>
      </c>
      <c r="BX16" s="2" t="s">
        <v>66</v>
      </c>
    </row>
    <row r="17" spans="1:76" x14ac:dyDescent="0.25">
      <c r="A17" s="149" t="s">
        <v>68</v>
      </c>
      <c r="B17" s="150" t="s">
        <v>69</v>
      </c>
      <c r="C17" s="121" t="s">
        <v>70</v>
      </c>
      <c r="D17" s="116"/>
      <c r="E17" s="150" t="s">
        <v>53</v>
      </c>
      <c r="F17" s="151">
        <v>44.45</v>
      </c>
      <c r="G17" s="21">
        <v>0</v>
      </c>
      <c r="H17" s="151">
        <f>ROUND(F17*AO17,2)</f>
        <v>0</v>
      </c>
      <c r="I17" s="151">
        <f>ROUND(F17*AP17,2)</f>
        <v>0</v>
      </c>
      <c r="J17" s="151">
        <f>ROUND(F17*G17,2)</f>
        <v>0</v>
      </c>
      <c r="K17" s="152" t="s">
        <v>54</v>
      </c>
      <c r="Z17" s="5">
        <f>ROUND(IF(AQ17="5",BJ17,0),2)</f>
        <v>0</v>
      </c>
      <c r="AB17" s="5">
        <f>ROUND(IF(AQ17="1",BH17,0),2)</f>
        <v>0</v>
      </c>
      <c r="AC17" s="5">
        <f>ROUND(IF(AQ17="1",BI17,0),2)</f>
        <v>0</v>
      </c>
      <c r="AD17" s="5">
        <f>ROUND(IF(AQ17="7",BH17,0),2)</f>
        <v>0</v>
      </c>
      <c r="AE17" s="5">
        <f>ROUND(IF(AQ17="7",BI17,0),2)</f>
        <v>0</v>
      </c>
      <c r="AF17" s="5">
        <f>ROUND(IF(AQ17="2",BH17,0),2)</f>
        <v>0</v>
      </c>
      <c r="AG17" s="5">
        <f>ROUND(IF(AQ17="2",BI17,0),2)</f>
        <v>0</v>
      </c>
      <c r="AH17" s="5">
        <f>ROUND(IF(AQ17="0",BJ17,0),2)</f>
        <v>0</v>
      </c>
      <c r="AI17" s="3" t="s">
        <v>47</v>
      </c>
      <c r="AJ17" s="5">
        <f>IF(AN17=0,J17,0)</f>
        <v>0</v>
      </c>
      <c r="AK17" s="5">
        <f>IF(AN17=12,J17,0)</f>
        <v>0</v>
      </c>
      <c r="AL17" s="5">
        <f>IF(AN17=21,J17,0)</f>
        <v>0</v>
      </c>
      <c r="AN17" s="5">
        <v>21</v>
      </c>
      <c r="AO17" s="5">
        <f>G17*0</f>
        <v>0</v>
      </c>
      <c r="AP17" s="5">
        <f>G17*(1-0)</f>
        <v>0</v>
      </c>
      <c r="AQ17" s="6" t="s">
        <v>50</v>
      </c>
      <c r="AV17" s="5">
        <f>ROUND(AW17+AX17,2)</f>
        <v>0</v>
      </c>
      <c r="AW17" s="5">
        <f>ROUND(F17*AO17,2)</f>
        <v>0</v>
      </c>
      <c r="AX17" s="5">
        <f>ROUND(F17*AP17,2)</f>
        <v>0</v>
      </c>
      <c r="AY17" s="6" t="s">
        <v>67</v>
      </c>
      <c r="AZ17" s="6" t="s">
        <v>56</v>
      </c>
      <c r="BA17" s="3" t="s">
        <v>57</v>
      </c>
      <c r="BC17" s="5">
        <f>AW17+AX17</f>
        <v>0</v>
      </c>
      <c r="BD17" s="5">
        <f>G17/(100-BE17)*100</f>
        <v>0</v>
      </c>
      <c r="BE17" s="5">
        <v>0</v>
      </c>
      <c r="BF17" s="5">
        <f>17</f>
        <v>17</v>
      </c>
      <c r="BH17" s="5">
        <f>F17*AO17</f>
        <v>0</v>
      </c>
      <c r="BI17" s="5">
        <f>F17*AP17</f>
        <v>0</v>
      </c>
      <c r="BJ17" s="5">
        <f>F17*G17</f>
        <v>0</v>
      </c>
      <c r="BK17" s="6" t="s">
        <v>58</v>
      </c>
      <c r="BL17" s="5">
        <v>16</v>
      </c>
      <c r="BW17" s="5">
        <v>21</v>
      </c>
      <c r="BX17" s="2" t="s">
        <v>70</v>
      </c>
    </row>
    <row r="18" spans="1:76" x14ac:dyDescent="0.25">
      <c r="A18" s="141" t="s">
        <v>47</v>
      </c>
      <c r="B18" s="153" t="s">
        <v>71</v>
      </c>
      <c r="C18" s="154" t="s">
        <v>72</v>
      </c>
      <c r="D18" s="155"/>
      <c r="E18" s="156" t="s">
        <v>4</v>
      </c>
      <c r="F18" s="156" t="s">
        <v>4</v>
      </c>
      <c r="G18" s="157" t="s">
        <v>4</v>
      </c>
      <c r="H18" s="158">
        <f>ROUND(SUM(H19:H20),2)</f>
        <v>0</v>
      </c>
      <c r="I18" s="158">
        <f>ROUND(SUM(I19:I20),2)</f>
        <v>0</v>
      </c>
      <c r="J18" s="158">
        <f>ROUND(SUM(J19:J20),2)</f>
        <v>0</v>
      </c>
      <c r="K18" s="148" t="s">
        <v>47</v>
      </c>
      <c r="AI18" s="3" t="s">
        <v>47</v>
      </c>
      <c r="AS18" s="1">
        <f>SUM(AJ19:AJ20)</f>
        <v>0</v>
      </c>
      <c r="AT18" s="1">
        <f>SUM(AK19:AK20)</f>
        <v>0</v>
      </c>
      <c r="AU18" s="1">
        <f>SUM(AL19:AL20)</f>
        <v>0</v>
      </c>
    </row>
    <row r="19" spans="1:76" x14ac:dyDescent="0.25">
      <c r="A19" s="149" t="s">
        <v>73</v>
      </c>
      <c r="B19" s="150" t="s">
        <v>74</v>
      </c>
      <c r="C19" s="121" t="s">
        <v>75</v>
      </c>
      <c r="D19" s="116"/>
      <c r="E19" s="150" t="s">
        <v>53</v>
      </c>
      <c r="F19" s="151">
        <v>38.700000000000003</v>
      </c>
      <c r="G19" s="21">
        <v>0</v>
      </c>
      <c r="H19" s="151">
        <f>ROUND(F19*AO19,2)</f>
        <v>0</v>
      </c>
      <c r="I19" s="151">
        <f>ROUND(F19*AP19,2)</f>
        <v>0</v>
      </c>
      <c r="J19" s="151">
        <f>ROUND(F19*G19,2)</f>
        <v>0</v>
      </c>
      <c r="K19" s="152" t="s">
        <v>54</v>
      </c>
      <c r="Z19" s="5">
        <f>ROUND(IF(AQ19="5",BJ19,0),2)</f>
        <v>0</v>
      </c>
      <c r="AB19" s="5">
        <f>ROUND(IF(AQ19="1",BH19,0),2)</f>
        <v>0</v>
      </c>
      <c r="AC19" s="5">
        <f>ROUND(IF(AQ19="1",BI19,0),2)</f>
        <v>0</v>
      </c>
      <c r="AD19" s="5">
        <f>ROUND(IF(AQ19="7",BH19,0),2)</f>
        <v>0</v>
      </c>
      <c r="AE19" s="5">
        <f>ROUND(IF(AQ19="7",BI19,0),2)</f>
        <v>0</v>
      </c>
      <c r="AF19" s="5">
        <f>ROUND(IF(AQ19="2",BH19,0),2)</f>
        <v>0</v>
      </c>
      <c r="AG19" s="5">
        <f>ROUND(IF(AQ19="2",BI19,0),2)</f>
        <v>0</v>
      </c>
      <c r="AH19" s="5">
        <f>ROUND(IF(AQ19="0",BJ19,0),2)</f>
        <v>0</v>
      </c>
      <c r="AI19" s="3" t="s">
        <v>47</v>
      </c>
      <c r="AJ19" s="5">
        <f>IF(AN19=0,J19,0)</f>
        <v>0</v>
      </c>
      <c r="AK19" s="5">
        <f>IF(AN19=12,J19,0)</f>
        <v>0</v>
      </c>
      <c r="AL19" s="5">
        <f>IF(AN19=21,J19,0)</f>
        <v>0</v>
      </c>
      <c r="AN19" s="5">
        <v>21</v>
      </c>
      <c r="AO19" s="5">
        <f>G19*0.912448847</f>
        <v>0</v>
      </c>
      <c r="AP19" s="5">
        <f>G19*(1-0.912448847)</f>
        <v>0</v>
      </c>
      <c r="AQ19" s="6" t="s">
        <v>50</v>
      </c>
      <c r="AV19" s="5">
        <f>ROUND(AW19+AX19,2)</f>
        <v>0</v>
      </c>
      <c r="AW19" s="5">
        <f>ROUND(F19*AO19,2)</f>
        <v>0</v>
      </c>
      <c r="AX19" s="5">
        <f>ROUND(F19*AP19,2)</f>
        <v>0</v>
      </c>
      <c r="AY19" s="6" t="s">
        <v>76</v>
      </c>
      <c r="AZ19" s="6" t="s">
        <v>77</v>
      </c>
      <c r="BA19" s="3" t="s">
        <v>57</v>
      </c>
      <c r="BC19" s="5">
        <f>AW19+AX19</f>
        <v>0</v>
      </c>
      <c r="BD19" s="5">
        <f>G19/(100-BE19)*100</f>
        <v>0</v>
      </c>
      <c r="BE19" s="5">
        <v>0</v>
      </c>
      <c r="BF19" s="5">
        <f>19</f>
        <v>19</v>
      </c>
      <c r="BH19" s="5">
        <f>F19*AO19</f>
        <v>0</v>
      </c>
      <c r="BI19" s="5">
        <f>F19*AP19</f>
        <v>0</v>
      </c>
      <c r="BJ19" s="5">
        <f>F19*G19</f>
        <v>0</v>
      </c>
      <c r="BK19" s="6" t="s">
        <v>58</v>
      </c>
      <c r="BL19" s="5">
        <v>27</v>
      </c>
      <c r="BW19" s="5">
        <v>21</v>
      </c>
      <c r="BX19" s="2" t="s">
        <v>75</v>
      </c>
    </row>
    <row r="20" spans="1:76" x14ac:dyDescent="0.25">
      <c r="A20" s="149" t="s">
        <v>78</v>
      </c>
      <c r="B20" s="150" t="s">
        <v>79</v>
      </c>
      <c r="C20" s="121" t="s">
        <v>80</v>
      </c>
      <c r="D20" s="116"/>
      <c r="E20" s="150" t="s">
        <v>53</v>
      </c>
      <c r="F20" s="151">
        <v>8.8000000000000007</v>
      </c>
      <c r="G20" s="21">
        <v>0</v>
      </c>
      <c r="H20" s="151">
        <f>ROUND(F20*AO20,2)</f>
        <v>0</v>
      </c>
      <c r="I20" s="151">
        <f>ROUND(F20*AP20,2)</f>
        <v>0</v>
      </c>
      <c r="J20" s="151">
        <f>ROUND(F20*G20,2)</f>
        <v>0</v>
      </c>
      <c r="K20" s="152" t="s">
        <v>54</v>
      </c>
      <c r="Z20" s="5">
        <f>ROUND(IF(AQ20="5",BJ20,0),2)</f>
        <v>0</v>
      </c>
      <c r="AB20" s="5">
        <f>ROUND(IF(AQ20="1",BH20,0),2)</f>
        <v>0</v>
      </c>
      <c r="AC20" s="5">
        <f>ROUND(IF(AQ20="1",BI20,0),2)</f>
        <v>0</v>
      </c>
      <c r="AD20" s="5">
        <f>ROUND(IF(AQ20="7",BH20,0),2)</f>
        <v>0</v>
      </c>
      <c r="AE20" s="5">
        <f>ROUND(IF(AQ20="7",BI20,0),2)</f>
        <v>0</v>
      </c>
      <c r="AF20" s="5">
        <f>ROUND(IF(AQ20="2",BH20,0),2)</f>
        <v>0</v>
      </c>
      <c r="AG20" s="5">
        <f>ROUND(IF(AQ20="2",BI20,0),2)</f>
        <v>0</v>
      </c>
      <c r="AH20" s="5">
        <f>ROUND(IF(AQ20="0",BJ20,0),2)</f>
        <v>0</v>
      </c>
      <c r="AI20" s="3" t="s">
        <v>47</v>
      </c>
      <c r="AJ20" s="5">
        <f>IF(AN20=0,J20,0)</f>
        <v>0</v>
      </c>
      <c r="AK20" s="5">
        <f>IF(AN20=12,J20,0)</f>
        <v>0</v>
      </c>
      <c r="AL20" s="5">
        <f>IF(AN20=21,J20,0)</f>
        <v>0</v>
      </c>
      <c r="AN20" s="5">
        <v>21</v>
      </c>
      <c r="AO20" s="5">
        <f>G20*0.912448954</f>
        <v>0</v>
      </c>
      <c r="AP20" s="5">
        <f>G20*(1-0.912448954)</f>
        <v>0</v>
      </c>
      <c r="AQ20" s="6" t="s">
        <v>50</v>
      </c>
      <c r="AV20" s="5">
        <f>ROUND(AW20+AX20,2)</f>
        <v>0</v>
      </c>
      <c r="AW20" s="5">
        <f>ROUND(F20*AO20,2)</f>
        <v>0</v>
      </c>
      <c r="AX20" s="5">
        <f>ROUND(F20*AP20,2)</f>
        <v>0</v>
      </c>
      <c r="AY20" s="6" t="s">
        <v>76</v>
      </c>
      <c r="AZ20" s="6" t="s">
        <v>77</v>
      </c>
      <c r="BA20" s="3" t="s">
        <v>57</v>
      </c>
      <c r="BC20" s="5">
        <f>AW20+AX20</f>
        <v>0</v>
      </c>
      <c r="BD20" s="5">
        <f>G20/(100-BE20)*100</f>
        <v>0</v>
      </c>
      <c r="BE20" s="5">
        <v>0</v>
      </c>
      <c r="BF20" s="5">
        <f>20</f>
        <v>20</v>
      </c>
      <c r="BH20" s="5">
        <f>F20*AO20</f>
        <v>0</v>
      </c>
      <c r="BI20" s="5">
        <f>F20*AP20</f>
        <v>0</v>
      </c>
      <c r="BJ20" s="5">
        <f>F20*G20</f>
        <v>0</v>
      </c>
      <c r="BK20" s="6" t="s">
        <v>58</v>
      </c>
      <c r="BL20" s="5">
        <v>27</v>
      </c>
      <c r="BW20" s="5">
        <v>21</v>
      </c>
      <c r="BX20" s="2" t="s">
        <v>80</v>
      </c>
    </row>
    <row r="21" spans="1:76" x14ac:dyDescent="0.25">
      <c r="A21" s="141" t="s">
        <v>47</v>
      </c>
      <c r="B21" s="153" t="s">
        <v>81</v>
      </c>
      <c r="C21" s="154" t="s">
        <v>82</v>
      </c>
      <c r="D21" s="155"/>
      <c r="E21" s="156" t="s">
        <v>4</v>
      </c>
      <c r="F21" s="156" t="s">
        <v>4</v>
      </c>
      <c r="G21" s="157" t="s">
        <v>4</v>
      </c>
      <c r="H21" s="158">
        <f>ROUND(SUM(H22:H25),2)</f>
        <v>0</v>
      </c>
      <c r="I21" s="158">
        <f>ROUND(SUM(I22:I25),2)</f>
        <v>0</v>
      </c>
      <c r="J21" s="158">
        <f>ROUND(SUM(J22:J25),2)</f>
        <v>0</v>
      </c>
      <c r="K21" s="148" t="s">
        <v>47</v>
      </c>
      <c r="AI21" s="3" t="s">
        <v>47</v>
      </c>
      <c r="AS21" s="1">
        <f>SUM(AJ22:AJ25)</f>
        <v>0</v>
      </c>
      <c r="AT21" s="1">
        <f>SUM(AK22:AK25)</f>
        <v>0</v>
      </c>
      <c r="AU21" s="1">
        <f>SUM(AL22:AL25)</f>
        <v>0</v>
      </c>
    </row>
    <row r="22" spans="1:76" x14ac:dyDescent="0.25">
      <c r="A22" s="149" t="s">
        <v>83</v>
      </c>
      <c r="B22" s="150" t="s">
        <v>84</v>
      </c>
      <c r="C22" s="121" t="s">
        <v>85</v>
      </c>
      <c r="D22" s="116"/>
      <c r="E22" s="150" t="s">
        <v>86</v>
      </c>
      <c r="F22" s="151">
        <v>1.71</v>
      </c>
      <c r="G22" s="21">
        <v>0</v>
      </c>
      <c r="H22" s="151">
        <f>ROUND(F22*AO22,2)</f>
        <v>0</v>
      </c>
      <c r="I22" s="151">
        <f>ROUND(F22*AP22,2)</f>
        <v>0</v>
      </c>
      <c r="J22" s="151">
        <f>ROUND(F22*G22,2)</f>
        <v>0</v>
      </c>
      <c r="K22" s="152" t="s">
        <v>54</v>
      </c>
      <c r="Z22" s="5">
        <f>ROUND(IF(AQ22="5",BJ22,0),2)</f>
        <v>0</v>
      </c>
      <c r="AB22" s="5">
        <f>ROUND(IF(AQ22="1",BH22,0),2)</f>
        <v>0</v>
      </c>
      <c r="AC22" s="5">
        <f>ROUND(IF(AQ22="1",BI22,0),2)</f>
        <v>0</v>
      </c>
      <c r="AD22" s="5">
        <f>ROUND(IF(AQ22="7",BH22,0),2)</f>
        <v>0</v>
      </c>
      <c r="AE22" s="5">
        <f>ROUND(IF(AQ22="7",BI22,0),2)</f>
        <v>0</v>
      </c>
      <c r="AF22" s="5">
        <f>ROUND(IF(AQ22="2",BH22,0),2)</f>
        <v>0</v>
      </c>
      <c r="AG22" s="5">
        <f>ROUND(IF(AQ22="2",BI22,0),2)</f>
        <v>0</v>
      </c>
      <c r="AH22" s="5">
        <f>ROUND(IF(AQ22="0",BJ22,0),2)</f>
        <v>0</v>
      </c>
      <c r="AI22" s="3" t="s">
        <v>47</v>
      </c>
      <c r="AJ22" s="5">
        <f>IF(AN22=0,J22,0)</f>
        <v>0</v>
      </c>
      <c r="AK22" s="5">
        <f>IF(AN22=12,J22,0)</f>
        <v>0</v>
      </c>
      <c r="AL22" s="5">
        <f>IF(AN22=21,J22,0)</f>
        <v>0</v>
      </c>
      <c r="AN22" s="5">
        <v>21</v>
      </c>
      <c r="AO22" s="5">
        <f>G22*0.001149873</f>
        <v>0</v>
      </c>
      <c r="AP22" s="5">
        <f>G22*(1-0.001149873)</f>
        <v>0</v>
      </c>
      <c r="AQ22" s="6" t="s">
        <v>50</v>
      </c>
      <c r="AV22" s="5">
        <f>ROUND(AW22+AX22,2)</f>
        <v>0</v>
      </c>
      <c r="AW22" s="5">
        <f>ROUND(F22*AO22,2)</f>
        <v>0</v>
      </c>
      <c r="AX22" s="5">
        <f>ROUND(F22*AP22,2)</f>
        <v>0</v>
      </c>
      <c r="AY22" s="6" t="s">
        <v>87</v>
      </c>
      <c r="AZ22" s="6" t="s">
        <v>88</v>
      </c>
      <c r="BA22" s="3" t="s">
        <v>57</v>
      </c>
      <c r="BC22" s="5">
        <f>AW22+AX22</f>
        <v>0</v>
      </c>
      <c r="BD22" s="5">
        <f>G22/(100-BE22)*100</f>
        <v>0</v>
      </c>
      <c r="BE22" s="5">
        <v>0</v>
      </c>
      <c r="BF22" s="5">
        <f>22</f>
        <v>22</v>
      </c>
      <c r="BH22" s="5">
        <f>F22*AO22</f>
        <v>0</v>
      </c>
      <c r="BI22" s="5">
        <f>F22*AP22</f>
        <v>0</v>
      </c>
      <c r="BJ22" s="5">
        <f>F22*G22</f>
        <v>0</v>
      </c>
      <c r="BK22" s="6" t="s">
        <v>58</v>
      </c>
      <c r="BL22" s="5">
        <v>31</v>
      </c>
      <c r="BW22" s="5">
        <v>21</v>
      </c>
      <c r="BX22" s="2" t="s">
        <v>85</v>
      </c>
    </row>
    <row r="23" spans="1:76" x14ac:dyDescent="0.25">
      <c r="A23" s="149" t="s">
        <v>89</v>
      </c>
      <c r="B23" s="150" t="s">
        <v>90</v>
      </c>
      <c r="C23" s="121" t="s">
        <v>91</v>
      </c>
      <c r="D23" s="116"/>
      <c r="E23" s="150" t="s">
        <v>86</v>
      </c>
      <c r="F23" s="151">
        <v>14.98</v>
      </c>
      <c r="G23" s="21">
        <v>0</v>
      </c>
      <c r="H23" s="151">
        <f>ROUND(F23*AO23,2)</f>
        <v>0</v>
      </c>
      <c r="I23" s="151">
        <f>ROUND(F23*AP23,2)</f>
        <v>0</v>
      </c>
      <c r="J23" s="151">
        <f>ROUND(F23*G23,2)</f>
        <v>0</v>
      </c>
      <c r="K23" s="152" t="s">
        <v>54</v>
      </c>
      <c r="Z23" s="5">
        <f>ROUND(IF(AQ23="5",BJ23,0),2)</f>
        <v>0</v>
      </c>
      <c r="AB23" s="5">
        <f>ROUND(IF(AQ23="1",BH23,0),2)</f>
        <v>0</v>
      </c>
      <c r="AC23" s="5">
        <f>ROUND(IF(AQ23="1",BI23,0),2)</f>
        <v>0</v>
      </c>
      <c r="AD23" s="5">
        <f>ROUND(IF(AQ23="7",BH23,0),2)</f>
        <v>0</v>
      </c>
      <c r="AE23" s="5">
        <f>ROUND(IF(AQ23="7",BI23,0),2)</f>
        <v>0</v>
      </c>
      <c r="AF23" s="5">
        <f>ROUND(IF(AQ23="2",BH23,0),2)</f>
        <v>0</v>
      </c>
      <c r="AG23" s="5">
        <f>ROUND(IF(AQ23="2",BI23,0),2)</f>
        <v>0</v>
      </c>
      <c r="AH23" s="5">
        <f>ROUND(IF(AQ23="0",BJ23,0),2)</f>
        <v>0</v>
      </c>
      <c r="AI23" s="3" t="s">
        <v>47</v>
      </c>
      <c r="AJ23" s="5">
        <f>IF(AN23=0,J23,0)</f>
        <v>0</v>
      </c>
      <c r="AK23" s="5">
        <f>IF(AN23=12,J23,0)</f>
        <v>0</v>
      </c>
      <c r="AL23" s="5">
        <f>IF(AN23=21,J23,0)</f>
        <v>0</v>
      </c>
      <c r="AN23" s="5">
        <v>21</v>
      </c>
      <c r="AO23" s="5">
        <f>G23*0.001507884</f>
        <v>0</v>
      </c>
      <c r="AP23" s="5">
        <f>G23*(1-0.001507884)</f>
        <v>0</v>
      </c>
      <c r="AQ23" s="6" t="s">
        <v>50</v>
      </c>
      <c r="AV23" s="5">
        <f>ROUND(AW23+AX23,2)</f>
        <v>0</v>
      </c>
      <c r="AW23" s="5">
        <f>ROUND(F23*AO23,2)</f>
        <v>0</v>
      </c>
      <c r="AX23" s="5">
        <f>ROUND(F23*AP23,2)</f>
        <v>0</v>
      </c>
      <c r="AY23" s="6" t="s">
        <v>87</v>
      </c>
      <c r="AZ23" s="6" t="s">
        <v>88</v>
      </c>
      <c r="BA23" s="3" t="s">
        <v>57</v>
      </c>
      <c r="BC23" s="5">
        <f>AW23+AX23</f>
        <v>0</v>
      </c>
      <c r="BD23" s="5">
        <f>G23/(100-BE23)*100</f>
        <v>0</v>
      </c>
      <c r="BE23" s="5">
        <v>0</v>
      </c>
      <c r="BF23" s="5">
        <f>23</f>
        <v>23</v>
      </c>
      <c r="BH23" s="5">
        <f>F23*AO23</f>
        <v>0</v>
      </c>
      <c r="BI23" s="5">
        <f>F23*AP23</f>
        <v>0</v>
      </c>
      <c r="BJ23" s="5">
        <f>F23*G23</f>
        <v>0</v>
      </c>
      <c r="BK23" s="6" t="s">
        <v>58</v>
      </c>
      <c r="BL23" s="5">
        <v>31</v>
      </c>
      <c r="BW23" s="5">
        <v>21</v>
      </c>
      <c r="BX23" s="2" t="s">
        <v>91</v>
      </c>
    </row>
    <row r="24" spans="1:76" x14ac:dyDescent="0.25">
      <c r="A24" s="149" t="s">
        <v>92</v>
      </c>
      <c r="B24" s="150" t="s">
        <v>93</v>
      </c>
      <c r="C24" s="121" t="s">
        <v>94</v>
      </c>
      <c r="D24" s="116"/>
      <c r="E24" s="150" t="s">
        <v>86</v>
      </c>
      <c r="F24" s="151">
        <v>0.65</v>
      </c>
      <c r="G24" s="21">
        <v>0</v>
      </c>
      <c r="H24" s="151">
        <f>ROUND(F24*AO24,2)</f>
        <v>0</v>
      </c>
      <c r="I24" s="151">
        <f>ROUND(F24*AP24,2)</f>
        <v>0</v>
      </c>
      <c r="J24" s="151">
        <f>ROUND(F24*G24,2)</f>
        <v>0</v>
      </c>
      <c r="K24" s="152" t="s">
        <v>54</v>
      </c>
      <c r="Z24" s="5">
        <f>ROUND(IF(AQ24="5",BJ24,0),2)</f>
        <v>0</v>
      </c>
      <c r="AB24" s="5">
        <f>ROUND(IF(AQ24="1",BH24,0),2)</f>
        <v>0</v>
      </c>
      <c r="AC24" s="5">
        <f>ROUND(IF(AQ24="1",BI24,0),2)</f>
        <v>0</v>
      </c>
      <c r="AD24" s="5">
        <f>ROUND(IF(AQ24="7",BH24,0),2)</f>
        <v>0</v>
      </c>
      <c r="AE24" s="5">
        <f>ROUND(IF(AQ24="7",BI24,0),2)</f>
        <v>0</v>
      </c>
      <c r="AF24" s="5">
        <f>ROUND(IF(AQ24="2",BH24,0),2)</f>
        <v>0</v>
      </c>
      <c r="AG24" s="5">
        <f>ROUND(IF(AQ24="2",BI24,0),2)</f>
        <v>0</v>
      </c>
      <c r="AH24" s="5">
        <f>ROUND(IF(AQ24="0",BJ24,0),2)</f>
        <v>0</v>
      </c>
      <c r="AI24" s="3" t="s">
        <v>47</v>
      </c>
      <c r="AJ24" s="5">
        <f>IF(AN24=0,J24,0)</f>
        <v>0</v>
      </c>
      <c r="AK24" s="5">
        <f>IF(AN24=12,J24,0)</f>
        <v>0</v>
      </c>
      <c r="AL24" s="5">
        <f>IF(AN24=21,J24,0)</f>
        <v>0</v>
      </c>
      <c r="AN24" s="5">
        <v>21</v>
      </c>
      <c r="AO24" s="5">
        <f>G24*0.660663574</f>
        <v>0</v>
      </c>
      <c r="AP24" s="5">
        <f>G24*(1-0.660663574)</f>
        <v>0</v>
      </c>
      <c r="AQ24" s="6" t="s">
        <v>50</v>
      </c>
      <c r="AV24" s="5">
        <f>ROUND(AW24+AX24,2)</f>
        <v>0</v>
      </c>
      <c r="AW24" s="5">
        <f>ROUND(F24*AO24,2)</f>
        <v>0</v>
      </c>
      <c r="AX24" s="5">
        <f>ROUND(F24*AP24,2)</f>
        <v>0</v>
      </c>
      <c r="AY24" s="6" t="s">
        <v>87</v>
      </c>
      <c r="AZ24" s="6" t="s">
        <v>88</v>
      </c>
      <c r="BA24" s="3" t="s">
        <v>57</v>
      </c>
      <c r="BC24" s="5">
        <f>AW24+AX24</f>
        <v>0</v>
      </c>
      <c r="BD24" s="5">
        <f>G24/(100-BE24)*100</f>
        <v>0</v>
      </c>
      <c r="BE24" s="5">
        <v>0</v>
      </c>
      <c r="BF24" s="5">
        <f>24</f>
        <v>24</v>
      </c>
      <c r="BH24" s="5">
        <f>F24*AO24</f>
        <v>0</v>
      </c>
      <c r="BI24" s="5">
        <f>F24*AP24</f>
        <v>0</v>
      </c>
      <c r="BJ24" s="5">
        <f>F24*G24</f>
        <v>0</v>
      </c>
      <c r="BK24" s="6" t="s">
        <v>58</v>
      </c>
      <c r="BL24" s="5">
        <v>31</v>
      </c>
      <c r="BW24" s="5">
        <v>21</v>
      </c>
      <c r="BX24" s="2" t="s">
        <v>94</v>
      </c>
    </row>
    <row r="25" spans="1:76" ht="24.75" customHeight="1" x14ac:dyDescent="0.25">
      <c r="A25" s="149" t="s">
        <v>95</v>
      </c>
      <c r="B25" s="150" t="s">
        <v>96</v>
      </c>
      <c r="C25" s="121" t="s">
        <v>97</v>
      </c>
      <c r="D25" s="116"/>
      <c r="E25" s="150" t="s">
        <v>98</v>
      </c>
      <c r="F25" s="151">
        <v>110.58</v>
      </c>
      <c r="G25" s="21">
        <v>0</v>
      </c>
      <c r="H25" s="151">
        <f>ROUND(F25*AO25,2)</f>
        <v>0</v>
      </c>
      <c r="I25" s="151">
        <f>ROUND(F25*AP25,2)</f>
        <v>0</v>
      </c>
      <c r="J25" s="151">
        <f>ROUND(F25*G25,2)</f>
        <v>0</v>
      </c>
      <c r="K25" s="152" t="s">
        <v>54</v>
      </c>
      <c r="Z25" s="5">
        <f>ROUND(IF(AQ25="5",BJ25,0),2)</f>
        <v>0</v>
      </c>
      <c r="AB25" s="5">
        <f>ROUND(IF(AQ25="1",BH25,0),2)</f>
        <v>0</v>
      </c>
      <c r="AC25" s="5">
        <f>ROUND(IF(AQ25="1",BI25,0),2)</f>
        <v>0</v>
      </c>
      <c r="AD25" s="5">
        <f>ROUND(IF(AQ25="7",BH25,0),2)</f>
        <v>0</v>
      </c>
      <c r="AE25" s="5">
        <f>ROUND(IF(AQ25="7",BI25,0),2)</f>
        <v>0</v>
      </c>
      <c r="AF25" s="5">
        <f>ROUND(IF(AQ25="2",BH25,0),2)</f>
        <v>0</v>
      </c>
      <c r="AG25" s="5">
        <f>ROUND(IF(AQ25="2",BI25,0),2)</f>
        <v>0</v>
      </c>
      <c r="AH25" s="5">
        <f>ROUND(IF(AQ25="0",BJ25,0),2)</f>
        <v>0</v>
      </c>
      <c r="AI25" s="3" t="s">
        <v>47</v>
      </c>
      <c r="AJ25" s="5">
        <f>IF(AN25=0,J25,0)</f>
        <v>0</v>
      </c>
      <c r="AK25" s="5">
        <f>IF(AN25=12,J25,0)</f>
        <v>0</v>
      </c>
      <c r="AL25" s="5">
        <f>IF(AN25=21,J25,0)</f>
        <v>0</v>
      </c>
      <c r="AN25" s="5">
        <v>21</v>
      </c>
      <c r="AO25" s="5">
        <f>G25*0.716407764</f>
        <v>0</v>
      </c>
      <c r="AP25" s="5">
        <f>G25*(1-0.716407764)</f>
        <v>0</v>
      </c>
      <c r="AQ25" s="6" t="s">
        <v>50</v>
      </c>
      <c r="AV25" s="5">
        <f>ROUND(AW25+AX25,2)</f>
        <v>0</v>
      </c>
      <c r="AW25" s="5">
        <f>ROUND(F25*AO25,2)</f>
        <v>0</v>
      </c>
      <c r="AX25" s="5">
        <f>ROUND(F25*AP25,2)</f>
        <v>0</v>
      </c>
      <c r="AY25" s="6" t="s">
        <v>87</v>
      </c>
      <c r="AZ25" s="6" t="s">
        <v>88</v>
      </c>
      <c r="BA25" s="3" t="s">
        <v>57</v>
      </c>
      <c r="BC25" s="5">
        <f>AW25+AX25</f>
        <v>0</v>
      </c>
      <c r="BD25" s="5">
        <f>G25/(100-BE25)*100</f>
        <v>0</v>
      </c>
      <c r="BE25" s="5">
        <v>0</v>
      </c>
      <c r="BF25" s="5">
        <f>25</f>
        <v>25</v>
      </c>
      <c r="BH25" s="5">
        <f>F25*AO25</f>
        <v>0</v>
      </c>
      <c r="BI25" s="5">
        <f>F25*AP25</f>
        <v>0</v>
      </c>
      <c r="BJ25" s="5">
        <f>F25*G25</f>
        <v>0</v>
      </c>
      <c r="BK25" s="6" t="s">
        <v>58</v>
      </c>
      <c r="BL25" s="5">
        <v>31</v>
      </c>
      <c r="BW25" s="5">
        <v>21</v>
      </c>
      <c r="BX25" s="2" t="s">
        <v>99</v>
      </c>
    </row>
    <row r="26" spans="1:76" x14ac:dyDescent="0.25">
      <c r="A26" s="141" t="s">
        <v>47</v>
      </c>
      <c r="B26" s="153" t="s">
        <v>100</v>
      </c>
      <c r="C26" s="154" t="s">
        <v>101</v>
      </c>
      <c r="D26" s="155"/>
      <c r="E26" s="156" t="s">
        <v>4</v>
      </c>
      <c r="F26" s="156" t="s">
        <v>4</v>
      </c>
      <c r="G26" s="157" t="s">
        <v>4</v>
      </c>
      <c r="H26" s="158">
        <f>ROUND(SUM(H27:H27),2)</f>
        <v>0</v>
      </c>
      <c r="I26" s="158">
        <f>ROUND(SUM(I27:I27),2)</f>
        <v>0</v>
      </c>
      <c r="J26" s="158">
        <f>ROUND(SUM(J27:J27),2)</f>
        <v>0</v>
      </c>
      <c r="K26" s="148" t="s">
        <v>47</v>
      </c>
      <c r="AI26" s="3" t="s">
        <v>47</v>
      </c>
      <c r="AS26" s="1">
        <f>SUM(AJ27:AJ27)</f>
        <v>0</v>
      </c>
      <c r="AT26" s="1">
        <f>SUM(AK27:AK27)</f>
        <v>0</v>
      </c>
      <c r="AU26" s="1">
        <f>SUM(AL27:AL27)</f>
        <v>0</v>
      </c>
    </row>
    <row r="27" spans="1:76" x14ac:dyDescent="0.25">
      <c r="A27" s="149" t="s">
        <v>102</v>
      </c>
      <c r="B27" s="150" t="s">
        <v>103</v>
      </c>
      <c r="C27" s="121" t="s">
        <v>104</v>
      </c>
      <c r="D27" s="116"/>
      <c r="E27" s="150" t="s">
        <v>105</v>
      </c>
      <c r="F27" s="151">
        <v>50</v>
      </c>
      <c r="G27" s="21">
        <v>0</v>
      </c>
      <c r="H27" s="151">
        <f>ROUND(F27*AO27,2)</f>
        <v>0</v>
      </c>
      <c r="I27" s="151">
        <f>ROUND(F27*AP27,2)</f>
        <v>0</v>
      </c>
      <c r="J27" s="151">
        <f>ROUND(F27*G27,2)</f>
        <v>0</v>
      </c>
      <c r="K27" s="152" t="s">
        <v>54</v>
      </c>
      <c r="Z27" s="5">
        <f>ROUND(IF(AQ27="5",BJ27,0),2)</f>
        <v>0</v>
      </c>
      <c r="AB27" s="5">
        <f>ROUND(IF(AQ27="1",BH27,0),2)</f>
        <v>0</v>
      </c>
      <c r="AC27" s="5">
        <f>ROUND(IF(AQ27="1",BI27,0),2)</f>
        <v>0</v>
      </c>
      <c r="AD27" s="5">
        <f>ROUND(IF(AQ27="7",BH27,0),2)</f>
        <v>0</v>
      </c>
      <c r="AE27" s="5">
        <f>ROUND(IF(AQ27="7",BI27,0),2)</f>
        <v>0</v>
      </c>
      <c r="AF27" s="5">
        <f>ROUND(IF(AQ27="2",BH27,0),2)</f>
        <v>0</v>
      </c>
      <c r="AG27" s="5">
        <f>ROUND(IF(AQ27="2",BI27,0),2)</f>
        <v>0</v>
      </c>
      <c r="AH27" s="5">
        <f>ROUND(IF(AQ27="0",BJ27,0),2)</f>
        <v>0</v>
      </c>
      <c r="AI27" s="3" t="s">
        <v>47</v>
      </c>
      <c r="AJ27" s="5">
        <f>IF(AN27=0,J27,0)</f>
        <v>0</v>
      </c>
      <c r="AK27" s="5">
        <f>IF(AN27=12,J27,0)</f>
        <v>0</v>
      </c>
      <c r="AL27" s="5">
        <f>IF(AN27=21,J27,0)</f>
        <v>0</v>
      </c>
      <c r="AN27" s="5">
        <v>21</v>
      </c>
      <c r="AO27" s="5">
        <f>G27*0.79031787</f>
        <v>0</v>
      </c>
      <c r="AP27" s="5">
        <f>G27*(1-0.79031787)</f>
        <v>0</v>
      </c>
      <c r="AQ27" s="6" t="s">
        <v>50</v>
      </c>
      <c r="AV27" s="5">
        <f>ROUND(AW27+AX27,2)</f>
        <v>0</v>
      </c>
      <c r="AW27" s="5">
        <f>ROUND(F27*AO27,2)</f>
        <v>0</v>
      </c>
      <c r="AX27" s="5">
        <f>ROUND(F27*AP27,2)</f>
        <v>0</v>
      </c>
      <c r="AY27" s="6" t="s">
        <v>106</v>
      </c>
      <c r="AZ27" s="6" t="s">
        <v>88</v>
      </c>
      <c r="BA27" s="3" t="s">
        <v>57</v>
      </c>
      <c r="BC27" s="5">
        <f>AW27+AX27</f>
        <v>0</v>
      </c>
      <c r="BD27" s="5">
        <f>G27/(100-BE27)*100</f>
        <v>0</v>
      </c>
      <c r="BE27" s="5">
        <v>0</v>
      </c>
      <c r="BF27" s="5">
        <f>27</f>
        <v>27</v>
      </c>
      <c r="BH27" s="5">
        <f>F27*AO27</f>
        <v>0</v>
      </c>
      <c r="BI27" s="5">
        <f>F27*AP27</f>
        <v>0</v>
      </c>
      <c r="BJ27" s="5">
        <f>F27*G27</f>
        <v>0</v>
      </c>
      <c r="BK27" s="6" t="s">
        <v>58</v>
      </c>
      <c r="BL27" s="5">
        <v>34</v>
      </c>
      <c r="BW27" s="5">
        <v>21</v>
      </c>
      <c r="BX27" s="2" t="s">
        <v>104</v>
      </c>
    </row>
    <row r="28" spans="1:76" x14ac:dyDescent="0.25">
      <c r="A28" s="141" t="s">
        <v>47</v>
      </c>
      <c r="B28" s="153" t="s">
        <v>107</v>
      </c>
      <c r="C28" s="154" t="s">
        <v>108</v>
      </c>
      <c r="D28" s="155"/>
      <c r="E28" s="156" t="s">
        <v>4</v>
      </c>
      <c r="F28" s="156" t="s">
        <v>4</v>
      </c>
      <c r="G28" s="157" t="s">
        <v>4</v>
      </c>
      <c r="H28" s="158">
        <f>ROUND(SUM(H29:H30),2)</f>
        <v>0</v>
      </c>
      <c r="I28" s="158">
        <f>ROUND(SUM(I29:I30),2)</f>
        <v>0</v>
      </c>
      <c r="J28" s="158">
        <f>ROUND(SUM(J29:J30),2)</f>
        <v>0</v>
      </c>
      <c r="K28" s="148" t="s">
        <v>47</v>
      </c>
      <c r="AI28" s="3" t="s">
        <v>47</v>
      </c>
      <c r="AS28" s="1">
        <f>SUM(AJ29:AJ30)</f>
        <v>0</v>
      </c>
      <c r="AT28" s="1">
        <f>SUM(AK29:AK30)</f>
        <v>0</v>
      </c>
      <c r="AU28" s="1">
        <f>SUM(AL29:AL30)</f>
        <v>0</v>
      </c>
    </row>
    <row r="29" spans="1:76" x14ac:dyDescent="0.25">
      <c r="A29" s="149" t="s">
        <v>109</v>
      </c>
      <c r="B29" s="150" t="s">
        <v>110</v>
      </c>
      <c r="C29" s="121" t="s">
        <v>111</v>
      </c>
      <c r="D29" s="116"/>
      <c r="E29" s="150" t="s">
        <v>98</v>
      </c>
      <c r="F29" s="151">
        <v>42.68</v>
      </c>
      <c r="G29" s="21">
        <v>0</v>
      </c>
      <c r="H29" s="151">
        <f>ROUND(F29*AO29,2)</f>
        <v>0</v>
      </c>
      <c r="I29" s="151">
        <f>ROUND(F29*AP29,2)</f>
        <v>0</v>
      </c>
      <c r="J29" s="151">
        <f>ROUND(F29*G29,2)</f>
        <v>0</v>
      </c>
      <c r="K29" s="152" t="s">
        <v>112</v>
      </c>
      <c r="Z29" s="5">
        <f>ROUND(IF(AQ29="5",BJ29,0),2)</f>
        <v>0</v>
      </c>
      <c r="AB29" s="5">
        <f>ROUND(IF(AQ29="1",BH29,0),2)</f>
        <v>0</v>
      </c>
      <c r="AC29" s="5">
        <f>ROUND(IF(AQ29="1",BI29,0),2)</f>
        <v>0</v>
      </c>
      <c r="AD29" s="5">
        <f>ROUND(IF(AQ29="7",BH29,0),2)</f>
        <v>0</v>
      </c>
      <c r="AE29" s="5">
        <f>ROUND(IF(AQ29="7",BI29,0),2)</f>
        <v>0</v>
      </c>
      <c r="AF29" s="5">
        <f>ROUND(IF(AQ29="2",BH29,0),2)</f>
        <v>0</v>
      </c>
      <c r="AG29" s="5">
        <f>ROUND(IF(AQ29="2",BI29,0),2)</f>
        <v>0</v>
      </c>
      <c r="AH29" s="5">
        <f>ROUND(IF(AQ29="0",BJ29,0),2)</f>
        <v>0</v>
      </c>
      <c r="AI29" s="3" t="s">
        <v>47</v>
      </c>
      <c r="AJ29" s="5">
        <f>IF(AN29=0,J29,0)</f>
        <v>0</v>
      </c>
      <c r="AK29" s="5">
        <f>IF(AN29=12,J29,0)</f>
        <v>0</v>
      </c>
      <c r="AL29" s="5">
        <f>IF(AN29=21,J29,0)</f>
        <v>0</v>
      </c>
      <c r="AN29" s="5">
        <v>21</v>
      </c>
      <c r="AO29" s="5">
        <f>G29*0.580688918</f>
        <v>0</v>
      </c>
      <c r="AP29" s="5">
        <f>G29*(1-0.580688918)</f>
        <v>0</v>
      </c>
      <c r="AQ29" s="6" t="s">
        <v>50</v>
      </c>
      <c r="AV29" s="5">
        <f>ROUND(AW29+AX29,2)</f>
        <v>0</v>
      </c>
      <c r="AW29" s="5">
        <f>ROUND(F29*AO29,2)</f>
        <v>0</v>
      </c>
      <c r="AX29" s="5">
        <f>ROUND(F29*AP29,2)</f>
        <v>0</v>
      </c>
      <c r="AY29" s="6" t="s">
        <v>113</v>
      </c>
      <c r="AZ29" s="6" t="s">
        <v>114</v>
      </c>
      <c r="BA29" s="3" t="s">
        <v>57</v>
      </c>
      <c r="BC29" s="5">
        <f>AW29+AX29</f>
        <v>0</v>
      </c>
      <c r="BD29" s="5">
        <f>G29/(100-BE29)*100</f>
        <v>0</v>
      </c>
      <c r="BE29" s="5">
        <v>0</v>
      </c>
      <c r="BF29" s="5">
        <f>29</f>
        <v>29</v>
      </c>
      <c r="BH29" s="5">
        <f>F29*AO29</f>
        <v>0</v>
      </c>
      <c r="BI29" s="5">
        <f>F29*AP29</f>
        <v>0</v>
      </c>
      <c r="BJ29" s="5">
        <f>F29*G29</f>
        <v>0</v>
      </c>
      <c r="BK29" s="6" t="s">
        <v>58</v>
      </c>
      <c r="BL29" s="5">
        <v>57</v>
      </c>
      <c r="BW29" s="5">
        <v>21</v>
      </c>
      <c r="BX29" s="2" t="s">
        <v>115</v>
      </c>
    </row>
    <row r="30" spans="1:76" x14ac:dyDescent="0.25">
      <c r="A30" s="149" t="s">
        <v>48</v>
      </c>
      <c r="B30" s="150" t="s">
        <v>116</v>
      </c>
      <c r="C30" s="121" t="s">
        <v>117</v>
      </c>
      <c r="D30" s="116"/>
      <c r="E30" s="150" t="s">
        <v>98</v>
      </c>
      <c r="F30" s="151">
        <v>42.68</v>
      </c>
      <c r="G30" s="21">
        <v>0</v>
      </c>
      <c r="H30" s="151">
        <f>ROUND(F30*AO30,2)</f>
        <v>0</v>
      </c>
      <c r="I30" s="151">
        <f>ROUND(F30*AP30,2)</f>
        <v>0</v>
      </c>
      <c r="J30" s="151">
        <f>ROUND(F30*G30,2)</f>
        <v>0</v>
      </c>
      <c r="K30" s="152" t="s">
        <v>54</v>
      </c>
      <c r="Z30" s="5">
        <f>ROUND(IF(AQ30="5",BJ30,0),2)</f>
        <v>0</v>
      </c>
      <c r="AB30" s="5">
        <f>ROUND(IF(AQ30="1",BH30,0),2)</f>
        <v>0</v>
      </c>
      <c r="AC30" s="5">
        <f>ROUND(IF(AQ30="1",BI30,0),2)</f>
        <v>0</v>
      </c>
      <c r="AD30" s="5">
        <f>ROUND(IF(AQ30="7",BH30,0),2)</f>
        <v>0</v>
      </c>
      <c r="AE30" s="5">
        <f>ROUND(IF(AQ30="7",BI30,0),2)</f>
        <v>0</v>
      </c>
      <c r="AF30" s="5">
        <f>ROUND(IF(AQ30="2",BH30,0),2)</f>
        <v>0</v>
      </c>
      <c r="AG30" s="5">
        <f>ROUND(IF(AQ30="2",BI30,0),2)</f>
        <v>0</v>
      </c>
      <c r="AH30" s="5">
        <f>ROUND(IF(AQ30="0",BJ30,0),2)</f>
        <v>0</v>
      </c>
      <c r="AI30" s="3" t="s">
        <v>47</v>
      </c>
      <c r="AJ30" s="5">
        <f>IF(AN30=0,J30,0)</f>
        <v>0</v>
      </c>
      <c r="AK30" s="5">
        <f>IF(AN30=12,J30,0)</f>
        <v>0</v>
      </c>
      <c r="AL30" s="5">
        <f>IF(AN30=21,J30,0)</f>
        <v>0</v>
      </c>
      <c r="AN30" s="5">
        <v>21</v>
      </c>
      <c r="AO30" s="5">
        <f>G30*0.872133197</f>
        <v>0</v>
      </c>
      <c r="AP30" s="5">
        <f>G30*(1-0.872133197)</f>
        <v>0</v>
      </c>
      <c r="AQ30" s="6" t="s">
        <v>50</v>
      </c>
      <c r="AV30" s="5">
        <f>ROUND(AW30+AX30,2)</f>
        <v>0</v>
      </c>
      <c r="AW30" s="5">
        <f>ROUND(F30*AO30,2)</f>
        <v>0</v>
      </c>
      <c r="AX30" s="5">
        <f>ROUND(F30*AP30,2)</f>
        <v>0</v>
      </c>
      <c r="AY30" s="6" t="s">
        <v>113</v>
      </c>
      <c r="AZ30" s="6" t="s">
        <v>114</v>
      </c>
      <c r="BA30" s="3" t="s">
        <v>57</v>
      </c>
      <c r="BC30" s="5">
        <f>AW30+AX30</f>
        <v>0</v>
      </c>
      <c r="BD30" s="5">
        <f>G30/(100-BE30)*100</f>
        <v>0</v>
      </c>
      <c r="BE30" s="5">
        <v>0</v>
      </c>
      <c r="BF30" s="5">
        <f>30</f>
        <v>30</v>
      </c>
      <c r="BH30" s="5">
        <f>F30*AO30</f>
        <v>0</v>
      </c>
      <c r="BI30" s="5">
        <f>F30*AP30</f>
        <v>0</v>
      </c>
      <c r="BJ30" s="5">
        <f>F30*G30</f>
        <v>0</v>
      </c>
      <c r="BK30" s="6" t="s">
        <v>58</v>
      </c>
      <c r="BL30" s="5">
        <v>57</v>
      </c>
      <c r="BW30" s="5">
        <v>21</v>
      </c>
      <c r="BX30" s="2" t="s">
        <v>117</v>
      </c>
    </row>
    <row r="31" spans="1:76" x14ac:dyDescent="0.25">
      <c r="A31" s="141" t="s">
        <v>47</v>
      </c>
      <c r="B31" s="153" t="s">
        <v>118</v>
      </c>
      <c r="C31" s="154" t="s">
        <v>119</v>
      </c>
      <c r="D31" s="155"/>
      <c r="E31" s="156" t="s">
        <v>4</v>
      </c>
      <c r="F31" s="156" t="s">
        <v>4</v>
      </c>
      <c r="G31" s="157" t="s">
        <v>4</v>
      </c>
      <c r="H31" s="158">
        <f>ROUND(SUM(H32:H36),2)</f>
        <v>0</v>
      </c>
      <c r="I31" s="158">
        <f>ROUND(SUM(I32:I36),2)</f>
        <v>0</v>
      </c>
      <c r="J31" s="158">
        <f>ROUND(SUM(J32:J36),2)</f>
        <v>0</v>
      </c>
      <c r="K31" s="148" t="s">
        <v>47</v>
      </c>
      <c r="AI31" s="3" t="s">
        <v>47</v>
      </c>
      <c r="AS31" s="1">
        <f>SUM(AJ32:AJ36)</f>
        <v>0</v>
      </c>
      <c r="AT31" s="1">
        <f>SUM(AK32:AK36)</f>
        <v>0</v>
      </c>
      <c r="AU31" s="1">
        <f>SUM(AL32:AL36)</f>
        <v>0</v>
      </c>
    </row>
    <row r="32" spans="1:76" x14ac:dyDescent="0.25">
      <c r="A32" s="149" t="s">
        <v>120</v>
      </c>
      <c r="B32" s="150" t="s">
        <v>121</v>
      </c>
      <c r="C32" s="121" t="s">
        <v>122</v>
      </c>
      <c r="D32" s="116"/>
      <c r="E32" s="150" t="s">
        <v>98</v>
      </c>
      <c r="F32" s="151">
        <v>779.1</v>
      </c>
      <c r="G32" s="21">
        <v>0</v>
      </c>
      <c r="H32" s="151">
        <f>ROUND(F32*AO32,2)</f>
        <v>0</v>
      </c>
      <c r="I32" s="151">
        <f>ROUND(F32*AP32,2)</f>
        <v>0</v>
      </c>
      <c r="J32" s="151">
        <f>ROUND(F32*G32,2)</f>
        <v>0</v>
      </c>
      <c r="K32" s="152" t="s">
        <v>54</v>
      </c>
      <c r="Z32" s="5">
        <f>ROUND(IF(AQ32="5",BJ32,0),2)</f>
        <v>0</v>
      </c>
      <c r="AB32" s="5">
        <f>ROUND(IF(AQ32="1",BH32,0),2)</f>
        <v>0</v>
      </c>
      <c r="AC32" s="5">
        <f>ROUND(IF(AQ32="1",BI32,0),2)</f>
        <v>0</v>
      </c>
      <c r="AD32" s="5">
        <f>ROUND(IF(AQ32="7",BH32,0),2)</f>
        <v>0</v>
      </c>
      <c r="AE32" s="5">
        <f>ROUND(IF(AQ32="7",BI32,0),2)</f>
        <v>0</v>
      </c>
      <c r="AF32" s="5">
        <f>ROUND(IF(AQ32="2",BH32,0),2)</f>
        <v>0</v>
      </c>
      <c r="AG32" s="5">
        <f>ROUND(IF(AQ32="2",BI32,0),2)</f>
        <v>0</v>
      </c>
      <c r="AH32" s="5">
        <f>ROUND(IF(AQ32="0",BJ32,0),2)</f>
        <v>0</v>
      </c>
      <c r="AI32" s="3" t="s">
        <v>47</v>
      </c>
      <c r="AJ32" s="5">
        <f>IF(AN32=0,J32,0)</f>
        <v>0</v>
      </c>
      <c r="AK32" s="5">
        <f>IF(AN32=12,J32,0)</f>
        <v>0</v>
      </c>
      <c r="AL32" s="5">
        <f>IF(AN32=21,J32,0)</f>
        <v>0</v>
      </c>
      <c r="AN32" s="5">
        <v>21</v>
      </c>
      <c r="AO32" s="5">
        <f>G32*0.323659542</f>
        <v>0</v>
      </c>
      <c r="AP32" s="5">
        <f>G32*(1-0.323659542)</f>
        <v>0</v>
      </c>
      <c r="AQ32" s="6" t="s">
        <v>83</v>
      </c>
      <c r="AV32" s="5">
        <f>ROUND(AW32+AX32,2)</f>
        <v>0</v>
      </c>
      <c r="AW32" s="5">
        <f>ROUND(F32*AO32,2)</f>
        <v>0</v>
      </c>
      <c r="AX32" s="5">
        <f>ROUND(F32*AP32,2)</f>
        <v>0</v>
      </c>
      <c r="AY32" s="6" t="s">
        <v>123</v>
      </c>
      <c r="AZ32" s="6" t="s">
        <v>124</v>
      </c>
      <c r="BA32" s="3" t="s">
        <v>57</v>
      </c>
      <c r="BC32" s="5">
        <f>AW32+AX32</f>
        <v>0</v>
      </c>
      <c r="BD32" s="5">
        <f>G32/(100-BE32)*100</f>
        <v>0</v>
      </c>
      <c r="BE32" s="5">
        <v>0</v>
      </c>
      <c r="BF32" s="5">
        <f>32</f>
        <v>32</v>
      </c>
      <c r="BH32" s="5">
        <f>F32*AO32</f>
        <v>0</v>
      </c>
      <c r="BI32" s="5">
        <f>F32*AP32</f>
        <v>0</v>
      </c>
      <c r="BJ32" s="5">
        <f>F32*G32</f>
        <v>0</v>
      </c>
      <c r="BK32" s="6" t="s">
        <v>58</v>
      </c>
      <c r="BL32" s="5">
        <v>712</v>
      </c>
      <c r="BW32" s="5">
        <v>21</v>
      </c>
      <c r="BX32" s="2" t="s">
        <v>122</v>
      </c>
    </row>
    <row r="33" spans="1:76" x14ac:dyDescent="0.25">
      <c r="A33" s="149" t="s">
        <v>125</v>
      </c>
      <c r="B33" s="150" t="s">
        <v>126</v>
      </c>
      <c r="C33" s="121" t="s">
        <v>127</v>
      </c>
      <c r="D33" s="116"/>
      <c r="E33" s="150" t="s">
        <v>105</v>
      </c>
      <c r="F33" s="151">
        <v>131.88</v>
      </c>
      <c r="G33" s="21">
        <v>0</v>
      </c>
      <c r="H33" s="151">
        <f>ROUND(F33*AO33,2)</f>
        <v>0</v>
      </c>
      <c r="I33" s="151">
        <f>ROUND(F33*AP33,2)</f>
        <v>0</v>
      </c>
      <c r="J33" s="151">
        <f>ROUND(F33*G33,2)</f>
        <v>0</v>
      </c>
      <c r="K33" s="152" t="s">
        <v>54</v>
      </c>
      <c r="Z33" s="5">
        <f>ROUND(IF(AQ33="5",BJ33,0),2)</f>
        <v>0</v>
      </c>
      <c r="AB33" s="5">
        <f>ROUND(IF(AQ33="1",BH33,0),2)</f>
        <v>0</v>
      </c>
      <c r="AC33" s="5">
        <f>ROUND(IF(AQ33="1",BI33,0),2)</f>
        <v>0</v>
      </c>
      <c r="AD33" s="5">
        <f>ROUND(IF(AQ33="7",BH33,0),2)</f>
        <v>0</v>
      </c>
      <c r="AE33" s="5">
        <f>ROUND(IF(AQ33="7",BI33,0),2)</f>
        <v>0</v>
      </c>
      <c r="AF33" s="5">
        <f>ROUND(IF(AQ33="2",BH33,0),2)</f>
        <v>0</v>
      </c>
      <c r="AG33" s="5">
        <f>ROUND(IF(AQ33="2",BI33,0),2)</f>
        <v>0</v>
      </c>
      <c r="AH33" s="5">
        <f>ROUND(IF(AQ33="0",BJ33,0),2)</f>
        <v>0</v>
      </c>
      <c r="AI33" s="3" t="s">
        <v>47</v>
      </c>
      <c r="AJ33" s="5">
        <f>IF(AN33=0,J33,0)</f>
        <v>0</v>
      </c>
      <c r="AK33" s="5">
        <f>IF(AN33=12,J33,0)</f>
        <v>0</v>
      </c>
      <c r="AL33" s="5">
        <f>IF(AN33=21,J33,0)</f>
        <v>0</v>
      </c>
      <c r="AN33" s="5">
        <v>21</v>
      </c>
      <c r="AO33" s="5">
        <f>G33*0.588333182</f>
        <v>0</v>
      </c>
      <c r="AP33" s="5">
        <f>G33*(1-0.588333182)</f>
        <v>0</v>
      </c>
      <c r="AQ33" s="6" t="s">
        <v>83</v>
      </c>
      <c r="AV33" s="5">
        <f>ROUND(AW33+AX33,2)</f>
        <v>0</v>
      </c>
      <c r="AW33" s="5">
        <f>ROUND(F33*AO33,2)</f>
        <v>0</v>
      </c>
      <c r="AX33" s="5">
        <f>ROUND(F33*AP33,2)</f>
        <v>0</v>
      </c>
      <c r="AY33" s="6" t="s">
        <v>123</v>
      </c>
      <c r="AZ33" s="6" t="s">
        <v>124</v>
      </c>
      <c r="BA33" s="3" t="s">
        <v>57</v>
      </c>
      <c r="BC33" s="5">
        <f>AW33+AX33</f>
        <v>0</v>
      </c>
      <c r="BD33" s="5">
        <f>G33/(100-BE33)*100</f>
        <v>0</v>
      </c>
      <c r="BE33" s="5">
        <v>0</v>
      </c>
      <c r="BF33" s="5">
        <f>33</f>
        <v>33</v>
      </c>
      <c r="BH33" s="5">
        <f>F33*AO33</f>
        <v>0</v>
      </c>
      <c r="BI33" s="5">
        <f>F33*AP33</f>
        <v>0</v>
      </c>
      <c r="BJ33" s="5">
        <f>F33*G33</f>
        <v>0</v>
      </c>
      <c r="BK33" s="6" t="s">
        <v>58</v>
      </c>
      <c r="BL33" s="5">
        <v>712</v>
      </c>
      <c r="BW33" s="5">
        <v>21</v>
      </c>
      <c r="BX33" s="2" t="s">
        <v>128</v>
      </c>
    </row>
    <row r="34" spans="1:76" x14ac:dyDescent="0.25">
      <c r="A34" s="149" t="s">
        <v>62</v>
      </c>
      <c r="B34" s="150" t="s">
        <v>129</v>
      </c>
      <c r="C34" s="121" t="s">
        <v>130</v>
      </c>
      <c r="D34" s="116"/>
      <c r="E34" s="150" t="s">
        <v>105</v>
      </c>
      <c r="F34" s="151">
        <v>70.2</v>
      </c>
      <c r="G34" s="21">
        <v>0</v>
      </c>
      <c r="H34" s="151">
        <f>ROUND(F34*AO34,2)</f>
        <v>0</v>
      </c>
      <c r="I34" s="151">
        <f>ROUND(F34*AP34,2)</f>
        <v>0</v>
      </c>
      <c r="J34" s="151">
        <f>ROUND(F34*G34,2)</f>
        <v>0</v>
      </c>
      <c r="K34" s="152" t="s">
        <v>54</v>
      </c>
      <c r="Z34" s="5">
        <f>ROUND(IF(AQ34="5",BJ34,0),2)</f>
        <v>0</v>
      </c>
      <c r="AB34" s="5">
        <f>ROUND(IF(AQ34="1",BH34,0),2)</f>
        <v>0</v>
      </c>
      <c r="AC34" s="5">
        <f>ROUND(IF(AQ34="1",BI34,0),2)</f>
        <v>0</v>
      </c>
      <c r="AD34" s="5">
        <f>ROUND(IF(AQ34="7",BH34,0),2)</f>
        <v>0</v>
      </c>
      <c r="AE34" s="5">
        <f>ROUND(IF(AQ34="7",BI34,0),2)</f>
        <v>0</v>
      </c>
      <c r="AF34" s="5">
        <f>ROUND(IF(AQ34="2",BH34,0),2)</f>
        <v>0</v>
      </c>
      <c r="AG34" s="5">
        <f>ROUND(IF(AQ34="2",BI34,0),2)</f>
        <v>0</v>
      </c>
      <c r="AH34" s="5">
        <f>ROUND(IF(AQ34="0",BJ34,0),2)</f>
        <v>0</v>
      </c>
      <c r="AI34" s="3" t="s">
        <v>47</v>
      </c>
      <c r="AJ34" s="5">
        <f>IF(AN34=0,J34,0)</f>
        <v>0</v>
      </c>
      <c r="AK34" s="5">
        <f>IF(AN34=12,J34,0)</f>
        <v>0</v>
      </c>
      <c r="AL34" s="5">
        <f>IF(AN34=21,J34,0)</f>
        <v>0</v>
      </c>
      <c r="AN34" s="5">
        <v>21</v>
      </c>
      <c r="AO34" s="5">
        <f>G34*0.570223972</f>
        <v>0</v>
      </c>
      <c r="AP34" s="5">
        <f>G34*(1-0.570223972)</f>
        <v>0</v>
      </c>
      <c r="AQ34" s="6" t="s">
        <v>83</v>
      </c>
      <c r="AV34" s="5">
        <f>ROUND(AW34+AX34,2)</f>
        <v>0</v>
      </c>
      <c r="AW34" s="5">
        <f>ROUND(F34*AO34,2)</f>
        <v>0</v>
      </c>
      <c r="AX34" s="5">
        <f>ROUND(F34*AP34,2)</f>
        <v>0</v>
      </c>
      <c r="AY34" s="6" t="s">
        <v>123</v>
      </c>
      <c r="AZ34" s="6" t="s">
        <v>124</v>
      </c>
      <c r="BA34" s="3" t="s">
        <v>57</v>
      </c>
      <c r="BC34" s="5">
        <f>AW34+AX34</f>
        <v>0</v>
      </c>
      <c r="BD34" s="5">
        <f>G34/(100-BE34)*100</f>
        <v>0</v>
      </c>
      <c r="BE34" s="5">
        <v>0</v>
      </c>
      <c r="BF34" s="5">
        <f>34</f>
        <v>34</v>
      </c>
      <c r="BH34" s="5">
        <f>F34*AO34</f>
        <v>0</v>
      </c>
      <c r="BI34" s="5">
        <f>F34*AP34</f>
        <v>0</v>
      </c>
      <c r="BJ34" s="5">
        <f>F34*G34</f>
        <v>0</v>
      </c>
      <c r="BK34" s="6" t="s">
        <v>58</v>
      </c>
      <c r="BL34" s="5">
        <v>712</v>
      </c>
      <c r="BW34" s="5">
        <v>21</v>
      </c>
      <c r="BX34" s="2" t="s">
        <v>131</v>
      </c>
    </row>
    <row r="35" spans="1:76" x14ac:dyDescent="0.25">
      <c r="A35" s="149" t="s">
        <v>132</v>
      </c>
      <c r="B35" s="150" t="s">
        <v>133</v>
      </c>
      <c r="C35" s="121" t="s">
        <v>134</v>
      </c>
      <c r="D35" s="116"/>
      <c r="E35" s="150" t="s">
        <v>105</v>
      </c>
      <c r="F35" s="151">
        <v>30.24</v>
      </c>
      <c r="G35" s="21">
        <v>0</v>
      </c>
      <c r="H35" s="151">
        <f>ROUND(F35*AO35,2)</f>
        <v>0</v>
      </c>
      <c r="I35" s="151">
        <f>ROUND(F35*AP35,2)</f>
        <v>0</v>
      </c>
      <c r="J35" s="151">
        <f>ROUND(F35*G35,2)</f>
        <v>0</v>
      </c>
      <c r="K35" s="152" t="s">
        <v>54</v>
      </c>
      <c r="Z35" s="5">
        <f>ROUND(IF(AQ35="5",BJ35,0),2)</f>
        <v>0</v>
      </c>
      <c r="AB35" s="5">
        <f>ROUND(IF(AQ35="1",BH35,0),2)</f>
        <v>0</v>
      </c>
      <c r="AC35" s="5">
        <f>ROUND(IF(AQ35="1",BI35,0),2)</f>
        <v>0</v>
      </c>
      <c r="AD35" s="5">
        <f>ROUND(IF(AQ35="7",BH35,0),2)</f>
        <v>0</v>
      </c>
      <c r="AE35" s="5">
        <f>ROUND(IF(AQ35="7",BI35,0),2)</f>
        <v>0</v>
      </c>
      <c r="AF35" s="5">
        <f>ROUND(IF(AQ35="2",BH35,0),2)</f>
        <v>0</v>
      </c>
      <c r="AG35" s="5">
        <f>ROUND(IF(AQ35="2",BI35,0),2)</f>
        <v>0</v>
      </c>
      <c r="AH35" s="5">
        <f>ROUND(IF(AQ35="0",BJ35,0),2)</f>
        <v>0</v>
      </c>
      <c r="AI35" s="3" t="s">
        <v>47</v>
      </c>
      <c r="AJ35" s="5">
        <f>IF(AN35=0,J35,0)</f>
        <v>0</v>
      </c>
      <c r="AK35" s="5">
        <f>IF(AN35=12,J35,0)</f>
        <v>0</v>
      </c>
      <c r="AL35" s="5">
        <f>IF(AN35=21,J35,0)</f>
        <v>0</v>
      </c>
      <c r="AN35" s="5">
        <v>21</v>
      </c>
      <c r="AO35" s="5">
        <f>G35*0.367578669</f>
        <v>0</v>
      </c>
      <c r="AP35" s="5">
        <f>G35*(1-0.367578669)</f>
        <v>0</v>
      </c>
      <c r="AQ35" s="6" t="s">
        <v>83</v>
      </c>
      <c r="AV35" s="5">
        <f>ROUND(AW35+AX35,2)</f>
        <v>0</v>
      </c>
      <c r="AW35" s="5">
        <f>ROUND(F35*AO35,2)</f>
        <v>0</v>
      </c>
      <c r="AX35" s="5">
        <f>ROUND(F35*AP35,2)</f>
        <v>0</v>
      </c>
      <c r="AY35" s="6" t="s">
        <v>123</v>
      </c>
      <c r="AZ35" s="6" t="s">
        <v>124</v>
      </c>
      <c r="BA35" s="3" t="s">
        <v>57</v>
      </c>
      <c r="BC35" s="5">
        <f>AW35+AX35</f>
        <v>0</v>
      </c>
      <c r="BD35" s="5">
        <f>G35/(100-BE35)*100</f>
        <v>0</v>
      </c>
      <c r="BE35" s="5">
        <v>0</v>
      </c>
      <c r="BF35" s="5">
        <f>35</f>
        <v>35</v>
      </c>
      <c r="BH35" s="5">
        <f>F35*AO35</f>
        <v>0</v>
      </c>
      <c r="BI35" s="5">
        <f>F35*AP35</f>
        <v>0</v>
      </c>
      <c r="BJ35" s="5">
        <f>F35*G35</f>
        <v>0</v>
      </c>
      <c r="BK35" s="6" t="s">
        <v>58</v>
      </c>
      <c r="BL35" s="5">
        <v>712</v>
      </c>
      <c r="BW35" s="5">
        <v>21</v>
      </c>
      <c r="BX35" s="2" t="s">
        <v>135</v>
      </c>
    </row>
    <row r="36" spans="1:76" x14ac:dyDescent="0.25">
      <c r="A36" s="149" t="s">
        <v>136</v>
      </c>
      <c r="B36" s="150" t="s">
        <v>137</v>
      </c>
      <c r="C36" s="121" t="s">
        <v>138</v>
      </c>
      <c r="D36" s="116"/>
      <c r="E36" s="150" t="s">
        <v>98</v>
      </c>
      <c r="F36" s="151">
        <v>779.1</v>
      </c>
      <c r="G36" s="21">
        <v>0</v>
      </c>
      <c r="H36" s="151">
        <f>ROUND(F36*AO36,2)</f>
        <v>0</v>
      </c>
      <c r="I36" s="151">
        <f>ROUND(F36*AP36,2)</f>
        <v>0</v>
      </c>
      <c r="J36" s="151">
        <f>ROUND(F36*G36,2)</f>
        <v>0</v>
      </c>
      <c r="K36" s="152" t="s">
        <v>54</v>
      </c>
      <c r="Z36" s="5">
        <f>ROUND(IF(AQ36="5",BJ36,0),2)</f>
        <v>0</v>
      </c>
      <c r="AB36" s="5">
        <f>ROUND(IF(AQ36="1",BH36,0),2)</f>
        <v>0</v>
      </c>
      <c r="AC36" s="5">
        <f>ROUND(IF(AQ36="1",BI36,0),2)</f>
        <v>0</v>
      </c>
      <c r="AD36" s="5">
        <f>ROUND(IF(AQ36="7",BH36,0),2)</f>
        <v>0</v>
      </c>
      <c r="AE36" s="5">
        <f>ROUND(IF(AQ36="7",BI36,0),2)</f>
        <v>0</v>
      </c>
      <c r="AF36" s="5">
        <f>ROUND(IF(AQ36="2",BH36,0),2)</f>
        <v>0</v>
      </c>
      <c r="AG36" s="5">
        <f>ROUND(IF(AQ36="2",BI36,0),2)</f>
        <v>0</v>
      </c>
      <c r="AH36" s="5">
        <f>ROUND(IF(AQ36="0",BJ36,0),2)</f>
        <v>0</v>
      </c>
      <c r="AI36" s="3" t="s">
        <v>47</v>
      </c>
      <c r="AJ36" s="5">
        <f>IF(AN36=0,J36,0)</f>
        <v>0</v>
      </c>
      <c r="AK36" s="5">
        <f>IF(AN36=12,J36,0)</f>
        <v>0</v>
      </c>
      <c r="AL36" s="5">
        <f>IF(AN36=21,J36,0)</f>
        <v>0</v>
      </c>
      <c r="AN36" s="5">
        <v>21</v>
      </c>
      <c r="AO36" s="5">
        <f>G36*0.618561485</f>
        <v>0</v>
      </c>
      <c r="AP36" s="5">
        <f>G36*(1-0.618561485)</f>
        <v>0</v>
      </c>
      <c r="AQ36" s="6" t="s">
        <v>83</v>
      </c>
      <c r="AV36" s="5">
        <f>ROUND(AW36+AX36,2)</f>
        <v>0</v>
      </c>
      <c r="AW36" s="5">
        <f>ROUND(F36*AO36,2)</f>
        <v>0</v>
      </c>
      <c r="AX36" s="5">
        <f>ROUND(F36*AP36,2)</f>
        <v>0</v>
      </c>
      <c r="AY36" s="6" t="s">
        <v>123</v>
      </c>
      <c r="AZ36" s="6" t="s">
        <v>124</v>
      </c>
      <c r="BA36" s="3" t="s">
        <v>57</v>
      </c>
      <c r="BC36" s="5">
        <f>AW36+AX36</f>
        <v>0</v>
      </c>
      <c r="BD36" s="5">
        <f>G36/(100-BE36)*100</f>
        <v>0</v>
      </c>
      <c r="BE36" s="5">
        <v>0</v>
      </c>
      <c r="BF36" s="5">
        <f>36</f>
        <v>36</v>
      </c>
      <c r="BH36" s="5">
        <f>F36*AO36</f>
        <v>0</v>
      </c>
      <c r="BI36" s="5">
        <f>F36*AP36</f>
        <v>0</v>
      </c>
      <c r="BJ36" s="5">
        <f>F36*G36</f>
        <v>0</v>
      </c>
      <c r="BK36" s="6" t="s">
        <v>58</v>
      </c>
      <c r="BL36" s="5">
        <v>712</v>
      </c>
      <c r="BW36" s="5">
        <v>21</v>
      </c>
      <c r="BX36" s="2" t="s">
        <v>138</v>
      </c>
    </row>
    <row r="37" spans="1:76" x14ac:dyDescent="0.25">
      <c r="A37" s="141" t="s">
        <v>47</v>
      </c>
      <c r="B37" s="153" t="s">
        <v>139</v>
      </c>
      <c r="C37" s="154" t="s">
        <v>140</v>
      </c>
      <c r="D37" s="155"/>
      <c r="E37" s="156" t="s">
        <v>4</v>
      </c>
      <c r="F37" s="156" t="s">
        <v>4</v>
      </c>
      <c r="G37" s="157" t="s">
        <v>4</v>
      </c>
      <c r="H37" s="158">
        <f>ROUND(SUM(H38:H43),2)</f>
        <v>0</v>
      </c>
      <c r="I37" s="158">
        <f>ROUND(SUM(I38:I43),2)</f>
        <v>0</v>
      </c>
      <c r="J37" s="158">
        <f>ROUND(SUM(J38:J43),2)</f>
        <v>0</v>
      </c>
      <c r="K37" s="148" t="s">
        <v>47</v>
      </c>
      <c r="AI37" s="3" t="s">
        <v>47</v>
      </c>
      <c r="AS37" s="1">
        <f>SUM(AJ38:AJ43)</f>
        <v>0</v>
      </c>
      <c r="AT37" s="1">
        <f>SUM(AK38:AK43)</f>
        <v>0</v>
      </c>
      <c r="AU37" s="1">
        <f>SUM(AL38:AL43)</f>
        <v>0</v>
      </c>
    </row>
    <row r="38" spans="1:76" x14ac:dyDescent="0.25">
      <c r="A38" s="149" t="s">
        <v>141</v>
      </c>
      <c r="B38" s="150" t="s">
        <v>142</v>
      </c>
      <c r="C38" s="121" t="s">
        <v>143</v>
      </c>
      <c r="D38" s="116"/>
      <c r="E38" s="150" t="s">
        <v>144</v>
      </c>
      <c r="F38" s="151">
        <v>300</v>
      </c>
      <c r="G38" s="21">
        <v>0</v>
      </c>
      <c r="H38" s="151">
        <f t="shared" ref="H38:H43" si="0">ROUND(F38*AO38,2)</f>
        <v>0</v>
      </c>
      <c r="I38" s="151">
        <f t="shared" ref="I38:I43" si="1">ROUND(F38*AP38,2)</f>
        <v>0</v>
      </c>
      <c r="J38" s="151">
        <f t="shared" ref="J38:J43" si="2">ROUND(F38*G38,2)</f>
        <v>0</v>
      </c>
      <c r="K38" s="152" t="s">
        <v>54</v>
      </c>
      <c r="Z38" s="5">
        <f t="shared" ref="Z38:Z43" si="3">ROUND(IF(AQ38="5",BJ38,0),2)</f>
        <v>0</v>
      </c>
      <c r="AB38" s="5">
        <f t="shared" ref="AB38:AB43" si="4">ROUND(IF(AQ38="1",BH38,0),2)</f>
        <v>0</v>
      </c>
      <c r="AC38" s="5">
        <f t="shared" ref="AC38:AC43" si="5">ROUND(IF(AQ38="1",BI38,0),2)</f>
        <v>0</v>
      </c>
      <c r="AD38" s="5">
        <f t="shared" ref="AD38:AD43" si="6">ROUND(IF(AQ38="7",BH38,0),2)</f>
        <v>0</v>
      </c>
      <c r="AE38" s="5">
        <f t="shared" ref="AE38:AE43" si="7">ROUND(IF(AQ38="7",BI38,0),2)</f>
        <v>0</v>
      </c>
      <c r="AF38" s="5">
        <f t="shared" ref="AF38:AF43" si="8">ROUND(IF(AQ38="2",BH38,0),2)</f>
        <v>0</v>
      </c>
      <c r="AG38" s="5">
        <f t="shared" ref="AG38:AG43" si="9">ROUND(IF(AQ38="2",BI38,0),2)</f>
        <v>0</v>
      </c>
      <c r="AH38" s="5">
        <f t="shared" ref="AH38:AH43" si="10">ROUND(IF(AQ38="0",BJ38,0),2)</f>
        <v>0</v>
      </c>
      <c r="AI38" s="3" t="s">
        <v>47</v>
      </c>
      <c r="AJ38" s="5">
        <f t="shared" ref="AJ38:AJ43" si="11">IF(AN38=0,J38,0)</f>
        <v>0</v>
      </c>
      <c r="AK38" s="5">
        <f t="shared" ref="AK38:AK43" si="12">IF(AN38=12,J38,0)</f>
        <v>0</v>
      </c>
      <c r="AL38" s="5">
        <f t="shared" ref="AL38:AL43" si="13">IF(AN38=21,J38,0)</f>
        <v>0</v>
      </c>
      <c r="AN38" s="5">
        <v>21</v>
      </c>
      <c r="AO38" s="5">
        <f>G38*0.038791946</f>
        <v>0</v>
      </c>
      <c r="AP38" s="5">
        <f>G38*(1-0.038791946)</f>
        <v>0</v>
      </c>
      <c r="AQ38" s="6" t="s">
        <v>83</v>
      </c>
      <c r="AV38" s="5">
        <f t="shared" ref="AV38:AV43" si="14">ROUND(AW38+AX38,2)</f>
        <v>0</v>
      </c>
      <c r="AW38" s="5">
        <f t="shared" ref="AW38:AW43" si="15">ROUND(F38*AO38,2)</f>
        <v>0</v>
      </c>
      <c r="AX38" s="5">
        <f t="shared" ref="AX38:AX43" si="16">ROUND(F38*AP38,2)</f>
        <v>0</v>
      </c>
      <c r="AY38" s="6" t="s">
        <v>145</v>
      </c>
      <c r="AZ38" s="6" t="s">
        <v>146</v>
      </c>
      <c r="BA38" s="3" t="s">
        <v>57</v>
      </c>
      <c r="BC38" s="5">
        <f t="shared" ref="BC38:BC43" si="17">AW38+AX38</f>
        <v>0</v>
      </c>
      <c r="BD38" s="5">
        <f t="shared" ref="BD38:BD43" si="18">G38/(100-BE38)*100</f>
        <v>0</v>
      </c>
      <c r="BE38" s="5">
        <v>0</v>
      </c>
      <c r="BF38" s="5">
        <f>38</f>
        <v>38</v>
      </c>
      <c r="BH38" s="5">
        <f t="shared" ref="BH38:BH43" si="19">F38*AO38</f>
        <v>0</v>
      </c>
      <c r="BI38" s="5">
        <f t="shared" ref="BI38:BI43" si="20">F38*AP38</f>
        <v>0</v>
      </c>
      <c r="BJ38" s="5">
        <f t="shared" ref="BJ38:BJ43" si="21">F38*G38</f>
        <v>0</v>
      </c>
      <c r="BK38" s="6" t="s">
        <v>58</v>
      </c>
      <c r="BL38" s="5">
        <v>762</v>
      </c>
      <c r="BW38" s="5">
        <v>21</v>
      </c>
      <c r="BX38" s="2" t="s">
        <v>143</v>
      </c>
    </row>
    <row r="39" spans="1:76" x14ac:dyDescent="0.25">
      <c r="A39" s="149" t="s">
        <v>147</v>
      </c>
      <c r="B39" s="150" t="s">
        <v>148</v>
      </c>
      <c r="C39" s="121" t="s">
        <v>149</v>
      </c>
      <c r="D39" s="116"/>
      <c r="E39" s="150" t="s">
        <v>98</v>
      </c>
      <c r="F39" s="151">
        <v>708.3</v>
      </c>
      <c r="G39" s="21">
        <v>0</v>
      </c>
      <c r="H39" s="151">
        <f t="shared" si="0"/>
        <v>0</v>
      </c>
      <c r="I39" s="151">
        <f t="shared" si="1"/>
        <v>0</v>
      </c>
      <c r="J39" s="151">
        <f t="shared" si="2"/>
        <v>0</v>
      </c>
      <c r="K39" s="152" t="s">
        <v>54</v>
      </c>
      <c r="Z39" s="5">
        <f t="shared" si="3"/>
        <v>0</v>
      </c>
      <c r="AB39" s="5">
        <f t="shared" si="4"/>
        <v>0</v>
      </c>
      <c r="AC39" s="5">
        <f t="shared" si="5"/>
        <v>0</v>
      </c>
      <c r="AD39" s="5">
        <f t="shared" si="6"/>
        <v>0</v>
      </c>
      <c r="AE39" s="5">
        <f t="shared" si="7"/>
        <v>0</v>
      </c>
      <c r="AF39" s="5">
        <f t="shared" si="8"/>
        <v>0</v>
      </c>
      <c r="AG39" s="5">
        <f t="shared" si="9"/>
        <v>0</v>
      </c>
      <c r="AH39" s="5">
        <f t="shared" si="10"/>
        <v>0</v>
      </c>
      <c r="AI39" s="3" t="s">
        <v>47</v>
      </c>
      <c r="AJ39" s="5">
        <f t="shared" si="11"/>
        <v>0</v>
      </c>
      <c r="AK39" s="5">
        <f t="shared" si="12"/>
        <v>0</v>
      </c>
      <c r="AL39" s="5">
        <f t="shared" si="13"/>
        <v>0</v>
      </c>
      <c r="AN39" s="5">
        <v>21</v>
      </c>
      <c r="AO39" s="5">
        <f>G39*1</f>
        <v>0</v>
      </c>
      <c r="AP39" s="5">
        <f>G39*(1-1)</f>
        <v>0</v>
      </c>
      <c r="AQ39" s="6" t="s">
        <v>83</v>
      </c>
      <c r="AV39" s="5">
        <f t="shared" si="14"/>
        <v>0</v>
      </c>
      <c r="AW39" s="5">
        <f t="shared" si="15"/>
        <v>0</v>
      </c>
      <c r="AX39" s="5">
        <f t="shared" si="16"/>
        <v>0</v>
      </c>
      <c r="AY39" s="6" t="s">
        <v>145</v>
      </c>
      <c r="AZ39" s="6" t="s">
        <v>146</v>
      </c>
      <c r="BA39" s="3" t="s">
        <v>57</v>
      </c>
      <c r="BC39" s="5">
        <f t="shared" si="17"/>
        <v>0</v>
      </c>
      <c r="BD39" s="5">
        <f t="shared" si="18"/>
        <v>0</v>
      </c>
      <c r="BE39" s="5">
        <v>0</v>
      </c>
      <c r="BF39" s="5">
        <f>39</f>
        <v>39</v>
      </c>
      <c r="BH39" s="5">
        <f t="shared" si="19"/>
        <v>0</v>
      </c>
      <c r="BI39" s="5">
        <f t="shared" si="20"/>
        <v>0</v>
      </c>
      <c r="BJ39" s="5">
        <f t="shared" si="21"/>
        <v>0</v>
      </c>
      <c r="BK39" s="6" t="s">
        <v>58</v>
      </c>
      <c r="BL39" s="5">
        <v>762</v>
      </c>
      <c r="BW39" s="5">
        <v>21</v>
      </c>
      <c r="BX39" s="2" t="s">
        <v>149</v>
      </c>
    </row>
    <row r="40" spans="1:76" x14ac:dyDescent="0.25">
      <c r="A40" s="149" t="s">
        <v>150</v>
      </c>
      <c r="B40" s="150" t="s">
        <v>151</v>
      </c>
      <c r="C40" s="121" t="s">
        <v>152</v>
      </c>
      <c r="D40" s="116"/>
      <c r="E40" s="150" t="s">
        <v>98</v>
      </c>
      <c r="F40" s="151">
        <v>604.79999999999995</v>
      </c>
      <c r="G40" s="21">
        <v>0</v>
      </c>
      <c r="H40" s="151">
        <f t="shared" si="0"/>
        <v>0</v>
      </c>
      <c r="I40" s="151">
        <f t="shared" si="1"/>
        <v>0</v>
      </c>
      <c r="J40" s="151">
        <f t="shared" si="2"/>
        <v>0</v>
      </c>
      <c r="K40" s="152" t="s">
        <v>54</v>
      </c>
      <c r="Z40" s="5">
        <f t="shared" si="3"/>
        <v>0</v>
      </c>
      <c r="AB40" s="5">
        <f t="shared" si="4"/>
        <v>0</v>
      </c>
      <c r="AC40" s="5">
        <f t="shared" si="5"/>
        <v>0</v>
      </c>
      <c r="AD40" s="5">
        <f t="shared" si="6"/>
        <v>0</v>
      </c>
      <c r="AE40" s="5">
        <f t="shared" si="7"/>
        <v>0</v>
      </c>
      <c r="AF40" s="5">
        <f t="shared" si="8"/>
        <v>0</v>
      </c>
      <c r="AG40" s="5">
        <f t="shared" si="9"/>
        <v>0</v>
      </c>
      <c r="AH40" s="5">
        <f t="shared" si="10"/>
        <v>0</v>
      </c>
      <c r="AI40" s="3" t="s">
        <v>47</v>
      </c>
      <c r="AJ40" s="5">
        <f t="shared" si="11"/>
        <v>0</v>
      </c>
      <c r="AK40" s="5">
        <f t="shared" si="12"/>
        <v>0</v>
      </c>
      <c r="AL40" s="5">
        <f t="shared" si="13"/>
        <v>0</v>
      </c>
      <c r="AN40" s="5">
        <v>21</v>
      </c>
      <c r="AO40" s="5">
        <f>G40*0.784695052</f>
        <v>0</v>
      </c>
      <c r="AP40" s="5">
        <f>G40*(1-0.784695052)</f>
        <v>0</v>
      </c>
      <c r="AQ40" s="6" t="s">
        <v>83</v>
      </c>
      <c r="AV40" s="5">
        <f t="shared" si="14"/>
        <v>0</v>
      </c>
      <c r="AW40" s="5">
        <f t="shared" si="15"/>
        <v>0</v>
      </c>
      <c r="AX40" s="5">
        <f t="shared" si="16"/>
        <v>0</v>
      </c>
      <c r="AY40" s="6" t="s">
        <v>145</v>
      </c>
      <c r="AZ40" s="6" t="s">
        <v>146</v>
      </c>
      <c r="BA40" s="3" t="s">
        <v>57</v>
      </c>
      <c r="BC40" s="5">
        <f t="shared" si="17"/>
        <v>0</v>
      </c>
      <c r="BD40" s="5">
        <f t="shared" si="18"/>
        <v>0</v>
      </c>
      <c r="BE40" s="5">
        <v>0</v>
      </c>
      <c r="BF40" s="5">
        <f>40</f>
        <v>40</v>
      </c>
      <c r="BH40" s="5">
        <f t="shared" si="19"/>
        <v>0</v>
      </c>
      <c r="BI40" s="5">
        <f t="shared" si="20"/>
        <v>0</v>
      </c>
      <c r="BJ40" s="5">
        <f t="shared" si="21"/>
        <v>0</v>
      </c>
      <c r="BK40" s="6" t="s">
        <v>58</v>
      </c>
      <c r="BL40" s="5">
        <v>762</v>
      </c>
      <c r="BW40" s="5">
        <v>21</v>
      </c>
      <c r="BX40" s="2" t="s">
        <v>152</v>
      </c>
    </row>
    <row r="41" spans="1:76" x14ac:dyDescent="0.25">
      <c r="A41" s="149" t="s">
        <v>153</v>
      </c>
      <c r="B41" s="150" t="s">
        <v>154</v>
      </c>
      <c r="C41" s="121" t="s">
        <v>155</v>
      </c>
      <c r="D41" s="116"/>
      <c r="E41" s="150" t="s">
        <v>98</v>
      </c>
      <c r="F41" s="151">
        <v>654.39</v>
      </c>
      <c r="G41" s="21">
        <v>0</v>
      </c>
      <c r="H41" s="151">
        <f t="shared" si="0"/>
        <v>0</v>
      </c>
      <c r="I41" s="151">
        <f t="shared" si="1"/>
        <v>0</v>
      </c>
      <c r="J41" s="151">
        <f t="shared" si="2"/>
        <v>0</v>
      </c>
      <c r="K41" s="152" t="s">
        <v>54</v>
      </c>
      <c r="Z41" s="5">
        <f t="shared" si="3"/>
        <v>0</v>
      </c>
      <c r="AB41" s="5">
        <f t="shared" si="4"/>
        <v>0</v>
      </c>
      <c r="AC41" s="5">
        <f t="shared" si="5"/>
        <v>0</v>
      </c>
      <c r="AD41" s="5">
        <f t="shared" si="6"/>
        <v>0</v>
      </c>
      <c r="AE41" s="5">
        <f t="shared" si="7"/>
        <v>0</v>
      </c>
      <c r="AF41" s="5">
        <f t="shared" si="8"/>
        <v>0</v>
      </c>
      <c r="AG41" s="5">
        <f t="shared" si="9"/>
        <v>0</v>
      </c>
      <c r="AH41" s="5">
        <f t="shared" si="10"/>
        <v>0</v>
      </c>
      <c r="AI41" s="3" t="s">
        <v>47</v>
      </c>
      <c r="AJ41" s="5">
        <f t="shared" si="11"/>
        <v>0</v>
      </c>
      <c r="AK41" s="5">
        <f t="shared" si="12"/>
        <v>0</v>
      </c>
      <c r="AL41" s="5">
        <f t="shared" si="13"/>
        <v>0</v>
      </c>
      <c r="AN41" s="5">
        <v>21</v>
      </c>
      <c r="AO41" s="5">
        <f>G41*0.663341149</f>
        <v>0</v>
      </c>
      <c r="AP41" s="5">
        <f>G41*(1-0.663341149)</f>
        <v>0</v>
      </c>
      <c r="AQ41" s="6" t="s">
        <v>83</v>
      </c>
      <c r="AV41" s="5">
        <f t="shared" si="14"/>
        <v>0</v>
      </c>
      <c r="AW41" s="5">
        <f t="shared" si="15"/>
        <v>0</v>
      </c>
      <c r="AX41" s="5">
        <f t="shared" si="16"/>
        <v>0</v>
      </c>
      <c r="AY41" s="6" t="s">
        <v>145</v>
      </c>
      <c r="AZ41" s="6" t="s">
        <v>146</v>
      </c>
      <c r="BA41" s="3" t="s">
        <v>57</v>
      </c>
      <c r="BC41" s="5">
        <f t="shared" si="17"/>
        <v>0</v>
      </c>
      <c r="BD41" s="5">
        <f t="shared" si="18"/>
        <v>0</v>
      </c>
      <c r="BE41" s="5">
        <v>0</v>
      </c>
      <c r="BF41" s="5">
        <f>41</f>
        <v>41</v>
      </c>
      <c r="BH41" s="5">
        <f t="shared" si="19"/>
        <v>0</v>
      </c>
      <c r="BI41" s="5">
        <f t="shared" si="20"/>
        <v>0</v>
      </c>
      <c r="BJ41" s="5">
        <f t="shared" si="21"/>
        <v>0</v>
      </c>
      <c r="BK41" s="6" t="s">
        <v>58</v>
      </c>
      <c r="BL41" s="5">
        <v>762</v>
      </c>
      <c r="BW41" s="5">
        <v>21</v>
      </c>
      <c r="BX41" s="2" t="s">
        <v>155</v>
      </c>
    </row>
    <row r="42" spans="1:76" x14ac:dyDescent="0.25">
      <c r="A42" s="149" t="s">
        <v>156</v>
      </c>
      <c r="B42" s="150" t="s">
        <v>157</v>
      </c>
      <c r="C42" s="121" t="s">
        <v>158</v>
      </c>
      <c r="D42" s="116"/>
      <c r="E42" s="150" t="s">
        <v>98</v>
      </c>
      <c r="F42" s="151">
        <v>708.3</v>
      </c>
      <c r="G42" s="21">
        <v>0</v>
      </c>
      <c r="H42" s="151">
        <f t="shared" si="0"/>
        <v>0</v>
      </c>
      <c r="I42" s="151">
        <f t="shared" si="1"/>
        <v>0</v>
      </c>
      <c r="J42" s="151">
        <f t="shared" si="2"/>
        <v>0</v>
      </c>
      <c r="K42" s="152" t="s">
        <v>54</v>
      </c>
      <c r="Z42" s="5">
        <f t="shared" si="3"/>
        <v>0</v>
      </c>
      <c r="AB42" s="5">
        <f t="shared" si="4"/>
        <v>0</v>
      </c>
      <c r="AC42" s="5">
        <f t="shared" si="5"/>
        <v>0</v>
      </c>
      <c r="AD42" s="5">
        <f t="shared" si="6"/>
        <v>0</v>
      </c>
      <c r="AE42" s="5">
        <f t="shared" si="7"/>
        <v>0</v>
      </c>
      <c r="AF42" s="5">
        <f t="shared" si="8"/>
        <v>0</v>
      </c>
      <c r="AG42" s="5">
        <f t="shared" si="9"/>
        <v>0</v>
      </c>
      <c r="AH42" s="5">
        <f t="shared" si="10"/>
        <v>0</v>
      </c>
      <c r="AI42" s="3" t="s">
        <v>47</v>
      </c>
      <c r="AJ42" s="5">
        <f t="shared" si="11"/>
        <v>0</v>
      </c>
      <c r="AK42" s="5">
        <f t="shared" si="12"/>
        <v>0</v>
      </c>
      <c r="AL42" s="5">
        <f t="shared" si="13"/>
        <v>0</v>
      </c>
      <c r="AN42" s="5">
        <v>21</v>
      </c>
      <c r="AO42" s="5">
        <f>G42*0.286899624</f>
        <v>0</v>
      </c>
      <c r="AP42" s="5">
        <f>G42*(1-0.286899624)</f>
        <v>0</v>
      </c>
      <c r="AQ42" s="6" t="s">
        <v>83</v>
      </c>
      <c r="AV42" s="5">
        <f t="shared" si="14"/>
        <v>0</v>
      </c>
      <c r="AW42" s="5">
        <f t="shared" si="15"/>
        <v>0</v>
      </c>
      <c r="AX42" s="5">
        <f t="shared" si="16"/>
        <v>0</v>
      </c>
      <c r="AY42" s="6" t="s">
        <v>145</v>
      </c>
      <c r="AZ42" s="6" t="s">
        <v>146</v>
      </c>
      <c r="BA42" s="3" t="s">
        <v>57</v>
      </c>
      <c r="BC42" s="5">
        <f t="shared" si="17"/>
        <v>0</v>
      </c>
      <c r="BD42" s="5">
        <f t="shared" si="18"/>
        <v>0</v>
      </c>
      <c r="BE42" s="5">
        <v>0</v>
      </c>
      <c r="BF42" s="5">
        <f>42</f>
        <v>42</v>
      </c>
      <c r="BH42" s="5">
        <f t="shared" si="19"/>
        <v>0</v>
      </c>
      <c r="BI42" s="5">
        <f t="shared" si="20"/>
        <v>0</v>
      </c>
      <c r="BJ42" s="5">
        <f t="shared" si="21"/>
        <v>0</v>
      </c>
      <c r="BK42" s="6" t="s">
        <v>58</v>
      </c>
      <c r="BL42" s="5">
        <v>762</v>
      </c>
      <c r="BW42" s="5">
        <v>21</v>
      </c>
      <c r="BX42" s="2" t="s">
        <v>158</v>
      </c>
    </row>
    <row r="43" spans="1:76" x14ac:dyDescent="0.25">
      <c r="A43" s="149" t="s">
        <v>159</v>
      </c>
      <c r="B43" s="150" t="s">
        <v>160</v>
      </c>
      <c r="C43" s="121" t="s">
        <v>161</v>
      </c>
      <c r="D43" s="116"/>
      <c r="E43" s="150" t="s">
        <v>105</v>
      </c>
      <c r="F43" s="151">
        <v>795.15</v>
      </c>
      <c r="G43" s="21">
        <v>0</v>
      </c>
      <c r="H43" s="151">
        <f t="shared" si="0"/>
        <v>0</v>
      </c>
      <c r="I43" s="151">
        <f t="shared" si="1"/>
        <v>0</v>
      </c>
      <c r="J43" s="151">
        <f t="shared" si="2"/>
        <v>0</v>
      </c>
      <c r="K43" s="152" t="s">
        <v>54</v>
      </c>
      <c r="Z43" s="5">
        <f t="shared" si="3"/>
        <v>0</v>
      </c>
      <c r="AB43" s="5">
        <f t="shared" si="4"/>
        <v>0</v>
      </c>
      <c r="AC43" s="5">
        <f t="shared" si="5"/>
        <v>0</v>
      </c>
      <c r="AD43" s="5">
        <f t="shared" si="6"/>
        <v>0</v>
      </c>
      <c r="AE43" s="5">
        <f t="shared" si="7"/>
        <v>0</v>
      </c>
      <c r="AF43" s="5">
        <f t="shared" si="8"/>
        <v>0</v>
      </c>
      <c r="AG43" s="5">
        <f t="shared" si="9"/>
        <v>0</v>
      </c>
      <c r="AH43" s="5">
        <f t="shared" si="10"/>
        <v>0</v>
      </c>
      <c r="AI43" s="3" t="s">
        <v>47</v>
      </c>
      <c r="AJ43" s="5">
        <f t="shared" si="11"/>
        <v>0</v>
      </c>
      <c r="AK43" s="5">
        <f t="shared" si="12"/>
        <v>0</v>
      </c>
      <c r="AL43" s="5">
        <f t="shared" si="13"/>
        <v>0</v>
      </c>
      <c r="AN43" s="5">
        <v>21</v>
      </c>
      <c r="AO43" s="5">
        <f>G43*0.553110856</f>
        <v>0</v>
      </c>
      <c r="AP43" s="5">
        <f>G43*(1-0.553110856)</f>
        <v>0</v>
      </c>
      <c r="AQ43" s="6" t="s">
        <v>83</v>
      </c>
      <c r="AV43" s="5">
        <f t="shared" si="14"/>
        <v>0</v>
      </c>
      <c r="AW43" s="5">
        <f t="shared" si="15"/>
        <v>0</v>
      </c>
      <c r="AX43" s="5">
        <f t="shared" si="16"/>
        <v>0</v>
      </c>
      <c r="AY43" s="6" t="s">
        <v>145</v>
      </c>
      <c r="AZ43" s="6" t="s">
        <v>146</v>
      </c>
      <c r="BA43" s="3" t="s">
        <v>57</v>
      </c>
      <c r="BC43" s="5">
        <f t="shared" si="17"/>
        <v>0</v>
      </c>
      <c r="BD43" s="5">
        <f t="shared" si="18"/>
        <v>0</v>
      </c>
      <c r="BE43" s="5">
        <v>0</v>
      </c>
      <c r="BF43" s="5">
        <f>43</f>
        <v>43</v>
      </c>
      <c r="BH43" s="5">
        <f t="shared" si="19"/>
        <v>0</v>
      </c>
      <c r="BI43" s="5">
        <f t="shared" si="20"/>
        <v>0</v>
      </c>
      <c r="BJ43" s="5">
        <f t="shared" si="21"/>
        <v>0</v>
      </c>
      <c r="BK43" s="6" t="s">
        <v>58</v>
      </c>
      <c r="BL43" s="5">
        <v>762</v>
      </c>
      <c r="BW43" s="5">
        <v>21</v>
      </c>
      <c r="BX43" s="2" t="s">
        <v>161</v>
      </c>
    </row>
    <row r="44" spans="1:76" x14ac:dyDescent="0.25">
      <c r="A44" s="141" t="s">
        <v>47</v>
      </c>
      <c r="B44" s="153" t="s">
        <v>162</v>
      </c>
      <c r="C44" s="154" t="s">
        <v>163</v>
      </c>
      <c r="D44" s="155"/>
      <c r="E44" s="156" t="s">
        <v>4</v>
      </c>
      <c r="F44" s="156" t="s">
        <v>4</v>
      </c>
      <c r="G44" s="157" t="s">
        <v>4</v>
      </c>
      <c r="H44" s="158">
        <f>ROUND(SUM(H45:H47),2)</f>
        <v>0</v>
      </c>
      <c r="I44" s="158">
        <f>ROUND(SUM(I45:I47),2)</f>
        <v>0</v>
      </c>
      <c r="J44" s="158">
        <f>ROUND(SUM(J45:J47),2)</f>
        <v>0</v>
      </c>
      <c r="K44" s="148" t="s">
        <v>47</v>
      </c>
      <c r="AI44" s="3" t="s">
        <v>47</v>
      </c>
      <c r="AS44" s="1">
        <f>SUM(AJ45:AJ47)</f>
        <v>0</v>
      </c>
      <c r="AT44" s="1">
        <f>SUM(AK45:AK47)</f>
        <v>0</v>
      </c>
      <c r="AU44" s="1">
        <f>SUM(AL45:AL47)</f>
        <v>0</v>
      </c>
    </row>
    <row r="45" spans="1:76" x14ac:dyDescent="0.25">
      <c r="A45" s="149" t="s">
        <v>164</v>
      </c>
      <c r="B45" s="150" t="s">
        <v>165</v>
      </c>
      <c r="C45" s="121" t="s">
        <v>166</v>
      </c>
      <c r="D45" s="116"/>
      <c r="E45" s="150" t="s">
        <v>105</v>
      </c>
      <c r="F45" s="151">
        <v>65.45</v>
      </c>
      <c r="G45" s="21">
        <v>0</v>
      </c>
      <c r="H45" s="151">
        <f>ROUND(F45*AO45,2)</f>
        <v>0</v>
      </c>
      <c r="I45" s="151">
        <f>ROUND(F45*AP45,2)</f>
        <v>0</v>
      </c>
      <c r="J45" s="151">
        <f>ROUND(F45*G45,2)</f>
        <v>0</v>
      </c>
      <c r="K45" s="152" t="s">
        <v>167</v>
      </c>
      <c r="Z45" s="5">
        <f>ROUND(IF(AQ45="5",BJ45,0),2)</f>
        <v>0</v>
      </c>
      <c r="AB45" s="5">
        <f>ROUND(IF(AQ45="1",BH45,0),2)</f>
        <v>0</v>
      </c>
      <c r="AC45" s="5">
        <f>ROUND(IF(AQ45="1",BI45,0),2)</f>
        <v>0</v>
      </c>
      <c r="AD45" s="5">
        <f>ROUND(IF(AQ45="7",BH45,0),2)</f>
        <v>0</v>
      </c>
      <c r="AE45" s="5">
        <f>ROUND(IF(AQ45="7",BI45,0),2)</f>
        <v>0</v>
      </c>
      <c r="AF45" s="5">
        <f>ROUND(IF(AQ45="2",BH45,0),2)</f>
        <v>0</v>
      </c>
      <c r="AG45" s="5">
        <f>ROUND(IF(AQ45="2",BI45,0),2)</f>
        <v>0</v>
      </c>
      <c r="AH45" s="5">
        <f>ROUND(IF(AQ45="0",BJ45,0),2)</f>
        <v>0</v>
      </c>
      <c r="AI45" s="3" t="s">
        <v>47</v>
      </c>
      <c r="AJ45" s="5">
        <f>IF(AN45=0,J45,0)</f>
        <v>0</v>
      </c>
      <c r="AK45" s="5">
        <f>IF(AN45=12,J45,0)</f>
        <v>0</v>
      </c>
      <c r="AL45" s="5">
        <f>IF(AN45=21,J45,0)</f>
        <v>0</v>
      </c>
      <c r="AN45" s="5">
        <v>21</v>
      </c>
      <c r="AO45" s="5">
        <f>G45*0.656362111</f>
        <v>0</v>
      </c>
      <c r="AP45" s="5">
        <f>G45*(1-0.656362111)</f>
        <v>0</v>
      </c>
      <c r="AQ45" s="6" t="s">
        <v>83</v>
      </c>
      <c r="AV45" s="5">
        <f>ROUND(AW45+AX45,2)</f>
        <v>0</v>
      </c>
      <c r="AW45" s="5">
        <f>ROUND(F45*AO45,2)</f>
        <v>0</v>
      </c>
      <c r="AX45" s="5">
        <f>ROUND(F45*AP45,2)</f>
        <v>0</v>
      </c>
      <c r="AY45" s="6" t="s">
        <v>168</v>
      </c>
      <c r="AZ45" s="6" t="s">
        <v>146</v>
      </c>
      <c r="BA45" s="3" t="s">
        <v>57</v>
      </c>
      <c r="BC45" s="5">
        <f>AW45+AX45</f>
        <v>0</v>
      </c>
      <c r="BD45" s="5">
        <f>G45/(100-BE45)*100</f>
        <v>0</v>
      </c>
      <c r="BE45" s="5">
        <v>0</v>
      </c>
      <c r="BF45" s="5">
        <f>45</f>
        <v>45</v>
      </c>
      <c r="BH45" s="5">
        <f>F45*AO45</f>
        <v>0</v>
      </c>
      <c r="BI45" s="5">
        <f>F45*AP45</f>
        <v>0</v>
      </c>
      <c r="BJ45" s="5">
        <f>F45*G45</f>
        <v>0</v>
      </c>
      <c r="BK45" s="6" t="s">
        <v>58</v>
      </c>
      <c r="BL45" s="5">
        <v>764</v>
      </c>
      <c r="BW45" s="5">
        <v>21</v>
      </c>
      <c r="BX45" s="2" t="s">
        <v>169</v>
      </c>
    </row>
    <row r="46" spans="1:76" x14ac:dyDescent="0.25">
      <c r="A46" s="149" t="s">
        <v>170</v>
      </c>
      <c r="B46" s="150" t="s">
        <v>171</v>
      </c>
      <c r="C46" s="121" t="s">
        <v>172</v>
      </c>
      <c r="D46" s="116"/>
      <c r="E46" s="150" t="s">
        <v>105</v>
      </c>
      <c r="F46" s="151">
        <v>23.6</v>
      </c>
      <c r="G46" s="21">
        <v>0</v>
      </c>
      <c r="H46" s="151">
        <f>ROUND(F46*AO46,2)</f>
        <v>0</v>
      </c>
      <c r="I46" s="151">
        <f>ROUND(F46*AP46,2)</f>
        <v>0</v>
      </c>
      <c r="J46" s="151">
        <f>ROUND(F46*G46,2)</f>
        <v>0</v>
      </c>
      <c r="K46" s="152" t="s">
        <v>167</v>
      </c>
      <c r="Z46" s="5">
        <f>ROUND(IF(AQ46="5",BJ46,0),2)</f>
        <v>0</v>
      </c>
      <c r="AB46" s="5">
        <f>ROUND(IF(AQ46="1",BH46,0),2)</f>
        <v>0</v>
      </c>
      <c r="AC46" s="5">
        <f>ROUND(IF(AQ46="1",BI46,0),2)</f>
        <v>0</v>
      </c>
      <c r="AD46" s="5">
        <f>ROUND(IF(AQ46="7",BH46,0),2)</f>
        <v>0</v>
      </c>
      <c r="AE46" s="5">
        <f>ROUND(IF(AQ46="7",BI46,0),2)</f>
        <v>0</v>
      </c>
      <c r="AF46" s="5">
        <f>ROUND(IF(AQ46="2",BH46,0),2)</f>
        <v>0</v>
      </c>
      <c r="AG46" s="5">
        <f>ROUND(IF(AQ46="2",BI46,0),2)</f>
        <v>0</v>
      </c>
      <c r="AH46" s="5">
        <f>ROUND(IF(AQ46="0",BJ46,0),2)</f>
        <v>0</v>
      </c>
      <c r="AI46" s="3" t="s">
        <v>47</v>
      </c>
      <c r="AJ46" s="5">
        <f>IF(AN46=0,J46,0)</f>
        <v>0</v>
      </c>
      <c r="AK46" s="5">
        <f>IF(AN46=12,J46,0)</f>
        <v>0</v>
      </c>
      <c r="AL46" s="5">
        <f>IF(AN46=21,J46,0)</f>
        <v>0</v>
      </c>
      <c r="AN46" s="5">
        <v>21</v>
      </c>
      <c r="AO46" s="5">
        <f>G46*0.811795301</f>
        <v>0</v>
      </c>
      <c r="AP46" s="5">
        <f>G46*(1-0.811795301)</f>
        <v>0</v>
      </c>
      <c r="AQ46" s="6" t="s">
        <v>83</v>
      </c>
      <c r="AV46" s="5">
        <f>ROUND(AW46+AX46,2)</f>
        <v>0</v>
      </c>
      <c r="AW46" s="5">
        <f>ROUND(F46*AO46,2)</f>
        <v>0</v>
      </c>
      <c r="AX46" s="5">
        <f>ROUND(F46*AP46,2)</f>
        <v>0</v>
      </c>
      <c r="AY46" s="6" t="s">
        <v>168</v>
      </c>
      <c r="AZ46" s="6" t="s">
        <v>146</v>
      </c>
      <c r="BA46" s="3" t="s">
        <v>57</v>
      </c>
      <c r="BC46" s="5">
        <f>AW46+AX46</f>
        <v>0</v>
      </c>
      <c r="BD46" s="5">
        <f>G46/(100-BE46)*100</f>
        <v>0</v>
      </c>
      <c r="BE46" s="5">
        <v>0</v>
      </c>
      <c r="BF46" s="5">
        <f>46</f>
        <v>46</v>
      </c>
      <c r="BH46" s="5">
        <f>F46*AO46</f>
        <v>0</v>
      </c>
      <c r="BI46" s="5">
        <f>F46*AP46</f>
        <v>0</v>
      </c>
      <c r="BJ46" s="5">
        <f>F46*G46</f>
        <v>0</v>
      </c>
      <c r="BK46" s="6" t="s">
        <v>58</v>
      </c>
      <c r="BL46" s="5">
        <v>764</v>
      </c>
      <c r="BW46" s="5">
        <v>21</v>
      </c>
      <c r="BX46" s="2" t="s">
        <v>173</v>
      </c>
    </row>
    <row r="47" spans="1:76" x14ac:dyDescent="0.25">
      <c r="A47" s="149" t="s">
        <v>71</v>
      </c>
      <c r="B47" s="150" t="s">
        <v>174</v>
      </c>
      <c r="C47" s="121" t="s">
        <v>175</v>
      </c>
      <c r="D47" s="116"/>
      <c r="E47" s="150" t="s">
        <v>144</v>
      </c>
      <c r="F47" s="151">
        <v>5</v>
      </c>
      <c r="G47" s="21">
        <v>0</v>
      </c>
      <c r="H47" s="151">
        <f>ROUND(F47*AO47,2)</f>
        <v>0</v>
      </c>
      <c r="I47" s="151">
        <f>ROUND(F47*AP47,2)</f>
        <v>0</v>
      </c>
      <c r="J47" s="151">
        <f>ROUND(F47*G47,2)</f>
        <v>0</v>
      </c>
      <c r="K47" s="152" t="s">
        <v>167</v>
      </c>
      <c r="Z47" s="5">
        <f>ROUND(IF(AQ47="5",BJ47,0),2)</f>
        <v>0</v>
      </c>
      <c r="AB47" s="5">
        <f>ROUND(IF(AQ47="1",BH47,0),2)</f>
        <v>0</v>
      </c>
      <c r="AC47" s="5">
        <f>ROUND(IF(AQ47="1",BI47,0),2)</f>
        <v>0</v>
      </c>
      <c r="AD47" s="5">
        <f>ROUND(IF(AQ47="7",BH47,0),2)</f>
        <v>0</v>
      </c>
      <c r="AE47" s="5">
        <f>ROUND(IF(AQ47="7",BI47,0),2)</f>
        <v>0</v>
      </c>
      <c r="AF47" s="5">
        <f>ROUND(IF(AQ47="2",BH47,0),2)</f>
        <v>0</v>
      </c>
      <c r="AG47" s="5">
        <f>ROUND(IF(AQ47="2",BI47,0),2)</f>
        <v>0</v>
      </c>
      <c r="AH47" s="5">
        <f>ROUND(IF(AQ47="0",BJ47,0),2)</f>
        <v>0</v>
      </c>
      <c r="AI47" s="3" t="s">
        <v>47</v>
      </c>
      <c r="AJ47" s="5">
        <f>IF(AN47=0,J47,0)</f>
        <v>0</v>
      </c>
      <c r="AK47" s="5">
        <f>IF(AN47=12,J47,0)</f>
        <v>0</v>
      </c>
      <c r="AL47" s="5">
        <f>IF(AN47=21,J47,0)</f>
        <v>0</v>
      </c>
      <c r="AN47" s="5">
        <v>21</v>
      </c>
      <c r="AO47" s="5">
        <f>G47*0.459880137</f>
        <v>0</v>
      </c>
      <c r="AP47" s="5">
        <f>G47*(1-0.459880137)</f>
        <v>0</v>
      </c>
      <c r="AQ47" s="6" t="s">
        <v>83</v>
      </c>
      <c r="AV47" s="5">
        <f>ROUND(AW47+AX47,2)</f>
        <v>0</v>
      </c>
      <c r="AW47" s="5">
        <f>ROUND(F47*AO47,2)</f>
        <v>0</v>
      </c>
      <c r="AX47" s="5">
        <f>ROUND(F47*AP47,2)</f>
        <v>0</v>
      </c>
      <c r="AY47" s="6" t="s">
        <v>168</v>
      </c>
      <c r="AZ47" s="6" t="s">
        <v>146</v>
      </c>
      <c r="BA47" s="3" t="s">
        <v>57</v>
      </c>
      <c r="BC47" s="5">
        <f>AW47+AX47</f>
        <v>0</v>
      </c>
      <c r="BD47" s="5">
        <f>G47/(100-BE47)*100</f>
        <v>0</v>
      </c>
      <c r="BE47" s="5">
        <v>0</v>
      </c>
      <c r="BF47" s="5">
        <f>47</f>
        <v>47</v>
      </c>
      <c r="BH47" s="5">
        <f>F47*AO47</f>
        <v>0</v>
      </c>
      <c r="BI47" s="5">
        <f>F47*AP47</f>
        <v>0</v>
      </c>
      <c r="BJ47" s="5">
        <f>F47*G47</f>
        <v>0</v>
      </c>
      <c r="BK47" s="6" t="s">
        <v>58</v>
      </c>
      <c r="BL47" s="5">
        <v>764</v>
      </c>
      <c r="BW47" s="5">
        <v>21</v>
      </c>
      <c r="BX47" s="2" t="s">
        <v>176</v>
      </c>
    </row>
    <row r="48" spans="1:76" x14ac:dyDescent="0.25">
      <c r="A48" s="141" t="s">
        <v>47</v>
      </c>
      <c r="B48" s="153" t="s">
        <v>177</v>
      </c>
      <c r="C48" s="154" t="s">
        <v>178</v>
      </c>
      <c r="D48" s="155"/>
      <c r="E48" s="156" t="s">
        <v>4</v>
      </c>
      <c r="F48" s="156" t="s">
        <v>4</v>
      </c>
      <c r="G48" s="157" t="s">
        <v>4</v>
      </c>
      <c r="H48" s="158">
        <f>ROUND(SUM(H49:H49),2)</f>
        <v>0</v>
      </c>
      <c r="I48" s="158">
        <f>ROUND(SUM(I49:I49),2)</f>
        <v>0</v>
      </c>
      <c r="J48" s="158">
        <f>ROUND(SUM(J49:J49),2)</f>
        <v>0</v>
      </c>
      <c r="K48" s="148" t="s">
        <v>47</v>
      </c>
      <c r="AI48" s="3" t="s">
        <v>47</v>
      </c>
      <c r="AS48" s="1">
        <f>SUM(AJ49:AJ49)</f>
        <v>0</v>
      </c>
      <c r="AT48" s="1">
        <f>SUM(AK49:AK49)</f>
        <v>0</v>
      </c>
      <c r="AU48" s="1">
        <f>SUM(AL49:AL49)</f>
        <v>0</v>
      </c>
    </row>
    <row r="49" spans="1:76" x14ac:dyDescent="0.25">
      <c r="A49" s="149" t="s">
        <v>179</v>
      </c>
      <c r="B49" s="150" t="s">
        <v>180</v>
      </c>
      <c r="C49" s="121" t="s">
        <v>181</v>
      </c>
      <c r="D49" s="116"/>
      <c r="E49" s="150" t="s">
        <v>182</v>
      </c>
      <c r="F49" s="151">
        <v>850</v>
      </c>
      <c r="G49" s="21">
        <v>0</v>
      </c>
      <c r="H49" s="151">
        <f>ROUND(F49*AO49,2)</f>
        <v>0</v>
      </c>
      <c r="I49" s="151">
        <f>ROUND(F49*AP49,2)</f>
        <v>0</v>
      </c>
      <c r="J49" s="151">
        <f>ROUND(F49*G49,2)</f>
        <v>0</v>
      </c>
      <c r="K49" s="152" t="s">
        <v>54</v>
      </c>
      <c r="Z49" s="5">
        <f>ROUND(IF(AQ49="5",BJ49,0),2)</f>
        <v>0</v>
      </c>
      <c r="AB49" s="5">
        <f>ROUND(IF(AQ49="1",BH49,0),2)</f>
        <v>0</v>
      </c>
      <c r="AC49" s="5">
        <f>ROUND(IF(AQ49="1",BI49,0),2)</f>
        <v>0</v>
      </c>
      <c r="AD49" s="5">
        <f>ROUND(IF(AQ49="7",BH49,0),2)</f>
        <v>0</v>
      </c>
      <c r="AE49" s="5">
        <f>ROUND(IF(AQ49="7",BI49,0),2)</f>
        <v>0</v>
      </c>
      <c r="AF49" s="5">
        <f>ROUND(IF(AQ49="2",BH49,0),2)</f>
        <v>0</v>
      </c>
      <c r="AG49" s="5">
        <f>ROUND(IF(AQ49="2",BI49,0),2)</f>
        <v>0</v>
      </c>
      <c r="AH49" s="5">
        <f>ROUND(IF(AQ49="0",BJ49,0),2)</f>
        <v>0</v>
      </c>
      <c r="AI49" s="3" t="s">
        <v>47</v>
      </c>
      <c r="AJ49" s="5">
        <f>IF(AN49=0,J49,0)</f>
        <v>0</v>
      </c>
      <c r="AK49" s="5">
        <f>IF(AN49=12,J49,0)</f>
        <v>0</v>
      </c>
      <c r="AL49" s="5">
        <f>IF(AN49=21,J49,0)</f>
        <v>0</v>
      </c>
      <c r="AN49" s="5">
        <v>21</v>
      </c>
      <c r="AO49" s="5">
        <f>G49*0.163196635</f>
        <v>0</v>
      </c>
      <c r="AP49" s="5">
        <f>G49*(1-0.163196635)</f>
        <v>0</v>
      </c>
      <c r="AQ49" s="6" t="s">
        <v>83</v>
      </c>
      <c r="AV49" s="5">
        <f>ROUND(AW49+AX49,2)</f>
        <v>0</v>
      </c>
      <c r="AW49" s="5">
        <f>ROUND(F49*AO49,2)</f>
        <v>0</v>
      </c>
      <c r="AX49" s="5">
        <f>ROUND(F49*AP49,2)</f>
        <v>0</v>
      </c>
      <c r="AY49" s="6" t="s">
        <v>183</v>
      </c>
      <c r="AZ49" s="6" t="s">
        <v>146</v>
      </c>
      <c r="BA49" s="3" t="s">
        <v>57</v>
      </c>
      <c r="BC49" s="5">
        <f>AW49+AX49</f>
        <v>0</v>
      </c>
      <c r="BD49" s="5">
        <f>G49/(100-BE49)*100</f>
        <v>0</v>
      </c>
      <c r="BE49" s="5">
        <v>0</v>
      </c>
      <c r="BF49" s="5">
        <f>49</f>
        <v>49</v>
      </c>
      <c r="BH49" s="5">
        <f>F49*AO49</f>
        <v>0</v>
      </c>
      <c r="BI49" s="5">
        <f>F49*AP49</f>
        <v>0</v>
      </c>
      <c r="BJ49" s="5">
        <f>F49*G49</f>
        <v>0</v>
      </c>
      <c r="BK49" s="6" t="s">
        <v>58</v>
      </c>
      <c r="BL49" s="5">
        <v>767</v>
      </c>
      <c r="BW49" s="5">
        <v>21</v>
      </c>
      <c r="BX49" s="2" t="s">
        <v>181</v>
      </c>
    </row>
    <row r="50" spans="1:76" x14ac:dyDescent="0.25">
      <c r="A50" s="141" t="s">
        <v>47</v>
      </c>
      <c r="B50" s="153" t="s">
        <v>184</v>
      </c>
      <c r="C50" s="154" t="s">
        <v>185</v>
      </c>
      <c r="D50" s="155"/>
      <c r="E50" s="156" t="s">
        <v>4</v>
      </c>
      <c r="F50" s="156" t="s">
        <v>4</v>
      </c>
      <c r="G50" s="157" t="s">
        <v>4</v>
      </c>
      <c r="H50" s="158">
        <f>ROUND(SUM(H51:H52),2)</f>
        <v>0</v>
      </c>
      <c r="I50" s="158">
        <f>ROUND(SUM(I51:I52),2)</f>
        <v>0</v>
      </c>
      <c r="J50" s="158">
        <f>ROUND(SUM(J51:J52),2)</f>
        <v>0</v>
      </c>
      <c r="K50" s="148" t="s">
        <v>47</v>
      </c>
      <c r="AI50" s="3" t="s">
        <v>47</v>
      </c>
      <c r="AS50" s="1">
        <f>SUM(AJ51:AJ52)</f>
        <v>0</v>
      </c>
      <c r="AT50" s="1">
        <f>SUM(AK51:AK52)</f>
        <v>0</v>
      </c>
      <c r="AU50" s="1">
        <f>SUM(AL51:AL52)</f>
        <v>0</v>
      </c>
    </row>
    <row r="51" spans="1:76" x14ac:dyDescent="0.25">
      <c r="A51" s="149" t="s">
        <v>186</v>
      </c>
      <c r="B51" s="150" t="s">
        <v>187</v>
      </c>
      <c r="C51" s="121" t="s">
        <v>188</v>
      </c>
      <c r="D51" s="116"/>
      <c r="E51" s="150" t="s">
        <v>98</v>
      </c>
      <c r="F51" s="151">
        <v>315.60000000000002</v>
      </c>
      <c r="G51" s="21">
        <v>0</v>
      </c>
      <c r="H51" s="151">
        <f>ROUND(F51*AO51,2)</f>
        <v>0</v>
      </c>
      <c r="I51" s="151">
        <f>ROUND(F51*AP51,2)</f>
        <v>0</v>
      </c>
      <c r="J51" s="151">
        <f>ROUND(F51*G51,2)</f>
        <v>0</v>
      </c>
      <c r="K51" s="152" t="s">
        <v>54</v>
      </c>
      <c r="Z51" s="5">
        <f>ROUND(IF(AQ51="5",BJ51,0),2)</f>
        <v>0</v>
      </c>
      <c r="AB51" s="5">
        <f>ROUND(IF(AQ51="1",BH51,0),2)</f>
        <v>0</v>
      </c>
      <c r="AC51" s="5">
        <f>ROUND(IF(AQ51="1",BI51,0),2)</f>
        <v>0</v>
      </c>
      <c r="AD51" s="5">
        <f>ROUND(IF(AQ51="7",BH51,0),2)</f>
        <v>0</v>
      </c>
      <c r="AE51" s="5">
        <f>ROUND(IF(AQ51="7",BI51,0),2)</f>
        <v>0</v>
      </c>
      <c r="AF51" s="5">
        <f>ROUND(IF(AQ51="2",BH51,0),2)</f>
        <v>0</v>
      </c>
      <c r="AG51" s="5">
        <f>ROUND(IF(AQ51="2",BI51,0),2)</f>
        <v>0</v>
      </c>
      <c r="AH51" s="5">
        <f>ROUND(IF(AQ51="0",BJ51,0),2)</f>
        <v>0</v>
      </c>
      <c r="AI51" s="3" t="s">
        <v>47</v>
      </c>
      <c r="AJ51" s="5">
        <f>IF(AN51=0,J51,0)</f>
        <v>0</v>
      </c>
      <c r="AK51" s="5">
        <f>IF(AN51=12,J51,0)</f>
        <v>0</v>
      </c>
      <c r="AL51" s="5">
        <f>IF(AN51=21,J51,0)</f>
        <v>0</v>
      </c>
      <c r="AN51" s="5">
        <v>21</v>
      </c>
      <c r="AO51" s="5">
        <f>G51*0.421310618</f>
        <v>0</v>
      </c>
      <c r="AP51" s="5">
        <f>G51*(1-0.421310618)</f>
        <v>0</v>
      </c>
      <c r="AQ51" s="6" t="s">
        <v>83</v>
      </c>
      <c r="AV51" s="5">
        <f>ROUND(AW51+AX51,2)</f>
        <v>0</v>
      </c>
      <c r="AW51" s="5">
        <f>ROUND(F51*AO51,2)</f>
        <v>0</v>
      </c>
      <c r="AX51" s="5">
        <f>ROUND(F51*AP51,2)</f>
        <v>0</v>
      </c>
      <c r="AY51" s="6" t="s">
        <v>189</v>
      </c>
      <c r="AZ51" s="6" t="s">
        <v>190</v>
      </c>
      <c r="BA51" s="3" t="s">
        <v>57</v>
      </c>
      <c r="BC51" s="5">
        <f>AW51+AX51</f>
        <v>0</v>
      </c>
      <c r="BD51" s="5">
        <f>G51/(100-BE51)*100</f>
        <v>0</v>
      </c>
      <c r="BE51" s="5">
        <v>0</v>
      </c>
      <c r="BF51" s="5">
        <f>51</f>
        <v>51</v>
      </c>
      <c r="BH51" s="5">
        <f>F51*AO51</f>
        <v>0</v>
      </c>
      <c r="BI51" s="5">
        <f>F51*AP51</f>
        <v>0</v>
      </c>
      <c r="BJ51" s="5">
        <f>F51*G51</f>
        <v>0</v>
      </c>
      <c r="BK51" s="6" t="s">
        <v>58</v>
      </c>
      <c r="BL51" s="5">
        <v>783</v>
      </c>
      <c r="BW51" s="5">
        <v>21</v>
      </c>
      <c r="BX51" s="2" t="s">
        <v>188</v>
      </c>
    </row>
    <row r="52" spans="1:76" x14ac:dyDescent="0.25">
      <c r="A52" s="149" t="s">
        <v>191</v>
      </c>
      <c r="B52" s="150" t="s">
        <v>192</v>
      </c>
      <c r="C52" s="121" t="s">
        <v>193</v>
      </c>
      <c r="D52" s="116"/>
      <c r="E52" s="150" t="s">
        <v>98</v>
      </c>
      <c r="F52" s="151">
        <v>657.7</v>
      </c>
      <c r="G52" s="21">
        <v>0</v>
      </c>
      <c r="H52" s="151">
        <f>ROUND(F52*AO52,2)</f>
        <v>0</v>
      </c>
      <c r="I52" s="151">
        <f>ROUND(F52*AP52,2)</f>
        <v>0</v>
      </c>
      <c r="J52" s="151">
        <f>ROUND(F52*G52,2)</f>
        <v>0</v>
      </c>
      <c r="K52" s="152" t="s">
        <v>54</v>
      </c>
      <c r="Z52" s="5">
        <f>ROUND(IF(AQ52="5",BJ52,0),2)</f>
        <v>0</v>
      </c>
      <c r="AB52" s="5">
        <f>ROUND(IF(AQ52="1",BH52,0),2)</f>
        <v>0</v>
      </c>
      <c r="AC52" s="5">
        <f>ROUND(IF(AQ52="1",BI52,0),2)</f>
        <v>0</v>
      </c>
      <c r="AD52" s="5">
        <f>ROUND(IF(AQ52="7",BH52,0),2)</f>
        <v>0</v>
      </c>
      <c r="AE52" s="5">
        <f>ROUND(IF(AQ52="7",BI52,0),2)</f>
        <v>0</v>
      </c>
      <c r="AF52" s="5">
        <f>ROUND(IF(AQ52="2",BH52,0),2)</f>
        <v>0</v>
      </c>
      <c r="AG52" s="5">
        <f>ROUND(IF(AQ52="2",BI52,0),2)</f>
        <v>0</v>
      </c>
      <c r="AH52" s="5">
        <f>ROUND(IF(AQ52="0",BJ52,0),2)</f>
        <v>0</v>
      </c>
      <c r="AI52" s="3" t="s">
        <v>47</v>
      </c>
      <c r="AJ52" s="5">
        <f>IF(AN52=0,J52,0)</f>
        <v>0</v>
      </c>
      <c r="AK52" s="5">
        <f>IF(AN52=12,J52,0)</f>
        <v>0</v>
      </c>
      <c r="AL52" s="5">
        <f>IF(AN52=21,J52,0)</f>
        <v>0</v>
      </c>
      <c r="AN52" s="5">
        <v>21</v>
      </c>
      <c r="AO52" s="5">
        <f>G52*0.186127673</f>
        <v>0</v>
      </c>
      <c r="AP52" s="5">
        <f>G52*(1-0.186127673)</f>
        <v>0</v>
      </c>
      <c r="AQ52" s="6" t="s">
        <v>83</v>
      </c>
      <c r="AV52" s="5">
        <f>ROUND(AW52+AX52,2)</f>
        <v>0</v>
      </c>
      <c r="AW52" s="5">
        <f>ROUND(F52*AO52,2)</f>
        <v>0</v>
      </c>
      <c r="AX52" s="5">
        <f>ROUND(F52*AP52,2)</f>
        <v>0</v>
      </c>
      <c r="AY52" s="6" t="s">
        <v>189</v>
      </c>
      <c r="AZ52" s="6" t="s">
        <v>190</v>
      </c>
      <c r="BA52" s="3" t="s">
        <v>57</v>
      </c>
      <c r="BC52" s="5">
        <f>AW52+AX52</f>
        <v>0</v>
      </c>
      <c r="BD52" s="5">
        <f>G52/(100-BE52)*100</f>
        <v>0</v>
      </c>
      <c r="BE52" s="5">
        <v>0</v>
      </c>
      <c r="BF52" s="5">
        <f>52</f>
        <v>52</v>
      </c>
      <c r="BH52" s="5">
        <f>F52*AO52</f>
        <v>0</v>
      </c>
      <c r="BI52" s="5">
        <f>F52*AP52</f>
        <v>0</v>
      </c>
      <c r="BJ52" s="5">
        <f>F52*G52</f>
        <v>0</v>
      </c>
      <c r="BK52" s="6" t="s">
        <v>58</v>
      </c>
      <c r="BL52" s="5">
        <v>783</v>
      </c>
      <c r="BW52" s="5">
        <v>21</v>
      </c>
      <c r="BX52" s="2" t="s">
        <v>194</v>
      </c>
    </row>
    <row r="53" spans="1:76" x14ac:dyDescent="0.25">
      <c r="A53" s="141" t="s">
        <v>47</v>
      </c>
      <c r="B53" s="153" t="s">
        <v>195</v>
      </c>
      <c r="C53" s="154" t="s">
        <v>196</v>
      </c>
      <c r="D53" s="155"/>
      <c r="E53" s="156" t="s">
        <v>4</v>
      </c>
      <c r="F53" s="156" t="s">
        <v>4</v>
      </c>
      <c r="G53" s="157" t="s">
        <v>4</v>
      </c>
      <c r="H53" s="158">
        <f>ROUND(SUM(H54:H54),2)</f>
        <v>0</v>
      </c>
      <c r="I53" s="158">
        <f>ROUND(SUM(I54:I54),2)</f>
        <v>0</v>
      </c>
      <c r="J53" s="158">
        <f>ROUND(SUM(J54:J54),2)</f>
        <v>0</v>
      </c>
      <c r="K53" s="148" t="s">
        <v>47</v>
      </c>
      <c r="AI53" s="3" t="s">
        <v>47</v>
      </c>
      <c r="AS53" s="1">
        <f>SUM(AJ54:AJ54)</f>
        <v>0</v>
      </c>
      <c r="AT53" s="1">
        <f>SUM(AK54:AK54)</f>
        <v>0</v>
      </c>
      <c r="AU53" s="1">
        <f>SUM(AL54:AL54)</f>
        <v>0</v>
      </c>
    </row>
    <row r="54" spans="1:76" x14ac:dyDescent="0.25">
      <c r="A54" s="149" t="s">
        <v>81</v>
      </c>
      <c r="B54" s="150" t="s">
        <v>197</v>
      </c>
      <c r="C54" s="121" t="s">
        <v>198</v>
      </c>
      <c r="D54" s="116"/>
      <c r="E54" s="150" t="s">
        <v>199</v>
      </c>
      <c r="F54" s="151">
        <v>60</v>
      </c>
      <c r="G54" s="21">
        <v>0</v>
      </c>
      <c r="H54" s="151">
        <f>ROUND(F54*AO54,2)</f>
        <v>0</v>
      </c>
      <c r="I54" s="151">
        <f>ROUND(F54*AP54,2)</f>
        <v>0</v>
      </c>
      <c r="J54" s="151">
        <f>ROUND(F54*G54,2)</f>
        <v>0</v>
      </c>
      <c r="K54" s="152" t="s">
        <v>54</v>
      </c>
      <c r="Z54" s="5">
        <f>ROUND(IF(AQ54="5",BJ54,0),2)</f>
        <v>0</v>
      </c>
      <c r="AB54" s="5">
        <f>ROUND(IF(AQ54="1",BH54,0),2)</f>
        <v>0</v>
      </c>
      <c r="AC54" s="5">
        <f>ROUND(IF(AQ54="1",BI54,0),2)</f>
        <v>0</v>
      </c>
      <c r="AD54" s="5">
        <f>ROUND(IF(AQ54="7",BH54,0),2)</f>
        <v>0</v>
      </c>
      <c r="AE54" s="5">
        <f>ROUND(IF(AQ54="7",BI54,0),2)</f>
        <v>0</v>
      </c>
      <c r="AF54" s="5">
        <f>ROUND(IF(AQ54="2",BH54,0),2)</f>
        <v>0</v>
      </c>
      <c r="AG54" s="5">
        <f>ROUND(IF(AQ54="2",BI54,0),2)</f>
        <v>0</v>
      </c>
      <c r="AH54" s="5">
        <f>ROUND(IF(AQ54="0",BJ54,0),2)</f>
        <v>0</v>
      </c>
      <c r="AI54" s="3" t="s">
        <v>47</v>
      </c>
      <c r="AJ54" s="5">
        <f>IF(AN54=0,J54,0)</f>
        <v>0</v>
      </c>
      <c r="AK54" s="5">
        <f>IF(AN54=12,J54,0)</f>
        <v>0</v>
      </c>
      <c r="AL54" s="5">
        <f>IF(AN54=21,J54,0)</f>
        <v>0</v>
      </c>
      <c r="AN54" s="5">
        <v>21</v>
      </c>
      <c r="AO54" s="5">
        <f>G54*0</f>
        <v>0</v>
      </c>
      <c r="AP54" s="5">
        <f>G54*(1-0)</f>
        <v>0</v>
      </c>
      <c r="AQ54" s="6" t="s">
        <v>50</v>
      </c>
      <c r="AV54" s="5">
        <f>ROUND(AW54+AX54,2)</f>
        <v>0</v>
      </c>
      <c r="AW54" s="5">
        <f>ROUND(F54*AO54,2)</f>
        <v>0</v>
      </c>
      <c r="AX54" s="5">
        <f>ROUND(F54*AP54,2)</f>
        <v>0</v>
      </c>
      <c r="AY54" s="6" t="s">
        <v>200</v>
      </c>
      <c r="AZ54" s="6" t="s">
        <v>201</v>
      </c>
      <c r="BA54" s="3" t="s">
        <v>57</v>
      </c>
      <c r="BC54" s="5">
        <f>AW54+AX54</f>
        <v>0</v>
      </c>
      <c r="BD54" s="5">
        <f>G54/(100-BE54)*100</f>
        <v>0</v>
      </c>
      <c r="BE54" s="5">
        <v>0</v>
      </c>
      <c r="BF54" s="5">
        <f>54</f>
        <v>54</v>
      </c>
      <c r="BH54" s="5">
        <f>F54*AO54</f>
        <v>0</v>
      </c>
      <c r="BI54" s="5">
        <f>F54*AP54</f>
        <v>0</v>
      </c>
      <c r="BJ54" s="5">
        <f>F54*G54</f>
        <v>0</v>
      </c>
      <c r="BK54" s="6" t="s">
        <v>58</v>
      </c>
      <c r="BL54" s="5">
        <v>94</v>
      </c>
      <c r="BW54" s="5">
        <v>21</v>
      </c>
      <c r="BX54" s="2" t="s">
        <v>198</v>
      </c>
    </row>
    <row r="55" spans="1:76" x14ac:dyDescent="0.25">
      <c r="A55" s="141" t="s">
        <v>47</v>
      </c>
      <c r="B55" s="153" t="s">
        <v>202</v>
      </c>
      <c r="C55" s="154" t="s">
        <v>203</v>
      </c>
      <c r="D55" s="155"/>
      <c r="E55" s="156" t="s">
        <v>4</v>
      </c>
      <c r="F55" s="156" t="s">
        <v>4</v>
      </c>
      <c r="G55" s="157" t="s">
        <v>4</v>
      </c>
      <c r="H55" s="158">
        <f>ROUND(SUM(H56:H56),2)</f>
        <v>0</v>
      </c>
      <c r="I55" s="158">
        <f>ROUND(SUM(I56:I56),2)</f>
        <v>0</v>
      </c>
      <c r="J55" s="158">
        <f>ROUND(SUM(J56:J56),2)</f>
        <v>0</v>
      </c>
      <c r="K55" s="148" t="s">
        <v>47</v>
      </c>
      <c r="AI55" s="3" t="s">
        <v>47</v>
      </c>
      <c r="AS55" s="1">
        <f>SUM(AJ56:AJ56)</f>
        <v>0</v>
      </c>
      <c r="AT55" s="1">
        <f>SUM(AK56:AK56)</f>
        <v>0</v>
      </c>
      <c r="AU55" s="1">
        <f>SUM(AL56:AL56)</f>
        <v>0</v>
      </c>
    </row>
    <row r="56" spans="1:76" x14ac:dyDescent="0.25">
      <c r="A56" s="149" t="s">
        <v>204</v>
      </c>
      <c r="B56" s="150" t="s">
        <v>205</v>
      </c>
      <c r="C56" s="121" t="s">
        <v>206</v>
      </c>
      <c r="D56" s="116"/>
      <c r="E56" s="150" t="s">
        <v>86</v>
      </c>
      <c r="F56" s="151">
        <v>43.75</v>
      </c>
      <c r="G56" s="21">
        <v>0</v>
      </c>
      <c r="H56" s="151">
        <f>ROUND(F56*AO56,2)</f>
        <v>0</v>
      </c>
      <c r="I56" s="151">
        <f>ROUND(F56*AP56,2)</f>
        <v>0</v>
      </c>
      <c r="J56" s="151">
        <f>ROUND(F56*G56,2)</f>
        <v>0</v>
      </c>
      <c r="K56" s="152" t="s">
        <v>54</v>
      </c>
      <c r="Z56" s="5">
        <f>ROUND(IF(AQ56="5",BJ56,0),2)</f>
        <v>0</v>
      </c>
      <c r="AB56" s="5">
        <f>ROUND(IF(AQ56="1",BH56,0),2)</f>
        <v>0</v>
      </c>
      <c r="AC56" s="5">
        <f>ROUND(IF(AQ56="1",BI56,0),2)</f>
        <v>0</v>
      </c>
      <c r="AD56" s="5">
        <f>ROUND(IF(AQ56="7",BH56,0),2)</f>
        <v>0</v>
      </c>
      <c r="AE56" s="5">
        <f>ROUND(IF(AQ56="7",BI56,0),2)</f>
        <v>0</v>
      </c>
      <c r="AF56" s="5">
        <f>ROUND(IF(AQ56="2",BH56,0),2)</f>
        <v>0</v>
      </c>
      <c r="AG56" s="5">
        <f>ROUND(IF(AQ56="2",BI56,0),2)</f>
        <v>0</v>
      </c>
      <c r="AH56" s="5">
        <f>ROUND(IF(AQ56="0",BJ56,0),2)</f>
        <v>0</v>
      </c>
      <c r="AI56" s="3" t="s">
        <v>47</v>
      </c>
      <c r="AJ56" s="5">
        <f>IF(AN56=0,J56,0)</f>
        <v>0</v>
      </c>
      <c r="AK56" s="5">
        <f>IF(AN56=12,J56,0)</f>
        <v>0</v>
      </c>
      <c r="AL56" s="5">
        <f>IF(AN56=21,J56,0)</f>
        <v>0</v>
      </c>
      <c r="AN56" s="5">
        <v>21</v>
      </c>
      <c r="AO56" s="5">
        <f>G56*0</f>
        <v>0</v>
      </c>
      <c r="AP56" s="5">
        <f>G56*(1-0)</f>
        <v>0</v>
      </c>
      <c r="AQ56" s="6" t="s">
        <v>73</v>
      </c>
      <c r="AV56" s="5">
        <f>ROUND(AW56+AX56,2)</f>
        <v>0</v>
      </c>
      <c r="AW56" s="5">
        <f>ROUND(F56*AO56,2)</f>
        <v>0</v>
      </c>
      <c r="AX56" s="5">
        <f>ROUND(F56*AP56,2)</f>
        <v>0</v>
      </c>
      <c r="AY56" s="6" t="s">
        <v>207</v>
      </c>
      <c r="AZ56" s="6" t="s">
        <v>201</v>
      </c>
      <c r="BA56" s="3" t="s">
        <v>57</v>
      </c>
      <c r="BC56" s="5">
        <f>AW56+AX56</f>
        <v>0</v>
      </c>
      <c r="BD56" s="5">
        <f>G56/(100-BE56)*100</f>
        <v>0</v>
      </c>
      <c r="BE56" s="5">
        <v>0</v>
      </c>
      <c r="BF56" s="5">
        <f>56</f>
        <v>56</v>
      </c>
      <c r="BH56" s="5">
        <f>F56*AO56</f>
        <v>0</v>
      </c>
      <c r="BI56" s="5">
        <f>F56*AP56</f>
        <v>0</v>
      </c>
      <c r="BJ56" s="5">
        <f>F56*G56</f>
        <v>0</v>
      </c>
      <c r="BK56" s="6" t="s">
        <v>58</v>
      </c>
      <c r="BL56" s="5"/>
      <c r="BW56" s="5">
        <v>21</v>
      </c>
      <c r="BX56" s="2" t="s">
        <v>206</v>
      </c>
    </row>
    <row r="57" spans="1:76" x14ac:dyDescent="0.25">
      <c r="A57" s="141" t="s">
        <v>47</v>
      </c>
      <c r="B57" s="153" t="s">
        <v>208</v>
      </c>
      <c r="C57" s="154" t="s">
        <v>209</v>
      </c>
      <c r="D57" s="155"/>
      <c r="E57" s="156" t="s">
        <v>4</v>
      </c>
      <c r="F57" s="156" t="s">
        <v>4</v>
      </c>
      <c r="G57" s="157" t="s">
        <v>4</v>
      </c>
      <c r="H57" s="158">
        <f>ROUND(SUM(H58:H58),2)</f>
        <v>0</v>
      </c>
      <c r="I57" s="158">
        <f>ROUND(SUM(I58:I58),2)</f>
        <v>0</v>
      </c>
      <c r="J57" s="158">
        <f>ROUND(SUM(J58:J58),2)</f>
        <v>0</v>
      </c>
      <c r="K57" s="148" t="s">
        <v>47</v>
      </c>
      <c r="AI57" s="3" t="s">
        <v>47</v>
      </c>
      <c r="AS57" s="1">
        <f>SUM(AJ58:AJ58)</f>
        <v>0</v>
      </c>
      <c r="AT57" s="1">
        <f>SUM(AK58:AK58)</f>
        <v>0</v>
      </c>
      <c r="AU57" s="1">
        <f>SUM(AL58:AL58)</f>
        <v>0</v>
      </c>
    </row>
    <row r="58" spans="1:76" x14ac:dyDescent="0.25">
      <c r="A58" s="149" t="s">
        <v>210</v>
      </c>
      <c r="B58" s="150" t="s">
        <v>211</v>
      </c>
      <c r="C58" s="121" t="s">
        <v>212</v>
      </c>
      <c r="D58" s="116"/>
      <c r="E58" s="150" t="s">
        <v>105</v>
      </c>
      <c r="F58" s="151">
        <v>15</v>
      </c>
      <c r="G58" s="21">
        <v>0</v>
      </c>
      <c r="H58" s="151">
        <f>ROUND(F58*AO58,2)</f>
        <v>0</v>
      </c>
      <c r="I58" s="151">
        <f>ROUND(F58*AP58,2)</f>
        <v>0</v>
      </c>
      <c r="J58" s="151">
        <f>ROUND(F58*G58,2)</f>
        <v>0</v>
      </c>
      <c r="K58" s="152" t="s">
        <v>54</v>
      </c>
      <c r="Z58" s="5">
        <f>ROUND(IF(AQ58="5",BJ58,0),2)</f>
        <v>0</v>
      </c>
      <c r="AB58" s="5">
        <f>ROUND(IF(AQ58="1",BH58,0),2)</f>
        <v>0</v>
      </c>
      <c r="AC58" s="5">
        <f>ROUND(IF(AQ58="1",BI58,0),2)</f>
        <v>0</v>
      </c>
      <c r="AD58" s="5">
        <f>ROUND(IF(AQ58="7",BH58,0),2)</f>
        <v>0</v>
      </c>
      <c r="AE58" s="5">
        <f>ROUND(IF(AQ58="7",BI58,0),2)</f>
        <v>0</v>
      </c>
      <c r="AF58" s="5">
        <f>ROUND(IF(AQ58="2",BH58,0),2)</f>
        <v>0</v>
      </c>
      <c r="AG58" s="5">
        <f>ROUND(IF(AQ58="2",BI58,0),2)</f>
        <v>0</v>
      </c>
      <c r="AH58" s="5">
        <f>ROUND(IF(AQ58="0",BJ58,0),2)</f>
        <v>0</v>
      </c>
      <c r="AI58" s="3" t="s">
        <v>47</v>
      </c>
      <c r="AJ58" s="5">
        <f>IF(AN58=0,J58,0)</f>
        <v>0</v>
      </c>
      <c r="AK58" s="5">
        <f>IF(AN58=12,J58,0)</f>
        <v>0</v>
      </c>
      <c r="AL58" s="5">
        <f>IF(AN58=21,J58,0)</f>
        <v>0</v>
      </c>
      <c r="AN58" s="5">
        <v>21</v>
      </c>
      <c r="AO58" s="5">
        <f>G58*0.320446793</f>
        <v>0</v>
      </c>
      <c r="AP58" s="5">
        <f>G58*(1-0.320446793)</f>
        <v>0</v>
      </c>
      <c r="AQ58" s="6" t="s">
        <v>59</v>
      </c>
      <c r="AV58" s="5">
        <f>ROUND(AW58+AX58,2)</f>
        <v>0</v>
      </c>
      <c r="AW58" s="5">
        <f>ROUND(F58*AO58,2)</f>
        <v>0</v>
      </c>
      <c r="AX58" s="5">
        <f>ROUND(F58*AP58,2)</f>
        <v>0</v>
      </c>
      <c r="AY58" s="6" t="s">
        <v>213</v>
      </c>
      <c r="AZ58" s="6" t="s">
        <v>201</v>
      </c>
      <c r="BA58" s="3" t="s">
        <v>57</v>
      </c>
      <c r="BC58" s="5">
        <f>AW58+AX58</f>
        <v>0</v>
      </c>
      <c r="BD58" s="5">
        <f>G58/(100-BE58)*100</f>
        <v>0</v>
      </c>
      <c r="BE58" s="5">
        <v>0</v>
      </c>
      <c r="BF58" s="5">
        <f>58</f>
        <v>58</v>
      </c>
      <c r="BH58" s="5">
        <f>F58*AO58</f>
        <v>0</v>
      </c>
      <c r="BI58" s="5">
        <f>F58*AP58</f>
        <v>0</v>
      </c>
      <c r="BJ58" s="5">
        <f>F58*G58</f>
        <v>0</v>
      </c>
      <c r="BK58" s="6" t="s">
        <v>58</v>
      </c>
      <c r="BL58" s="5"/>
      <c r="BW58" s="5">
        <v>21</v>
      </c>
      <c r="BX58" s="2" t="s">
        <v>212</v>
      </c>
    </row>
    <row r="59" spans="1:76" x14ac:dyDescent="0.25">
      <c r="A59" s="141" t="s">
        <v>47</v>
      </c>
      <c r="B59" s="153" t="s">
        <v>214</v>
      </c>
      <c r="C59" s="154" t="s">
        <v>215</v>
      </c>
      <c r="D59" s="155"/>
      <c r="E59" s="156" t="s">
        <v>4</v>
      </c>
      <c r="F59" s="156" t="s">
        <v>4</v>
      </c>
      <c r="G59" s="157" t="s">
        <v>4</v>
      </c>
      <c r="H59" s="158">
        <f>ROUND(SUM(H60:H60),2)</f>
        <v>0</v>
      </c>
      <c r="I59" s="158">
        <f>ROUND(SUM(I60:I60),2)</f>
        <v>0</v>
      </c>
      <c r="J59" s="158">
        <f>ROUND(SUM(J60:J60),2)</f>
        <v>0</v>
      </c>
      <c r="K59" s="148" t="s">
        <v>47</v>
      </c>
      <c r="AI59" s="3" t="s">
        <v>47</v>
      </c>
      <c r="AS59" s="1">
        <f>SUM(AJ60:AJ60)</f>
        <v>0</v>
      </c>
      <c r="AT59" s="1">
        <f>SUM(AK60:AK60)</f>
        <v>0</v>
      </c>
      <c r="AU59" s="1">
        <f>SUM(AL60:AL60)</f>
        <v>0</v>
      </c>
    </row>
    <row r="60" spans="1:76" x14ac:dyDescent="0.25">
      <c r="A60" s="149" t="s">
        <v>100</v>
      </c>
      <c r="B60" s="150" t="s">
        <v>216</v>
      </c>
      <c r="C60" s="121" t="s">
        <v>217</v>
      </c>
      <c r="D60" s="116"/>
      <c r="E60" s="150" t="s">
        <v>182</v>
      </c>
      <c r="F60" s="151">
        <v>16690</v>
      </c>
      <c r="G60" s="21">
        <v>0</v>
      </c>
      <c r="H60" s="151">
        <f>ROUND(F60*AO60,2)</f>
        <v>0</v>
      </c>
      <c r="I60" s="151">
        <f>ROUND(F60*AP60,2)</f>
        <v>0</v>
      </c>
      <c r="J60" s="151">
        <f>ROUND(F60*G60,2)</f>
        <v>0</v>
      </c>
      <c r="K60" s="152" t="s">
        <v>167</v>
      </c>
      <c r="Z60" s="5">
        <f>ROUND(IF(AQ60="5",BJ60,0),2)</f>
        <v>0</v>
      </c>
      <c r="AB60" s="5">
        <f>ROUND(IF(AQ60="1",BH60,0),2)</f>
        <v>0</v>
      </c>
      <c r="AC60" s="5">
        <f>ROUND(IF(AQ60="1",BI60,0),2)</f>
        <v>0</v>
      </c>
      <c r="AD60" s="5">
        <f>ROUND(IF(AQ60="7",BH60,0),2)</f>
        <v>0</v>
      </c>
      <c r="AE60" s="5">
        <f>ROUND(IF(AQ60="7",BI60,0),2)</f>
        <v>0</v>
      </c>
      <c r="AF60" s="5">
        <f>ROUND(IF(AQ60="2",BH60,0),2)</f>
        <v>0</v>
      </c>
      <c r="AG60" s="5">
        <f>ROUND(IF(AQ60="2",BI60,0),2)</f>
        <v>0</v>
      </c>
      <c r="AH60" s="5">
        <f>ROUND(IF(AQ60="0",BJ60,0),2)</f>
        <v>0</v>
      </c>
      <c r="AI60" s="3" t="s">
        <v>47</v>
      </c>
      <c r="AJ60" s="5">
        <f>IF(AN60=0,J60,0)</f>
        <v>0</v>
      </c>
      <c r="AK60" s="5">
        <f>IF(AN60=12,J60,0)</f>
        <v>0</v>
      </c>
      <c r="AL60" s="5">
        <f>IF(AN60=21,J60,0)</f>
        <v>0</v>
      </c>
      <c r="AN60" s="5">
        <v>21</v>
      </c>
      <c r="AO60" s="5">
        <f>G60*0.06015625</f>
        <v>0</v>
      </c>
      <c r="AP60" s="5">
        <f>G60*(1-0.06015625)</f>
        <v>0</v>
      </c>
      <c r="AQ60" s="6" t="s">
        <v>59</v>
      </c>
      <c r="AV60" s="5">
        <f>ROUND(AW60+AX60,2)</f>
        <v>0</v>
      </c>
      <c r="AW60" s="5">
        <f>ROUND(F60*AO60,2)</f>
        <v>0</v>
      </c>
      <c r="AX60" s="5">
        <f>ROUND(F60*AP60,2)</f>
        <v>0</v>
      </c>
      <c r="AY60" s="6" t="s">
        <v>218</v>
      </c>
      <c r="AZ60" s="6" t="s">
        <v>201</v>
      </c>
      <c r="BA60" s="3" t="s">
        <v>57</v>
      </c>
      <c r="BC60" s="5">
        <f>AW60+AX60</f>
        <v>0</v>
      </c>
      <c r="BD60" s="5">
        <f>G60/(100-BE60)*100</f>
        <v>0</v>
      </c>
      <c r="BE60" s="5">
        <v>0</v>
      </c>
      <c r="BF60" s="5">
        <f>60</f>
        <v>60</v>
      </c>
      <c r="BH60" s="5">
        <f>F60*AO60</f>
        <v>0</v>
      </c>
      <c r="BI60" s="5">
        <f>F60*AP60</f>
        <v>0</v>
      </c>
      <c r="BJ60" s="5">
        <f>F60*G60</f>
        <v>0</v>
      </c>
      <c r="BK60" s="6" t="s">
        <v>58</v>
      </c>
      <c r="BL60" s="5"/>
      <c r="BW60" s="5">
        <v>21</v>
      </c>
      <c r="BX60" s="2" t="s">
        <v>217</v>
      </c>
    </row>
    <row r="61" spans="1:76" x14ac:dyDescent="0.25">
      <c r="A61" s="141" t="s">
        <v>47</v>
      </c>
      <c r="B61" s="153" t="s">
        <v>219</v>
      </c>
      <c r="C61" s="154" t="s">
        <v>220</v>
      </c>
      <c r="D61" s="155"/>
      <c r="E61" s="156" t="s">
        <v>4</v>
      </c>
      <c r="F61" s="156" t="s">
        <v>4</v>
      </c>
      <c r="G61" s="157" t="s">
        <v>4</v>
      </c>
      <c r="H61" s="158">
        <f>ROUND(SUM(H62:H64),2)</f>
        <v>0</v>
      </c>
      <c r="I61" s="158">
        <f>ROUND(SUM(I62:I64),2)</f>
        <v>0</v>
      </c>
      <c r="J61" s="158">
        <f>ROUND(SUM(J62:J64),2)</f>
        <v>0</v>
      </c>
      <c r="K61" s="148" t="s">
        <v>47</v>
      </c>
      <c r="AI61" s="3" t="s">
        <v>47</v>
      </c>
      <c r="AS61" s="1">
        <f>SUM(AJ62:AJ64)</f>
        <v>0</v>
      </c>
      <c r="AT61" s="1">
        <f>SUM(AK62:AK64)</f>
        <v>0</v>
      </c>
      <c r="AU61" s="1">
        <f>SUM(AL62:AL64)</f>
        <v>0</v>
      </c>
    </row>
    <row r="62" spans="1:76" x14ac:dyDescent="0.25">
      <c r="A62" s="149" t="s">
        <v>221</v>
      </c>
      <c r="B62" s="150" t="s">
        <v>222</v>
      </c>
      <c r="C62" s="121" t="s">
        <v>223</v>
      </c>
      <c r="D62" s="116"/>
      <c r="E62" s="150" t="s">
        <v>105</v>
      </c>
      <c r="F62" s="151">
        <v>162.19999999999999</v>
      </c>
      <c r="G62" s="21">
        <v>0</v>
      </c>
      <c r="H62" s="151">
        <f>ROUND(F62*AO62,2)</f>
        <v>0</v>
      </c>
      <c r="I62" s="151">
        <f>ROUND(F62*AP62,2)</f>
        <v>0</v>
      </c>
      <c r="J62" s="151">
        <f>ROUND(F62*G62,2)</f>
        <v>0</v>
      </c>
      <c r="K62" s="152" t="s">
        <v>54</v>
      </c>
      <c r="Z62" s="5">
        <f>ROUND(IF(AQ62="5",BJ62,0),2)</f>
        <v>0</v>
      </c>
      <c r="AB62" s="5">
        <f>ROUND(IF(AQ62="1",BH62,0),2)</f>
        <v>0</v>
      </c>
      <c r="AC62" s="5">
        <f>ROUND(IF(AQ62="1",BI62,0),2)</f>
        <v>0</v>
      </c>
      <c r="AD62" s="5">
        <f>ROUND(IF(AQ62="7",BH62,0),2)</f>
        <v>0</v>
      </c>
      <c r="AE62" s="5">
        <f>ROUND(IF(AQ62="7",BI62,0),2)</f>
        <v>0</v>
      </c>
      <c r="AF62" s="5">
        <f>ROUND(IF(AQ62="2",BH62,0),2)</f>
        <v>0</v>
      </c>
      <c r="AG62" s="5">
        <f>ROUND(IF(AQ62="2",BI62,0),2)</f>
        <v>0</v>
      </c>
      <c r="AH62" s="5">
        <f>ROUND(IF(AQ62="0",BJ62,0),2)</f>
        <v>0</v>
      </c>
      <c r="AI62" s="3" t="s">
        <v>47</v>
      </c>
      <c r="AJ62" s="5">
        <f>IF(AN62=0,J62,0)</f>
        <v>0</v>
      </c>
      <c r="AK62" s="5">
        <f>IF(AN62=12,J62,0)</f>
        <v>0</v>
      </c>
      <c r="AL62" s="5">
        <f>IF(AN62=21,J62,0)</f>
        <v>0</v>
      </c>
      <c r="AN62" s="5">
        <v>21</v>
      </c>
      <c r="AO62" s="5">
        <f>G62*0.144255407</f>
        <v>0</v>
      </c>
      <c r="AP62" s="5">
        <f>G62*(1-0.144255407)</f>
        <v>0</v>
      </c>
      <c r="AQ62" s="6" t="s">
        <v>59</v>
      </c>
      <c r="AV62" s="5">
        <f>ROUND(AW62+AX62,2)</f>
        <v>0</v>
      </c>
      <c r="AW62" s="5">
        <f>ROUND(F62*AO62,2)</f>
        <v>0</v>
      </c>
      <c r="AX62" s="5">
        <f>ROUND(F62*AP62,2)</f>
        <v>0</v>
      </c>
      <c r="AY62" s="6" t="s">
        <v>224</v>
      </c>
      <c r="AZ62" s="6" t="s">
        <v>201</v>
      </c>
      <c r="BA62" s="3" t="s">
        <v>57</v>
      </c>
      <c r="BC62" s="5">
        <f>AW62+AX62</f>
        <v>0</v>
      </c>
      <c r="BD62" s="5">
        <f>G62/(100-BE62)*100</f>
        <v>0</v>
      </c>
      <c r="BE62" s="5">
        <v>0</v>
      </c>
      <c r="BF62" s="5">
        <f>62</f>
        <v>62</v>
      </c>
      <c r="BH62" s="5">
        <f>F62*AO62</f>
        <v>0</v>
      </c>
      <c r="BI62" s="5">
        <f>F62*AP62</f>
        <v>0</v>
      </c>
      <c r="BJ62" s="5">
        <f>F62*G62</f>
        <v>0</v>
      </c>
      <c r="BK62" s="6" t="s">
        <v>58</v>
      </c>
      <c r="BL62" s="5"/>
      <c r="BW62" s="5">
        <v>21</v>
      </c>
      <c r="BX62" s="2" t="s">
        <v>223</v>
      </c>
    </row>
    <row r="63" spans="1:76" x14ac:dyDescent="0.25">
      <c r="A63" s="149" t="s">
        <v>225</v>
      </c>
      <c r="B63" s="150" t="s">
        <v>226</v>
      </c>
      <c r="C63" s="121" t="s">
        <v>227</v>
      </c>
      <c r="D63" s="116"/>
      <c r="E63" s="150" t="s">
        <v>98</v>
      </c>
      <c r="F63" s="151">
        <v>37.979999999999997</v>
      </c>
      <c r="G63" s="21">
        <v>0</v>
      </c>
      <c r="H63" s="151">
        <f>ROUND(F63*AO63,2)</f>
        <v>0</v>
      </c>
      <c r="I63" s="151">
        <f>ROUND(F63*AP63,2)</f>
        <v>0</v>
      </c>
      <c r="J63" s="151">
        <f>ROUND(F63*G63,2)</f>
        <v>0</v>
      </c>
      <c r="K63" s="152" t="s">
        <v>54</v>
      </c>
      <c r="Z63" s="5">
        <f>ROUND(IF(AQ63="5",BJ63,0),2)</f>
        <v>0</v>
      </c>
      <c r="AB63" s="5">
        <f>ROUND(IF(AQ63="1",BH63,0),2)</f>
        <v>0</v>
      </c>
      <c r="AC63" s="5">
        <f>ROUND(IF(AQ63="1",BI63,0),2)</f>
        <v>0</v>
      </c>
      <c r="AD63" s="5">
        <f>ROUND(IF(AQ63="7",BH63,0),2)</f>
        <v>0</v>
      </c>
      <c r="AE63" s="5">
        <f>ROUND(IF(AQ63="7",BI63,0),2)</f>
        <v>0</v>
      </c>
      <c r="AF63" s="5">
        <f>ROUND(IF(AQ63="2",BH63,0),2)</f>
        <v>0</v>
      </c>
      <c r="AG63" s="5">
        <f>ROUND(IF(AQ63="2",BI63,0),2)</f>
        <v>0</v>
      </c>
      <c r="AH63" s="5">
        <f>ROUND(IF(AQ63="0",BJ63,0),2)</f>
        <v>0</v>
      </c>
      <c r="AI63" s="3" t="s">
        <v>47</v>
      </c>
      <c r="AJ63" s="5">
        <f>IF(AN63=0,J63,0)</f>
        <v>0</v>
      </c>
      <c r="AK63" s="5">
        <f>IF(AN63=12,J63,0)</f>
        <v>0</v>
      </c>
      <c r="AL63" s="5">
        <f>IF(AN63=21,J63,0)</f>
        <v>0</v>
      </c>
      <c r="AN63" s="5">
        <v>21</v>
      </c>
      <c r="AO63" s="5">
        <f>G63*0</f>
        <v>0</v>
      </c>
      <c r="AP63" s="5">
        <f>G63*(1-0)</f>
        <v>0</v>
      </c>
      <c r="AQ63" s="6" t="s">
        <v>59</v>
      </c>
      <c r="AV63" s="5">
        <f>ROUND(AW63+AX63,2)</f>
        <v>0</v>
      </c>
      <c r="AW63" s="5">
        <f>ROUND(F63*AO63,2)</f>
        <v>0</v>
      </c>
      <c r="AX63" s="5">
        <f>ROUND(F63*AP63,2)</f>
        <v>0</v>
      </c>
      <c r="AY63" s="6" t="s">
        <v>224</v>
      </c>
      <c r="AZ63" s="6" t="s">
        <v>201</v>
      </c>
      <c r="BA63" s="3" t="s">
        <v>57</v>
      </c>
      <c r="BC63" s="5">
        <f>AW63+AX63</f>
        <v>0</v>
      </c>
      <c r="BD63" s="5">
        <f>G63/(100-BE63)*100</f>
        <v>0</v>
      </c>
      <c r="BE63" s="5">
        <v>0</v>
      </c>
      <c r="BF63" s="5">
        <f>63</f>
        <v>63</v>
      </c>
      <c r="BH63" s="5">
        <f>F63*AO63</f>
        <v>0</v>
      </c>
      <c r="BI63" s="5">
        <f>F63*AP63</f>
        <v>0</v>
      </c>
      <c r="BJ63" s="5">
        <f>F63*G63</f>
        <v>0</v>
      </c>
      <c r="BK63" s="6" t="s">
        <v>58</v>
      </c>
      <c r="BL63" s="5"/>
      <c r="BW63" s="5">
        <v>21</v>
      </c>
      <c r="BX63" s="2" t="s">
        <v>227</v>
      </c>
    </row>
    <row r="64" spans="1:76" x14ac:dyDescent="0.25">
      <c r="A64" s="149" t="s">
        <v>228</v>
      </c>
      <c r="B64" s="150" t="s">
        <v>229</v>
      </c>
      <c r="C64" s="121" t="s">
        <v>230</v>
      </c>
      <c r="D64" s="116"/>
      <c r="E64" s="150" t="s">
        <v>53</v>
      </c>
      <c r="F64" s="151">
        <v>42.06</v>
      </c>
      <c r="G64" s="21">
        <v>0</v>
      </c>
      <c r="H64" s="151">
        <f>ROUND(F64*AO64,2)</f>
        <v>0</v>
      </c>
      <c r="I64" s="151">
        <f>ROUND(F64*AP64,2)</f>
        <v>0</v>
      </c>
      <c r="J64" s="151">
        <f>ROUND(F64*G64,2)</f>
        <v>0</v>
      </c>
      <c r="K64" s="152" t="s">
        <v>54</v>
      </c>
      <c r="Z64" s="5">
        <f>ROUND(IF(AQ64="5",BJ64,0),2)</f>
        <v>0</v>
      </c>
      <c r="AB64" s="5">
        <f>ROUND(IF(AQ64="1",BH64,0),2)</f>
        <v>0</v>
      </c>
      <c r="AC64" s="5">
        <f>ROUND(IF(AQ64="1",BI64,0),2)</f>
        <v>0</v>
      </c>
      <c r="AD64" s="5">
        <f>ROUND(IF(AQ64="7",BH64,0),2)</f>
        <v>0</v>
      </c>
      <c r="AE64" s="5">
        <f>ROUND(IF(AQ64="7",BI64,0),2)</f>
        <v>0</v>
      </c>
      <c r="AF64" s="5">
        <f>ROUND(IF(AQ64="2",BH64,0),2)</f>
        <v>0</v>
      </c>
      <c r="AG64" s="5">
        <f>ROUND(IF(AQ64="2",BI64,0),2)</f>
        <v>0</v>
      </c>
      <c r="AH64" s="5">
        <f>ROUND(IF(AQ64="0",BJ64,0),2)</f>
        <v>0</v>
      </c>
      <c r="AI64" s="3" t="s">
        <v>47</v>
      </c>
      <c r="AJ64" s="5">
        <f>IF(AN64=0,J64,0)</f>
        <v>0</v>
      </c>
      <c r="AK64" s="5">
        <f>IF(AN64=12,J64,0)</f>
        <v>0</v>
      </c>
      <c r="AL64" s="5">
        <f>IF(AN64=21,J64,0)</f>
        <v>0</v>
      </c>
      <c r="AN64" s="5">
        <v>21</v>
      </c>
      <c r="AO64" s="5">
        <f>G64*0</f>
        <v>0</v>
      </c>
      <c r="AP64" s="5">
        <f>G64*(1-0)</f>
        <v>0</v>
      </c>
      <c r="AQ64" s="6" t="s">
        <v>59</v>
      </c>
      <c r="AV64" s="5">
        <f>ROUND(AW64+AX64,2)</f>
        <v>0</v>
      </c>
      <c r="AW64" s="5">
        <f>ROUND(F64*AO64,2)</f>
        <v>0</v>
      </c>
      <c r="AX64" s="5">
        <f>ROUND(F64*AP64,2)</f>
        <v>0</v>
      </c>
      <c r="AY64" s="6" t="s">
        <v>224</v>
      </c>
      <c r="AZ64" s="6" t="s">
        <v>201</v>
      </c>
      <c r="BA64" s="3" t="s">
        <v>57</v>
      </c>
      <c r="BC64" s="5">
        <f>AW64+AX64</f>
        <v>0</v>
      </c>
      <c r="BD64" s="5">
        <f>G64/(100-BE64)*100</f>
        <v>0</v>
      </c>
      <c r="BE64" s="5">
        <v>0</v>
      </c>
      <c r="BF64" s="5">
        <f>64</f>
        <v>64</v>
      </c>
      <c r="BH64" s="5">
        <f>F64*AO64</f>
        <v>0</v>
      </c>
      <c r="BI64" s="5">
        <f>F64*AP64</f>
        <v>0</v>
      </c>
      <c r="BJ64" s="5">
        <f>F64*G64</f>
        <v>0</v>
      </c>
      <c r="BK64" s="6" t="s">
        <v>58</v>
      </c>
      <c r="BL64" s="5"/>
      <c r="BW64" s="5">
        <v>21</v>
      </c>
      <c r="BX64" s="2" t="s">
        <v>230</v>
      </c>
    </row>
    <row r="65" spans="1:76" x14ac:dyDescent="0.25">
      <c r="A65" s="141" t="s">
        <v>47</v>
      </c>
      <c r="B65" s="153" t="s">
        <v>231</v>
      </c>
      <c r="C65" s="154" t="s">
        <v>232</v>
      </c>
      <c r="D65" s="155"/>
      <c r="E65" s="156" t="s">
        <v>4</v>
      </c>
      <c r="F65" s="156" t="s">
        <v>4</v>
      </c>
      <c r="G65" s="157" t="s">
        <v>4</v>
      </c>
      <c r="H65" s="158">
        <f>ROUND(SUM(H66:H67),2)</f>
        <v>0</v>
      </c>
      <c r="I65" s="158">
        <f>ROUND(SUM(I66:I67),2)</f>
        <v>0</v>
      </c>
      <c r="J65" s="158">
        <f>ROUND(SUM(J66:J67),2)</f>
        <v>0</v>
      </c>
      <c r="K65" s="148" t="s">
        <v>47</v>
      </c>
      <c r="AI65" s="3" t="s">
        <v>47</v>
      </c>
      <c r="AS65" s="1">
        <f>SUM(AJ66:AJ67)</f>
        <v>0</v>
      </c>
      <c r="AT65" s="1">
        <f>SUM(AK66:AK67)</f>
        <v>0</v>
      </c>
      <c r="AU65" s="1">
        <f>SUM(AL66:AL67)</f>
        <v>0</v>
      </c>
    </row>
    <row r="66" spans="1:76" x14ac:dyDescent="0.25">
      <c r="A66" s="149" t="s">
        <v>233</v>
      </c>
      <c r="B66" s="150" t="s">
        <v>234</v>
      </c>
      <c r="C66" s="121" t="s">
        <v>235</v>
      </c>
      <c r="D66" s="116"/>
      <c r="E66" s="150" t="s">
        <v>86</v>
      </c>
      <c r="F66" s="151">
        <v>54.6</v>
      </c>
      <c r="G66" s="21">
        <v>0</v>
      </c>
      <c r="H66" s="151">
        <f>ROUND(F66*AO66,2)</f>
        <v>0</v>
      </c>
      <c r="I66" s="151">
        <f>ROUND(F66*AP66,2)</f>
        <v>0</v>
      </c>
      <c r="J66" s="151">
        <f>ROUND(F66*G66,2)</f>
        <v>0</v>
      </c>
      <c r="K66" s="152" t="s">
        <v>54</v>
      </c>
      <c r="Z66" s="5">
        <f>ROUND(IF(AQ66="5",BJ66,0),2)</f>
        <v>0</v>
      </c>
      <c r="AB66" s="5">
        <f>ROUND(IF(AQ66="1",BH66,0),2)</f>
        <v>0</v>
      </c>
      <c r="AC66" s="5">
        <f>ROUND(IF(AQ66="1",BI66,0),2)</f>
        <v>0</v>
      </c>
      <c r="AD66" s="5">
        <f>ROUND(IF(AQ66="7",BH66,0),2)</f>
        <v>0</v>
      </c>
      <c r="AE66" s="5">
        <f>ROUND(IF(AQ66="7",BI66,0),2)</f>
        <v>0</v>
      </c>
      <c r="AF66" s="5">
        <f>ROUND(IF(AQ66="2",BH66,0),2)</f>
        <v>0</v>
      </c>
      <c r="AG66" s="5">
        <f>ROUND(IF(AQ66="2",BI66,0),2)</f>
        <v>0</v>
      </c>
      <c r="AH66" s="5">
        <f>ROUND(IF(AQ66="0",BJ66,0),2)</f>
        <v>0</v>
      </c>
      <c r="AI66" s="3" t="s">
        <v>47</v>
      </c>
      <c r="AJ66" s="5">
        <f>IF(AN66=0,J66,0)</f>
        <v>0</v>
      </c>
      <c r="AK66" s="5">
        <f>IF(AN66=12,J66,0)</f>
        <v>0</v>
      </c>
      <c r="AL66" s="5">
        <f>IF(AN66=21,J66,0)</f>
        <v>0</v>
      </c>
      <c r="AN66" s="5">
        <v>21</v>
      </c>
      <c r="AO66" s="5">
        <f>G66*0</f>
        <v>0</v>
      </c>
      <c r="AP66" s="5">
        <f>G66*(1-0)</f>
        <v>0</v>
      </c>
      <c r="AQ66" s="6" t="s">
        <v>73</v>
      </c>
      <c r="AV66" s="5">
        <f>ROUND(AW66+AX66,2)</f>
        <v>0</v>
      </c>
      <c r="AW66" s="5">
        <f>ROUND(F66*AO66,2)</f>
        <v>0</v>
      </c>
      <c r="AX66" s="5">
        <f>ROUND(F66*AP66,2)</f>
        <v>0</v>
      </c>
      <c r="AY66" s="6" t="s">
        <v>236</v>
      </c>
      <c r="AZ66" s="6" t="s">
        <v>201</v>
      </c>
      <c r="BA66" s="3" t="s">
        <v>57</v>
      </c>
      <c r="BC66" s="5">
        <f>AW66+AX66</f>
        <v>0</v>
      </c>
      <c r="BD66" s="5">
        <f>G66/(100-BE66)*100</f>
        <v>0</v>
      </c>
      <c r="BE66" s="5">
        <v>0</v>
      </c>
      <c r="BF66" s="5">
        <f>66</f>
        <v>66</v>
      </c>
      <c r="BH66" s="5">
        <f>F66*AO66</f>
        <v>0</v>
      </c>
      <c r="BI66" s="5">
        <f>F66*AP66</f>
        <v>0</v>
      </c>
      <c r="BJ66" s="5">
        <f>F66*G66</f>
        <v>0</v>
      </c>
      <c r="BK66" s="6" t="s">
        <v>58</v>
      </c>
      <c r="BL66" s="5"/>
      <c r="BW66" s="5">
        <v>21</v>
      </c>
      <c r="BX66" s="2" t="s">
        <v>235</v>
      </c>
    </row>
    <row r="67" spans="1:76" x14ac:dyDescent="0.25">
      <c r="A67" s="149" t="s">
        <v>237</v>
      </c>
      <c r="B67" s="150" t="s">
        <v>238</v>
      </c>
      <c r="C67" s="121" t="s">
        <v>239</v>
      </c>
      <c r="D67" s="116"/>
      <c r="E67" s="150" t="s">
        <v>86</v>
      </c>
      <c r="F67" s="151">
        <v>5.55</v>
      </c>
      <c r="G67" s="21">
        <v>0</v>
      </c>
      <c r="H67" s="151">
        <f>ROUND(F67*AO67,2)</f>
        <v>0</v>
      </c>
      <c r="I67" s="151">
        <f>ROUND(F67*AP67,2)</f>
        <v>0</v>
      </c>
      <c r="J67" s="151">
        <f>ROUND(F67*G67,2)</f>
        <v>0</v>
      </c>
      <c r="K67" s="152" t="s">
        <v>54</v>
      </c>
      <c r="Z67" s="5">
        <f>ROUND(IF(AQ67="5",BJ67,0),2)</f>
        <v>0</v>
      </c>
      <c r="AB67" s="5">
        <f>ROUND(IF(AQ67="1",BH67,0),2)</f>
        <v>0</v>
      </c>
      <c r="AC67" s="5">
        <f>ROUND(IF(AQ67="1",BI67,0),2)</f>
        <v>0</v>
      </c>
      <c r="AD67" s="5">
        <f>ROUND(IF(AQ67="7",BH67,0),2)</f>
        <v>0</v>
      </c>
      <c r="AE67" s="5">
        <f>ROUND(IF(AQ67="7",BI67,0),2)</f>
        <v>0</v>
      </c>
      <c r="AF67" s="5">
        <f>ROUND(IF(AQ67="2",BH67,0),2)</f>
        <v>0</v>
      </c>
      <c r="AG67" s="5">
        <f>ROUND(IF(AQ67="2",BI67,0),2)</f>
        <v>0</v>
      </c>
      <c r="AH67" s="5">
        <f>ROUND(IF(AQ67="0",BJ67,0),2)</f>
        <v>0</v>
      </c>
      <c r="AI67" s="3" t="s">
        <v>47</v>
      </c>
      <c r="AJ67" s="5">
        <f>IF(AN67=0,J67,0)</f>
        <v>0</v>
      </c>
      <c r="AK67" s="5">
        <f>IF(AN67=12,J67,0)</f>
        <v>0</v>
      </c>
      <c r="AL67" s="5">
        <f>IF(AN67=21,J67,0)</f>
        <v>0</v>
      </c>
      <c r="AN67" s="5">
        <v>21</v>
      </c>
      <c r="AO67" s="5">
        <f>G67*0</f>
        <v>0</v>
      </c>
      <c r="AP67" s="5">
        <f>G67*(1-0)</f>
        <v>0</v>
      </c>
      <c r="AQ67" s="6" t="s">
        <v>73</v>
      </c>
      <c r="AV67" s="5">
        <f>ROUND(AW67+AX67,2)</f>
        <v>0</v>
      </c>
      <c r="AW67" s="5">
        <f>ROUND(F67*AO67,2)</f>
        <v>0</v>
      </c>
      <c r="AX67" s="5">
        <f>ROUND(F67*AP67,2)</f>
        <v>0</v>
      </c>
      <c r="AY67" s="6" t="s">
        <v>236</v>
      </c>
      <c r="AZ67" s="6" t="s">
        <v>201</v>
      </c>
      <c r="BA67" s="3" t="s">
        <v>57</v>
      </c>
      <c r="BC67" s="5">
        <f>AW67+AX67</f>
        <v>0</v>
      </c>
      <c r="BD67" s="5">
        <f>G67/(100-BE67)*100</f>
        <v>0</v>
      </c>
      <c r="BE67" s="5">
        <v>0</v>
      </c>
      <c r="BF67" s="5">
        <f>67</f>
        <v>67</v>
      </c>
      <c r="BH67" s="5">
        <f>F67*AO67</f>
        <v>0</v>
      </c>
      <c r="BI67" s="5">
        <f>F67*AP67</f>
        <v>0</v>
      </c>
      <c r="BJ67" s="5">
        <f>F67*G67</f>
        <v>0</v>
      </c>
      <c r="BK67" s="6" t="s">
        <v>58</v>
      </c>
      <c r="BL67" s="5"/>
      <c r="BW67" s="5">
        <v>21</v>
      </c>
      <c r="BX67" s="2" t="s">
        <v>239</v>
      </c>
    </row>
    <row r="68" spans="1:76" x14ac:dyDescent="0.25">
      <c r="A68" s="141" t="s">
        <v>47</v>
      </c>
      <c r="B68" s="153" t="s">
        <v>240</v>
      </c>
      <c r="C68" s="154" t="s">
        <v>241</v>
      </c>
      <c r="D68" s="155"/>
      <c r="E68" s="156" t="s">
        <v>4</v>
      </c>
      <c r="F68" s="156" t="s">
        <v>4</v>
      </c>
      <c r="G68" s="157" t="s">
        <v>4</v>
      </c>
      <c r="H68" s="158">
        <f>ROUND(SUM(H69:H74),2)</f>
        <v>0</v>
      </c>
      <c r="I68" s="158">
        <f>ROUND(SUM(I69:I74),2)</f>
        <v>0</v>
      </c>
      <c r="J68" s="158">
        <f>ROUND(SUM(J69:J74),2)</f>
        <v>0</v>
      </c>
      <c r="K68" s="148" t="s">
        <v>47</v>
      </c>
      <c r="AI68" s="3" t="s">
        <v>47</v>
      </c>
      <c r="AS68" s="1">
        <f>SUM(AJ69:AJ74)</f>
        <v>0</v>
      </c>
      <c r="AT68" s="1">
        <f>SUM(AK69:AK74)</f>
        <v>0</v>
      </c>
      <c r="AU68" s="1">
        <f>SUM(AL69:AL74)</f>
        <v>0</v>
      </c>
    </row>
    <row r="69" spans="1:76" x14ac:dyDescent="0.25">
      <c r="A69" s="149" t="s">
        <v>242</v>
      </c>
      <c r="B69" s="150" t="s">
        <v>243</v>
      </c>
      <c r="C69" s="121" t="s">
        <v>244</v>
      </c>
      <c r="D69" s="116"/>
      <c r="E69" s="150" t="s">
        <v>86</v>
      </c>
      <c r="F69" s="151">
        <v>8.9700000000000006</v>
      </c>
      <c r="G69" s="21">
        <v>0</v>
      </c>
      <c r="H69" s="151">
        <f t="shared" ref="H69:H74" si="22">ROUND(F69*AO69,2)</f>
        <v>0</v>
      </c>
      <c r="I69" s="151">
        <f t="shared" ref="I69:I74" si="23">ROUND(F69*AP69,2)</f>
        <v>0</v>
      </c>
      <c r="J69" s="151">
        <f t="shared" ref="J69:J74" si="24">ROUND(F69*G69,2)</f>
        <v>0</v>
      </c>
      <c r="K69" s="152" t="s">
        <v>54</v>
      </c>
      <c r="Z69" s="5">
        <f t="shared" ref="Z69:Z74" si="25">ROUND(IF(AQ69="5",BJ69,0),2)</f>
        <v>0</v>
      </c>
      <c r="AB69" s="5">
        <f t="shared" ref="AB69:AB74" si="26">ROUND(IF(AQ69="1",BH69,0),2)</f>
        <v>0</v>
      </c>
      <c r="AC69" s="5">
        <f t="shared" ref="AC69:AC74" si="27">ROUND(IF(AQ69="1",BI69,0),2)</f>
        <v>0</v>
      </c>
      <c r="AD69" s="5">
        <f t="shared" ref="AD69:AD74" si="28">ROUND(IF(AQ69="7",BH69,0),2)</f>
        <v>0</v>
      </c>
      <c r="AE69" s="5">
        <f t="shared" ref="AE69:AE74" si="29">ROUND(IF(AQ69="7",BI69,0),2)</f>
        <v>0</v>
      </c>
      <c r="AF69" s="5">
        <f t="shared" ref="AF69:AF74" si="30">ROUND(IF(AQ69="2",BH69,0),2)</f>
        <v>0</v>
      </c>
      <c r="AG69" s="5">
        <f t="shared" ref="AG69:AG74" si="31">ROUND(IF(AQ69="2",BI69,0),2)</f>
        <v>0</v>
      </c>
      <c r="AH69" s="5">
        <f t="shared" ref="AH69:AH74" si="32">ROUND(IF(AQ69="0",BJ69,0),2)</f>
        <v>0</v>
      </c>
      <c r="AI69" s="3" t="s">
        <v>47</v>
      </c>
      <c r="AJ69" s="5">
        <f t="shared" ref="AJ69:AJ74" si="33">IF(AN69=0,J69,0)</f>
        <v>0</v>
      </c>
      <c r="AK69" s="5">
        <f t="shared" ref="AK69:AK74" si="34">IF(AN69=12,J69,0)</f>
        <v>0</v>
      </c>
      <c r="AL69" s="5">
        <f t="shared" ref="AL69:AL74" si="35">IF(AN69=21,J69,0)</f>
        <v>0</v>
      </c>
      <c r="AN69" s="5">
        <v>21</v>
      </c>
      <c r="AO69" s="5">
        <f t="shared" ref="AO69:AO74" si="36">G69*1</f>
        <v>0</v>
      </c>
      <c r="AP69" s="5">
        <f t="shared" ref="AP69:AP74" si="37">G69*(1-1)</f>
        <v>0</v>
      </c>
      <c r="AQ69" s="6" t="s">
        <v>245</v>
      </c>
      <c r="AV69" s="5">
        <f t="shared" ref="AV69:AV74" si="38">ROUND(AW69+AX69,2)</f>
        <v>0</v>
      </c>
      <c r="AW69" s="5">
        <f t="shared" ref="AW69:AW74" si="39">ROUND(F69*AO69,2)</f>
        <v>0</v>
      </c>
      <c r="AX69" s="5">
        <f t="shared" ref="AX69:AX74" si="40">ROUND(F69*AP69,2)</f>
        <v>0</v>
      </c>
      <c r="AY69" s="6" t="s">
        <v>246</v>
      </c>
      <c r="AZ69" s="6" t="s">
        <v>247</v>
      </c>
      <c r="BA69" s="3" t="s">
        <v>57</v>
      </c>
      <c r="BC69" s="5">
        <f t="shared" ref="BC69:BC74" si="41">AW69+AX69</f>
        <v>0</v>
      </c>
      <c r="BD69" s="5">
        <f t="shared" ref="BD69:BD74" si="42">G69/(100-BE69)*100</f>
        <v>0</v>
      </c>
      <c r="BE69" s="5">
        <v>0</v>
      </c>
      <c r="BF69" s="5">
        <f>69</f>
        <v>69</v>
      </c>
      <c r="BH69" s="5">
        <f t="shared" ref="BH69:BH74" si="43">F69*AO69</f>
        <v>0</v>
      </c>
      <c r="BI69" s="5">
        <f t="shared" ref="BI69:BI74" si="44">F69*AP69</f>
        <v>0</v>
      </c>
      <c r="BJ69" s="5">
        <f t="shared" ref="BJ69:BJ74" si="45">F69*G69</f>
        <v>0</v>
      </c>
      <c r="BK69" s="6" t="s">
        <v>240</v>
      </c>
      <c r="BL69" s="5"/>
      <c r="BW69" s="5">
        <v>21</v>
      </c>
      <c r="BX69" s="2" t="s">
        <v>244</v>
      </c>
    </row>
    <row r="70" spans="1:76" x14ac:dyDescent="0.25">
      <c r="A70" s="149" t="s">
        <v>248</v>
      </c>
      <c r="B70" s="150" t="s">
        <v>249</v>
      </c>
      <c r="C70" s="121" t="s">
        <v>250</v>
      </c>
      <c r="D70" s="116"/>
      <c r="E70" s="150" t="s">
        <v>86</v>
      </c>
      <c r="F70" s="151">
        <v>1.59</v>
      </c>
      <c r="G70" s="21">
        <v>0</v>
      </c>
      <c r="H70" s="151">
        <f t="shared" si="22"/>
        <v>0</v>
      </c>
      <c r="I70" s="151">
        <f t="shared" si="23"/>
        <v>0</v>
      </c>
      <c r="J70" s="151">
        <f t="shared" si="24"/>
        <v>0</v>
      </c>
      <c r="K70" s="152" t="s">
        <v>54</v>
      </c>
      <c r="Z70" s="5">
        <f t="shared" si="25"/>
        <v>0</v>
      </c>
      <c r="AB70" s="5">
        <f t="shared" si="26"/>
        <v>0</v>
      </c>
      <c r="AC70" s="5">
        <f t="shared" si="27"/>
        <v>0</v>
      </c>
      <c r="AD70" s="5">
        <f t="shared" si="28"/>
        <v>0</v>
      </c>
      <c r="AE70" s="5">
        <f t="shared" si="29"/>
        <v>0</v>
      </c>
      <c r="AF70" s="5">
        <f t="shared" si="30"/>
        <v>0</v>
      </c>
      <c r="AG70" s="5">
        <f t="shared" si="31"/>
        <v>0</v>
      </c>
      <c r="AH70" s="5">
        <f t="shared" si="32"/>
        <v>0</v>
      </c>
      <c r="AI70" s="3" t="s">
        <v>47</v>
      </c>
      <c r="AJ70" s="5">
        <f t="shared" si="33"/>
        <v>0</v>
      </c>
      <c r="AK70" s="5">
        <f t="shared" si="34"/>
        <v>0</v>
      </c>
      <c r="AL70" s="5">
        <f t="shared" si="35"/>
        <v>0</v>
      </c>
      <c r="AN70" s="5">
        <v>21</v>
      </c>
      <c r="AO70" s="5">
        <f t="shared" si="36"/>
        <v>0</v>
      </c>
      <c r="AP70" s="5">
        <f t="shared" si="37"/>
        <v>0</v>
      </c>
      <c r="AQ70" s="6" t="s">
        <v>245</v>
      </c>
      <c r="AV70" s="5">
        <f t="shared" si="38"/>
        <v>0</v>
      </c>
      <c r="AW70" s="5">
        <f t="shared" si="39"/>
        <v>0</v>
      </c>
      <c r="AX70" s="5">
        <f t="shared" si="40"/>
        <v>0</v>
      </c>
      <c r="AY70" s="6" t="s">
        <v>246</v>
      </c>
      <c r="AZ70" s="6" t="s">
        <v>247</v>
      </c>
      <c r="BA70" s="3" t="s">
        <v>57</v>
      </c>
      <c r="BC70" s="5">
        <f t="shared" si="41"/>
        <v>0</v>
      </c>
      <c r="BD70" s="5">
        <f t="shared" si="42"/>
        <v>0</v>
      </c>
      <c r="BE70" s="5">
        <v>0</v>
      </c>
      <c r="BF70" s="5">
        <f>70</f>
        <v>70</v>
      </c>
      <c r="BH70" s="5">
        <f t="shared" si="43"/>
        <v>0</v>
      </c>
      <c r="BI70" s="5">
        <f t="shared" si="44"/>
        <v>0</v>
      </c>
      <c r="BJ70" s="5">
        <f t="shared" si="45"/>
        <v>0</v>
      </c>
      <c r="BK70" s="6" t="s">
        <v>240</v>
      </c>
      <c r="BL70" s="5"/>
      <c r="BW70" s="5">
        <v>21</v>
      </c>
      <c r="BX70" s="2" t="s">
        <v>250</v>
      </c>
    </row>
    <row r="71" spans="1:76" x14ac:dyDescent="0.25">
      <c r="A71" s="149" t="s">
        <v>251</v>
      </c>
      <c r="B71" s="150" t="s">
        <v>252</v>
      </c>
      <c r="C71" s="121" t="s">
        <v>253</v>
      </c>
      <c r="D71" s="116"/>
      <c r="E71" s="150" t="s">
        <v>86</v>
      </c>
      <c r="F71" s="151">
        <v>4.9000000000000004</v>
      </c>
      <c r="G71" s="21">
        <v>0</v>
      </c>
      <c r="H71" s="151">
        <f t="shared" si="22"/>
        <v>0</v>
      </c>
      <c r="I71" s="151">
        <f t="shared" si="23"/>
        <v>0</v>
      </c>
      <c r="J71" s="151">
        <f t="shared" si="24"/>
        <v>0</v>
      </c>
      <c r="K71" s="152" t="s">
        <v>54</v>
      </c>
      <c r="Z71" s="5">
        <f t="shared" si="25"/>
        <v>0</v>
      </c>
      <c r="AB71" s="5">
        <f t="shared" si="26"/>
        <v>0</v>
      </c>
      <c r="AC71" s="5">
        <f t="shared" si="27"/>
        <v>0</v>
      </c>
      <c r="AD71" s="5">
        <f t="shared" si="28"/>
        <v>0</v>
      </c>
      <c r="AE71" s="5">
        <f t="shared" si="29"/>
        <v>0</v>
      </c>
      <c r="AF71" s="5">
        <f t="shared" si="30"/>
        <v>0</v>
      </c>
      <c r="AG71" s="5">
        <f t="shared" si="31"/>
        <v>0</v>
      </c>
      <c r="AH71" s="5">
        <f t="shared" si="32"/>
        <v>0</v>
      </c>
      <c r="AI71" s="3" t="s">
        <v>47</v>
      </c>
      <c r="AJ71" s="5">
        <f t="shared" si="33"/>
        <v>0</v>
      </c>
      <c r="AK71" s="5">
        <f t="shared" si="34"/>
        <v>0</v>
      </c>
      <c r="AL71" s="5">
        <f t="shared" si="35"/>
        <v>0</v>
      </c>
      <c r="AN71" s="5">
        <v>21</v>
      </c>
      <c r="AO71" s="5">
        <f t="shared" si="36"/>
        <v>0</v>
      </c>
      <c r="AP71" s="5">
        <f t="shared" si="37"/>
        <v>0</v>
      </c>
      <c r="AQ71" s="6" t="s">
        <v>245</v>
      </c>
      <c r="AV71" s="5">
        <f t="shared" si="38"/>
        <v>0</v>
      </c>
      <c r="AW71" s="5">
        <f t="shared" si="39"/>
        <v>0</v>
      </c>
      <c r="AX71" s="5">
        <f t="shared" si="40"/>
        <v>0</v>
      </c>
      <c r="AY71" s="6" t="s">
        <v>246</v>
      </c>
      <c r="AZ71" s="6" t="s">
        <v>247</v>
      </c>
      <c r="BA71" s="3" t="s">
        <v>57</v>
      </c>
      <c r="BC71" s="5">
        <f t="shared" si="41"/>
        <v>0</v>
      </c>
      <c r="BD71" s="5">
        <f t="shared" si="42"/>
        <v>0</v>
      </c>
      <c r="BE71" s="5">
        <v>0</v>
      </c>
      <c r="BF71" s="5">
        <f>71</f>
        <v>71</v>
      </c>
      <c r="BH71" s="5">
        <f t="shared" si="43"/>
        <v>0</v>
      </c>
      <c r="BI71" s="5">
        <f t="shared" si="44"/>
        <v>0</v>
      </c>
      <c r="BJ71" s="5">
        <f t="shared" si="45"/>
        <v>0</v>
      </c>
      <c r="BK71" s="6" t="s">
        <v>240</v>
      </c>
      <c r="BL71" s="5"/>
      <c r="BW71" s="5">
        <v>21</v>
      </c>
      <c r="BX71" s="2" t="s">
        <v>253</v>
      </c>
    </row>
    <row r="72" spans="1:76" x14ac:dyDescent="0.25">
      <c r="A72" s="149" t="s">
        <v>254</v>
      </c>
      <c r="B72" s="150" t="s">
        <v>255</v>
      </c>
      <c r="C72" s="121" t="s">
        <v>256</v>
      </c>
      <c r="D72" s="116"/>
      <c r="E72" s="150" t="s">
        <v>144</v>
      </c>
      <c r="F72" s="151">
        <v>45</v>
      </c>
      <c r="G72" s="21">
        <v>0</v>
      </c>
      <c r="H72" s="151">
        <f t="shared" si="22"/>
        <v>0</v>
      </c>
      <c r="I72" s="151">
        <f t="shared" si="23"/>
        <v>0</v>
      </c>
      <c r="J72" s="151">
        <f t="shared" si="24"/>
        <v>0</v>
      </c>
      <c r="K72" s="152" t="s">
        <v>54</v>
      </c>
      <c r="Z72" s="5">
        <f t="shared" si="25"/>
        <v>0</v>
      </c>
      <c r="AB72" s="5">
        <f t="shared" si="26"/>
        <v>0</v>
      </c>
      <c r="AC72" s="5">
        <f t="shared" si="27"/>
        <v>0</v>
      </c>
      <c r="AD72" s="5">
        <f t="shared" si="28"/>
        <v>0</v>
      </c>
      <c r="AE72" s="5">
        <f t="shared" si="29"/>
        <v>0</v>
      </c>
      <c r="AF72" s="5">
        <f t="shared" si="30"/>
        <v>0</v>
      </c>
      <c r="AG72" s="5">
        <f t="shared" si="31"/>
        <v>0</v>
      </c>
      <c r="AH72" s="5">
        <f t="shared" si="32"/>
        <v>0</v>
      </c>
      <c r="AI72" s="3" t="s">
        <v>47</v>
      </c>
      <c r="AJ72" s="5">
        <f t="shared" si="33"/>
        <v>0</v>
      </c>
      <c r="AK72" s="5">
        <f t="shared" si="34"/>
        <v>0</v>
      </c>
      <c r="AL72" s="5">
        <f t="shared" si="35"/>
        <v>0</v>
      </c>
      <c r="AN72" s="5">
        <v>21</v>
      </c>
      <c r="AO72" s="5">
        <f t="shared" si="36"/>
        <v>0</v>
      </c>
      <c r="AP72" s="5">
        <f t="shared" si="37"/>
        <v>0</v>
      </c>
      <c r="AQ72" s="6" t="s">
        <v>245</v>
      </c>
      <c r="AV72" s="5">
        <f t="shared" si="38"/>
        <v>0</v>
      </c>
      <c r="AW72" s="5">
        <f t="shared" si="39"/>
        <v>0</v>
      </c>
      <c r="AX72" s="5">
        <f t="shared" si="40"/>
        <v>0</v>
      </c>
      <c r="AY72" s="6" t="s">
        <v>246</v>
      </c>
      <c r="AZ72" s="6" t="s">
        <v>247</v>
      </c>
      <c r="BA72" s="3" t="s">
        <v>57</v>
      </c>
      <c r="BC72" s="5">
        <f t="shared" si="41"/>
        <v>0</v>
      </c>
      <c r="BD72" s="5">
        <f t="shared" si="42"/>
        <v>0</v>
      </c>
      <c r="BE72" s="5">
        <v>0</v>
      </c>
      <c r="BF72" s="5">
        <f>72</f>
        <v>72</v>
      </c>
      <c r="BH72" s="5">
        <f t="shared" si="43"/>
        <v>0</v>
      </c>
      <c r="BI72" s="5">
        <f t="shared" si="44"/>
        <v>0</v>
      </c>
      <c r="BJ72" s="5">
        <f t="shared" si="45"/>
        <v>0</v>
      </c>
      <c r="BK72" s="6" t="s">
        <v>240</v>
      </c>
      <c r="BL72" s="5"/>
      <c r="BW72" s="5">
        <v>21</v>
      </c>
      <c r="BX72" s="2" t="s">
        <v>257</v>
      </c>
    </row>
    <row r="73" spans="1:76" x14ac:dyDescent="0.25">
      <c r="A73" s="149" t="s">
        <v>258</v>
      </c>
      <c r="B73" s="150" t="s">
        <v>259</v>
      </c>
      <c r="C73" s="121" t="s">
        <v>260</v>
      </c>
      <c r="D73" s="116"/>
      <c r="E73" s="150" t="s">
        <v>105</v>
      </c>
      <c r="F73" s="151">
        <v>47</v>
      </c>
      <c r="G73" s="21">
        <v>0</v>
      </c>
      <c r="H73" s="151">
        <f t="shared" si="22"/>
        <v>0</v>
      </c>
      <c r="I73" s="151">
        <f t="shared" si="23"/>
        <v>0</v>
      </c>
      <c r="J73" s="151">
        <f t="shared" si="24"/>
        <v>0</v>
      </c>
      <c r="K73" s="152" t="s">
        <v>54</v>
      </c>
      <c r="Z73" s="5">
        <f t="shared" si="25"/>
        <v>0</v>
      </c>
      <c r="AB73" s="5">
        <f t="shared" si="26"/>
        <v>0</v>
      </c>
      <c r="AC73" s="5">
        <f t="shared" si="27"/>
        <v>0</v>
      </c>
      <c r="AD73" s="5">
        <f t="shared" si="28"/>
        <v>0</v>
      </c>
      <c r="AE73" s="5">
        <f t="shared" si="29"/>
        <v>0</v>
      </c>
      <c r="AF73" s="5">
        <f t="shared" si="30"/>
        <v>0</v>
      </c>
      <c r="AG73" s="5">
        <f t="shared" si="31"/>
        <v>0</v>
      </c>
      <c r="AH73" s="5">
        <f t="shared" si="32"/>
        <v>0</v>
      </c>
      <c r="AI73" s="3" t="s">
        <v>47</v>
      </c>
      <c r="AJ73" s="5">
        <f t="shared" si="33"/>
        <v>0</v>
      </c>
      <c r="AK73" s="5">
        <f t="shared" si="34"/>
        <v>0</v>
      </c>
      <c r="AL73" s="5">
        <f t="shared" si="35"/>
        <v>0</v>
      </c>
      <c r="AN73" s="5">
        <v>21</v>
      </c>
      <c r="AO73" s="5">
        <f t="shared" si="36"/>
        <v>0</v>
      </c>
      <c r="AP73" s="5">
        <f t="shared" si="37"/>
        <v>0</v>
      </c>
      <c r="AQ73" s="6" t="s">
        <v>245</v>
      </c>
      <c r="AV73" s="5">
        <f t="shared" si="38"/>
        <v>0</v>
      </c>
      <c r="AW73" s="5">
        <f t="shared" si="39"/>
        <v>0</v>
      </c>
      <c r="AX73" s="5">
        <f t="shared" si="40"/>
        <v>0</v>
      </c>
      <c r="AY73" s="6" t="s">
        <v>246</v>
      </c>
      <c r="AZ73" s="6" t="s">
        <v>247</v>
      </c>
      <c r="BA73" s="3" t="s">
        <v>57</v>
      </c>
      <c r="BC73" s="5">
        <f t="shared" si="41"/>
        <v>0</v>
      </c>
      <c r="BD73" s="5">
        <f t="shared" si="42"/>
        <v>0</v>
      </c>
      <c r="BE73" s="5">
        <v>0</v>
      </c>
      <c r="BF73" s="5">
        <f>73</f>
        <v>73</v>
      </c>
      <c r="BH73" s="5">
        <f t="shared" si="43"/>
        <v>0</v>
      </c>
      <c r="BI73" s="5">
        <f t="shared" si="44"/>
        <v>0</v>
      </c>
      <c r="BJ73" s="5">
        <f t="shared" si="45"/>
        <v>0</v>
      </c>
      <c r="BK73" s="6" t="s">
        <v>240</v>
      </c>
      <c r="BL73" s="5"/>
      <c r="BW73" s="5">
        <v>21</v>
      </c>
      <c r="BX73" s="2" t="s">
        <v>261</v>
      </c>
    </row>
    <row r="74" spans="1:76" x14ac:dyDescent="0.25">
      <c r="A74" s="149" t="s">
        <v>262</v>
      </c>
      <c r="B74" s="150" t="s">
        <v>263</v>
      </c>
      <c r="C74" s="121" t="s">
        <v>264</v>
      </c>
      <c r="D74" s="116"/>
      <c r="E74" s="150" t="s">
        <v>144</v>
      </c>
      <c r="F74" s="151">
        <v>188</v>
      </c>
      <c r="G74" s="21">
        <v>0</v>
      </c>
      <c r="H74" s="151">
        <f t="shared" si="22"/>
        <v>0</v>
      </c>
      <c r="I74" s="151">
        <f t="shared" si="23"/>
        <v>0</v>
      </c>
      <c r="J74" s="151">
        <f t="shared" si="24"/>
        <v>0</v>
      </c>
      <c r="K74" s="152" t="s">
        <v>54</v>
      </c>
      <c r="Z74" s="5">
        <f t="shared" si="25"/>
        <v>0</v>
      </c>
      <c r="AB74" s="5">
        <f t="shared" si="26"/>
        <v>0</v>
      </c>
      <c r="AC74" s="5">
        <f t="shared" si="27"/>
        <v>0</v>
      </c>
      <c r="AD74" s="5">
        <f t="shared" si="28"/>
        <v>0</v>
      </c>
      <c r="AE74" s="5">
        <f t="shared" si="29"/>
        <v>0</v>
      </c>
      <c r="AF74" s="5">
        <f t="shared" si="30"/>
        <v>0</v>
      </c>
      <c r="AG74" s="5">
        <f t="shared" si="31"/>
        <v>0</v>
      </c>
      <c r="AH74" s="5">
        <f t="shared" si="32"/>
        <v>0</v>
      </c>
      <c r="AI74" s="3" t="s">
        <v>47</v>
      </c>
      <c r="AJ74" s="5">
        <f t="shared" si="33"/>
        <v>0</v>
      </c>
      <c r="AK74" s="5">
        <f t="shared" si="34"/>
        <v>0</v>
      </c>
      <c r="AL74" s="5">
        <f t="shared" si="35"/>
        <v>0</v>
      </c>
      <c r="AN74" s="5">
        <v>21</v>
      </c>
      <c r="AO74" s="5">
        <f t="shared" si="36"/>
        <v>0</v>
      </c>
      <c r="AP74" s="5">
        <f t="shared" si="37"/>
        <v>0</v>
      </c>
      <c r="AQ74" s="6" t="s">
        <v>245</v>
      </c>
      <c r="AV74" s="5">
        <f t="shared" si="38"/>
        <v>0</v>
      </c>
      <c r="AW74" s="5">
        <f t="shared" si="39"/>
        <v>0</v>
      </c>
      <c r="AX74" s="5">
        <f t="shared" si="40"/>
        <v>0</v>
      </c>
      <c r="AY74" s="6" t="s">
        <v>246</v>
      </c>
      <c r="AZ74" s="6" t="s">
        <v>247</v>
      </c>
      <c r="BA74" s="3" t="s">
        <v>57</v>
      </c>
      <c r="BC74" s="5">
        <f t="shared" si="41"/>
        <v>0</v>
      </c>
      <c r="BD74" s="5">
        <f t="shared" si="42"/>
        <v>0</v>
      </c>
      <c r="BE74" s="5">
        <v>0</v>
      </c>
      <c r="BF74" s="5">
        <f>74</f>
        <v>74</v>
      </c>
      <c r="BH74" s="5">
        <f t="shared" si="43"/>
        <v>0</v>
      </c>
      <c r="BI74" s="5">
        <f t="shared" si="44"/>
        <v>0</v>
      </c>
      <c r="BJ74" s="5">
        <f t="shared" si="45"/>
        <v>0</v>
      </c>
      <c r="BK74" s="6" t="s">
        <v>240</v>
      </c>
      <c r="BL74" s="5"/>
      <c r="BW74" s="5">
        <v>21</v>
      </c>
      <c r="BX74" s="2" t="s">
        <v>265</v>
      </c>
    </row>
    <row r="75" spans="1:76" x14ac:dyDescent="0.25">
      <c r="A75" s="141" t="s">
        <v>47</v>
      </c>
      <c r="B75" s="153" t="s">
        <v>266</v>
      </c>
      <c r="C75" s="154" t="s">
        <v>267</v>
      </c>
      <c r="D75" s="155"/>
      <c r="E75" s="156" t="s">
        <v>4</v>
      </c>
      <c r="F75" s="156" t="s">
        <v>4</v>
      </c>
      <c r="G75" s="157" t="s">
        <v>4</v>
      </c>
      <c r="H75" s="158">
        <f>H76+H78</f>
        <v>0</v>
      </c>
      <c r="I75" s="158">
        <f>I76+I78</f>
        <v>0</v>
      </c>
      <c r="J75" s="158">
        <f>J76+J78</f>
        <v>0</v>
      </c>
      <c r="K75" s="148" t="s">
        <v>47</v>
      </c>
      <c r="AI75" s="3" t="s">
        <v>47</v>
      </c>
    </row>
    <row r="76" spans="1:76" x14ac:dyDescent="0.25">
      <c r="A76" s="141" t="s">
        <v>47</v>
      </c>
      <c r="B76" s="153" t="s">
        <v>268</v>
      </c>
      <c r="C76" s="154" t="s">
        <v>269</v>
      </c>
      <c r="D76" s="155"/>
      <c r="E76" s="156" t="s">
        <v>4</v>
      </c>
      <c r="F76" s="156" t="s">
        <v>4</v>
      </c>
      <c r="G76" s="157" t="s">
        <v>4</v>
      </c>
      <c r="H76" s="158">
        <f>ROUND(SUM(H77:H77),2)</f>
        <v>0</v>
      </c>
      <c r="I76" s="158">
        <f>ROUND(SUM(I77:I77),2)</f>
        <v>0</v>
      </c>
      <c r="J76" s="158">
        <f>ROUND(SUM(J77:J77),2)</f>
        <v>0</v>
      </c>
      <c r="K76" s="148" t="s">
        <v>47</v>
      </c>
      <c r="AI76" s="3" t="s">
        <v>47</v>
      </c>
      <c r="AS76" s="1">
        <f>SUM(AJ77:AJ77)</f>
        <v>0</v>
      </c>
      <c r="AT76" s="1">
        <f>SUM(AK77:AK77)</f>
        <v>0</v>
      </c>
      <c r="AU76" s="1">
        <f>SUM(AL77:AL77)</f>
        <v>0</v>
      </c>
    </row>
    <row r="77" spans="1:76" x14ac:dyDescent="0.25">
      <c r="A77" s="149" t="s">
        <v>270</v>
      </c>
      <c r="B77" s="150" t="s">
        <v>271</v>
      </c>
      <c r="C77" s="121" t="s">
        <v>272</v>
      </c>
      <c r="D77" s="116"/>
      <c r="E77" s="150" t="s">
        <v>273</v>
      </c>
      <c r="F77" s="151">
        <v>1</v>
      </c>
      <c r="G77" s="21">
        <v>0</v>
      </c>
      <c r="H77" s="151">
        <f>ROUND(F77*AO77,2)</f>
        <v>0</v>
      </c>
      <c r="I77" s="151">
        <f>ROUND(F77*AP77,2)</f>
        <v>0</v>
      </c>
      <c r="J77" s="151">
        <f>ROUND(F77*G77,2)</f>
        <v>0</v>
      </c>
      <c r="K77" s="152" t="s">
        <v>54</v>
      </c>
      <c r="Z77" s="5">
        <f>ROUND(IF(AQ77="5",BJ77,0),2)</f>
        <v>0</v>
      </c>
      <c r="AB77" s="5">
        <f>ROUND(IF(AQ77="1",BH77,0),2)</f>
        <v>0</v>
      </c>
      <c r="AC77" s="5">
        <f>ROUND(IF(AQ77="1",BI77,0),2)</f>
        <v>0</v>
      </c>
      <c r="AD77" s="5">
        <f>ROUND(IF(AQ77="7",BH77,0),2)</f>
        <v>0</v>
      </c>
      <c r="AE77" s="5">
        <f>ROUND(IF(AQ77="7",BI77,0),2)</f>
        <v>0</v>
      </c>
      <c r="AF77" s="5">
        <f>ROUND(IF(AQ77="2",BH77,0),2)</f>
        <v>0</v>
      </c>
      <c r="AG77" s="5">
        <f>ROUND(IF(AQ77="2",BI77,0),2)</f>
        <v>0</v>
      </c>
      <c r="AH77" s="5">
        <f>ROUND(IF(AQ77="0",BJ77,0),2)</f>
        <v>0</v>
      </c>
      <c r="AI77" s="3" t="s">
        <v>47</v>
      </c>
      <c r="AJ77" s="5">
        <f>IF(AN77=0,J77,0)</f>
        <v>0</v>
      </c>
      <c r="AK77" s="5">
        <f>IF(AN77=12,J77,0)</f>
        <v>0</v>
      </c>
      <c r="AL77" s="5">
        <f>IF(AN77=21,J77,0)</f>
        <v>0</v>
      </c>
      <c r="AN77" s="5">
        <v>21</v>
      </c>
      <c r="AO77" s="5">
        <f>G77*0</f>
        <v>0</v>
      </c>
      <c r="AP77" s="5">
        <f>G77*(1-0)</f>
        <v>0</v>
      </c>
      <c r="AQ77" s="6" t="s">
        <v>274</v>
      </c>
      <c r="AV77" s="5">
        <f>ROUND(AW77+AX77,2)</f>
        <v>0</v>
      </c>
      <c r="AW77" s="5">
        <f>ROUND(F77*AO77,2)</f>
        <v>0</v>
      </c>
      <c r="AX77" s="5">
        <f>ROUND(F77*AP77,2)</f>
        <v>0</v>
      </c>
      <c r="AY77" s="6" t="s">
        <v>275</v>
      </c>
      <c r="AZ77" s="6" t="s">
        <v>276</v>
      </c>
      <c r="BA77" s="3" t="s">
        <v>57</v>
      </c>
      <c r="BC77" s="5">
        <f>AW77+AX77</f>
        <v>0</v>
      </c>
      <c r="BD77" s="5">
        <f>G77/(100-BE77)*100</f>
        <v>0</v>
      </c>
      <c r="BE77" s="5">
        <v>0</v>
      </c>
      <c r="BF77" s="5">
        <f>77</f>
        <v>77</v>
      </c>
      <c r="BH77" s="5">
        <f>F77*AO77</f>
        <v>0</v>
      </c>
      <c r="BI77" s="5">
        <f>F77*AP77</f>
        <v>0</v>
      </c>
      <c r="BJ77" s="5">
        <f>F77*G77</f>
        <v>0</v>
      </c>
      <c r="BK77" s="6" t="s">
        <v>58</v>
      </c>
      <c r="BL77" s="5"/>
      <c r="BM77" s="5">
        <f>F77*G77</f>
        <v>0</v>
      </c>
      <c r="BW77" s="5">
        <v>21</v>
      </c>
      <c r="BX77" s="2" t="s">
        <v>272</v>
      </c>
    </row>
    <row r="78" spans="1:76" x14ac:dyDescent="0.25">
      <c r="A78" s="141" t="s">
        <v>47</v>
      </c>
      <c r="B78" s="153" t="s">
        <v>277</v>
      </c>
      <c r="C78" s="154" t="s">
        <v>278</v>
      </c>
      <c r="D78" s="155"/>
      <c r="E78" s="156" t="s">
        <v>4</v>
      </c>
      <c r="F78" s="156" t="s">
        <v>4</v>
      </c>
      <c r="G78" s="157" t="s">
        <v>4</v>
      </c>
      <c r="H78" s="158">
        <f>ROUND(SUM(H79:H81),2)</f>
        <v>0</v>
      </c>
      <c r="I78" s="158">
        <f>ROUND(SUM(I79:I81),2)</f>
        <v>0</v>
      </c>
      <c r="J78" s="158">
        <f>ROUND(SUM(J79:J81),2)</f>
        <v>0</v>
      </c>
      <c r="K78" s="148" t="s">
        <v>47</v>
      </c>
      <c r="AI78" s="3" t="s">
        <v>47</v>
      </c>
      <c r="AS78" s="1">
        <f>SUM(AJ79:AJ81)</f>
        <v>0</v>
      </c>
      <c r="AT78" s="1">
        <f>SUM(AK79:AK81)</f>
        <v>0</v>
      </c>
      <c r="AU78" s="1">
        <f>SUM(AL79:AL81)</f>
        <v>0</v>
      </c>
    </row>
    <row r="79" spans="1:76" x14ac:dyDescent="0.25">
      <c r="A79" s="149">
        <v>47</v>
      </c>
      <c r="B79" s="150" t="s">
        <v>279</v>
      </c>
      <c r="C79" s="121" t="s">
        <v>278</v>
      </c>
      <c r="D79" s="116"/>
      <c r="E79" s="150" t="s">
        <v>273</v>
      </c>
      <c r="F79" s="151">
        <v>1</v>
      </c>
      <c r="G79" s="21">
        <v>0</v>
      </c>
      <c r="H79" s="151">
        <f>ROUND(F79*AO79,2)</f>
        <v>0</v>
      </c>
      <c r="I79" s="151">
        <f>ROUND(F79*AP79,2)</f>
        <v>0</v>
      </c>
      <c r="J79" s="151">
        <f>ROUND(F79*G79,2)</f>
        <v>0</v>
      </c>
      <c r="K79" s="152" t="s">
        <v>54</v>
      </c>
      <c r="Z79" s="5">
        <f>ROUND(IF(AQ79="5",BJ79,0),2)</f>
        <v>0</v>
      </c>
      <c r="AB79" s="5">
        <f>ROUND(IF(AQ79="1",BH79,0),2)</f>
        <v>0</v>
      </c>
      <c r="AC79" s="5">
        <f>ROUND(IF(AQ79="1",BI79,0),2)</f>
        <v>0</v>
      </c>
      <c r="AD79" s="5">
        <f>ROUND(IF(AQ79="7",BH79,0),2)</f>
        <v>0</v>
      </c>
      <c r="AE79" s="5">
        <f>ROUND(IF(AQ79="7",BI79,0),2)</f>
        <v>0</v>
      </c>
      <c r="AF79" s="5">
        <f>ROUND(IF(AQ79="2",BH79,0),2)</f>
        <v>0</v>
      </c>
      <c r="AG79" s="5">
        <f>ROUND(IF(AQ79="2",BI79,0),2)</f>
        <v>0</v>
      </c>
      <c r="AH79" s="5">
        <f>ROUND(IF(AQ79="0",BJ79,0),2)</f>
        <v>0</v>
      </c>
      <c r="AI79" s="3" t="s">
        <v>47</v>
      </c>
      <c r="AJ79" s="5">
        <f>IF(AN79=0,J79,0)</f>
        <v>0</v>
      </c>
      <c r="AK79" s="5">
        <f>IF(AN79=12,J79,0)</f>
        <v>0</v>
      </c>
      <c r="AL79" s="5">
        <f>IF(AN79=21,J79,0)</f>
        <v>0</v>
      </c>
      <c r="AN79" s="5">
        <v>21</v>
      </c>
      <c r="AO79" s="5">
        <f>G79*0</f>
        <v>0</v>
      </c>
      <c r="AP79" s="5">
        <f>G79*(1-0)</f>
        <v>0</v>
      </c>
      <c r="AQ79" s="6" t="s">
        <v>274</v>
      </c>
      <c r="AV79" s="5">
        <f>ROUND(AW79+AX79,2)</f>
        <v>0</v>
      </c>
      <c r="AW79" s="5">
        <f>ROUND(F79*AO79,2)</f>
        <v>0</v>
      </c>
      <c r="AX79" s="5">
        <f>ROUND(F79*AP79,2)</f>
        <v>0</v>
      </c>
      <c r="AY79" s="6" t="s">
        <v>280</v>
      </c>
      <c r="AZ79" s="6" t="s">
        <v>276</v>
      </c>
      <c r="BA79" s="3" t="s">
        <v>57</v>
      </c>
      <c r="BC79" s="5">
        <f>AW79+AX79</f>
        <v>0</v>
      </c>
      <c r="BD79" s="5">
        <f>G79/(100-BE79)*100</f>
        <v>0</v>
      </c>
      <c r="BE79" s="5">
        <v>0</v>
      </c>
      <c r="BF79" s="5">
        <f>80</f>
        <v>80</v>
      </c>
      <c r="BH79" s="5">
        <f>F79*AO79</f>
        <v>0</v>
      </c>
      <c r="BI79" s="5">
        <f>F79*AP79</f>
        <v>0</v>
      </c>
      <c r="BJ79" s="5">
        <f>F79*G79</f>
        <v>0</v>
      </c>
      <c r="BK79" s="6" t="s">
        <v>58</v>
      </c>
      <c r="BL79" s="5"/>
      <c r="BO79" s="5">
        <f>F79*G79</f>
        <v>0</v>
      </c>
      <c r="BW79" s="5">
        <v>21</v>
      </c>
      <c r="BX79" s="2" t="s">
        <v>278</v>
      </c>
    </row>
    <row r="80" spans="1:76" x14ac:dyDescent="0.25">
      <c r="A80" s="149">
        <v>48</v>
      </c>
      <c r="B80" s="150" t="s">
        <v>281</v>
      </c>
      <c r="C80" s="121" t="s">
        <v>282</v>
      </c>
      <c r="D80" s="116"/>
      <c r="E80" s="150" t="s">
        <v>273</v>
      </c>
      <c r="F80" s="151">
        <v>1</v>
      </c>
      <c r="G80" s="21">
        <v>0</v>
      </c>
      <c r="H80" s="151">
        <f>ROUND(F80*AO80,2)</f>
        <v>0</v>
      </c>
      <c r="I80" s="151">
        <f>ROUND(F80*AP80,2)</f>
        <v>0</v>
      </c>
      <c r="J80" s="151">
        <f>ROUND(F80*G80,2)</f>
        <v>0</v>
      </c>
      <c r="K80" s="152" t="s">
        <v>54</v>
      </c>
      <c r="Z80" s="5">
        <f>ROUND(IF(AQ80="5",BJ80,0),2)</f>
        <v>0</v>
      </c>
      <c r="AB80" s="5">
        <f>ROUND(IF(AQ80="1",BH80,0),2)</f>
        <v>0</v>
      </c>
      <c r="AC80" s="5">
        <f>ROUND(IF(AQ80="1",BI80,0),2)</f>
        <v>0</v>
      </c>
      <c r="AD80" s="5">
        <f>ROUND(IF(AQ80="7",BH80,0),2)</f>
        <v>0</v>
      </c>
      <c r="AE80" s="5">
        <f>ROUND(IF(AQ80="7",BI80,0),2)</f>
        <v>0</v>
      </c>
      <c r="AF80" s="5">
        <f>ROUND(IF(AQ80="2",BH80,0),2)</f>
        <v>0</v>
      </c>
      <c r="AG80" s="5">
        <f>ROUND(IF(AQ80="2",BI80,0),2)</f>
        <v>0</v>
      </c>
      <c r="AH80" s="5">
        <f>ROUND(IF(AQ80="0",BJ80,0),2)</f>
        <v>0</v>
      </c>
      <c r="AI80" s="3" t="s">
        <v>47</v>
      </c>
      <c r="AJ80" s="5">
        <f>IF(AN80=0,J80,0)</f>
        <v>0</v>
      </c>
      <c r="AK80" s="5">
        <f>IF(AN80=12,J80,0)</f>
        <v>0</v>
      </c>
      <c r="AL80" s="5">
        <f>IF(AN80=21,J80,0)</f>
        <v>0</v>
      </c>
      <c r="AN80" s="5">
        <v>21</v>
      </c>
      <c r="AO80" s="5">
        <f>G80*0</f>
        <v>0</v>
      </c>
      <c r="AP80" s="5">
        <f>G80*(1-0)</f>
        <v>0</v>
      </c>
      <c r="AQ80" s="6" t="s">
        <v>274</v>
      </c>
      <c r="AV80" s="5">
        <f>ROUND(AW80+AX80,2)</f>
        <v>0</v>
      </c>
      <c r="AW80" s="5">
        <f>ROUND(F80*AO80,2)</f>
        <v>0</v>
      </c>
      <c r="AX80" s="5">
        <f>ROUND(F80*AP80,2)</f>
        <v>0</v>
      </c>
      <c r="AY80" s="6" t="s">
        <v>280</v>
      </c>
      <c r="AZ80" s="6" t="s">
        <v>276</v>
      </c>
      <c r="BA80" s="3" t="s">
        <v>57</v>
      </c>
      <c r="BC80" s="5">
        <f>AW80+AX80</f>
        <v>0</v>
      </c>
      <c r="BD80" s="5">
        <f>G80/(100-BE80)*100</f>
        <v>0</v>
      </c>
      <c r="BE80" s="5">
        <v>0</v>
      </c>
      <c r="BF80" s="5">
        <f>81</f>
        <v>81</v>
      </c>
      <c r="BH80" s="5">
        <f>F80*AO80</f>
        <v>0</v>
      </c>
      <c r="BI80" s="5">
        <f>F80*AP80</f>
        <v>0</v>
      </c>
      <c r="BJ80" s="5">
        <f>F80*G80</f>
        <v>0</v>
      </c>
      <c r="BK80" s="6" t="s">
        <v>58</v>
      </c>
      <c r="BL80" s="5"/>
      <c r="BO80" s="5">
        <f>F80*G80</f>
        <v>0</v>
      </c>
      <c r="BW80" s="5">
        <v>21</v>
      </c>
      <c r="BX80" s="2" t="s">
        <v>282</v>
      </c>
    </row>
    <row r="81" spans="1:76" ht="15.75" thickBot="1" x14ac:dyDescent="0.3">
      <c r="A81" s="159">
        <v>49</v>
      </c>
      <c r="B81" s="160" t="s">
        <v>283</v>
      </c>
      <c r="C81" s="161" t="s">
        <v>284</v>
      </c>
      <c r="D81" s="162"/>
      <c r="E81" s="160" t="s">
        <v>273</v>
      </c>
      <c r="F81" s="163">
        <v>1</v>
      </c>
      <c r="G81" s="22">
        <v>0</v>
      </c>
      <c r="H81" s="163">
        <f>ROUND(F81*AO81,2)</f>
        <v>0</v>
      </c>
      <c r="I81" s="163">
        <f>ROUND(F81*AP81,2)</f>
        <v>0</v>
      </c>
      <c r="J81" s="164">
        <f>ROUND(F81*G81,2)</f>
        <v>0</v>
      </c>
      <c r="K81" s="165" t="s">
        <v>54</v>
      </c>
      <c r="Z81" s="5">
        <f>ROUND(IF(AQ81="5",BJ81,0),2)</f>
        <v>0</v>
      </c>
      <c r="AB81" s="5">
        <f>ROUND(IF(AQ81="1",BH81,0),2)</f>
        <v>0</v>
      </c>
      <c r="AC81" s="5">
        <f>ROUND(IF(AQ81="1",BI81,0),2)</f>
        <v>0</v>
      </c>
      <c r="AD81" s="5">
        <f>ROUND(IF(AQ81="7",BH81,0),2)</f>
        <v>0</v>
      </c>
      <c r="AE81" s="5">
        <f>ROUND(IF(AQ81="7",BI81,0),2)</f>
        <v>0</v>
      </c>
      <c r="AF81" s="5">
        <f>ROUND(IF(AQ81="2",BH81,0),2)</f>
        <v>0</v>
      </c>
      <c r="AG81" s="5">
        <f>ROUND(IF(AQ81="2",BI81,0),2)</f>
        <v>0</v>
      </c>
      <c r="AH81" s="5">
        <f>ROUND(IF(AQ81="0",BJ81,0),2)</f>
        <v>0</v>
      </c>
      <c r="AI81" s="3" t="s">
        <v>47</v>
      </c>
      <c r="AJ81" s="5">
        <f>IF(AN81=0,J81,0)</f>
        <v>0</v>
      </c>
      <c r="AK81" s="5">
        <f>IF(AN81=12,J81,0)</f>
        <v>0</v>
      </c>
      <c r="AL81" s="5">
        <f>IF(AN81=21,J81,0)</f>
        <v>0</v>
      </c>
      <c r="AN81" s="5">
        <v>21</v>
      </c>
      <c r="AO81" s="5">
        <f>G81*0</f>
        <v>0</v>
      </c>
      <c r="AP81" s="5">
        <f>G81*(1-0)</f>
        <v>0</v>
      </c>
      <c r="AQ81" s="6" t="s">
        <v>274</v>
      </c>
      <c r="AV81" s="5">
        <f>ROUND(AW81+AX81,2)</f>
        <v>0</v>
      </c>
      <c r="AW81" s="5">
        <f>ROUND(F81*AO81,2)</f>
        <v>0</v>
      </c>
      <c r="AX81" s="5">
        <f>ROUND(F81*AP81,2)</f>
        <v>0</v>
      </c>
      <c r="AY81" s="6" t="s">
        <v>280</v>
      </c>
      <c r="AZ81" s="6" t="s">
        <v>276</v>
      </c>
      <c r="BA81" s="3" t="s">
        <v>57</v>
      </c>
      <c r="BC81" s="5">
        <f>AW81+AX81</f>
        <v>0</v>
      </c>
      <c r="BD81" s="5">
        <f>G81/(100-BE81)*100</f>
        <v>0</v>
      </c>
      <c r="BE81" s="5">
        <v>0</v>
      </c>
      <c r="BF81" s="5">
        <f>82</f>
        <v>82</v>
      </c>
      <c r="BH81" s="5">
        <f>F81*AO81</f>
        <v>0</v>
      </c>
      <c r="BI81" s="5">
        <f>F81*AP81</f>
        <v>0</v>
      </c>
      <c r="BJ81" s="5">
        <f>F81*G81</f>
        <v>0</v>
      </c>
      <c r="BK81" s="6" t="s">
        <v>58</v>
      </c>
      <c r="BL81" s="5"/>
      <c r="BO81" s="5">
        <f>F81*G81</f>
        <v>0</v>
      </c>
      <c r="BW81" s="5">
        <v>21</v>
      </c>
      <c r="BX81" s="2" t="s">
        <v>284</v>
      </c>
    </row>
    <row r="82" spans="1:76" ht="15.75" thickBot="1" x14ac:dyDescent="0.3">
      <c r="A82" s="166"/>
      <c r="B82" s="166"/>
      <c r="C82" s="166"/>
      <c r="D82" s="166"/>
      <c r="E82" s="166"/>
      <c r="F82" s="166"/>
      <c r="G82" s="166"/>
      <c r="H82" s="167" t="s">
        <v>285</v>
      </c>
      <c r="I82" s="168"/>
      <c r="J82" s="169">
        <f>ROUND(SUM(J12,J15,J18,J21,J26,J28,J31,J37,J44,J48,J50,J53,J55,J57,J59,J61,J65,J68,J76,J78),2)</f>
        <v>0</v>
      </c>
      <c r="K82" s="166"/>
    </row>
    <row r="83" spans="1:76" x14ac:dyDescent="0.25">
      <c r="A83" s="170" t="s">
        <v>286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</row>
    <row r="84" spans="1:76" ht="12.75" customHeight="1" x14ac:dyDescent="0.25">
      <c r="A84" s="121" t="s">
        <v>47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</row>
  </sheetData>
  <sheetProtection algorithmName="SHA-512" hashValue="f7B/drDW54S/gfLJbhSYWbanpRmc3Uzb5Ea0CgbFympn3uyteBVG1W4PXoUfeiQaPrUurUQV/c3qbwuXU34irg==" saltValue="GgROJ3tSbC/+LyW6qIu/FQ==" spinCount="100000" sheet="1" objects="1" scenarios="1"/>
  <mergeCells count="100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H82:I82"/>
    <mergeCell ref="A84:K8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</mergeCells>
  <pageMargins left="0.39370078740157483" right="0.39370078740157483" top="0.59055118110236227" bottom="0.59055118110236227" header="0" footer="0"/>
  <pageSetup scale="67" fitToHeight="0" orientation="landscape" r:id="rId1"/>
  <headerFooter>
    <oddHeader>&amp;R&amp;"Calibri,Tučné"&amp;12Z26009 - Výstavba přístřešku pro auta – středisko Turnov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22" workbookViewId="0">
      <selection activeCell="M19" sqref="M1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68" t="s">
        <v>287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70" t="s">
        <v>1</v>
      </c>
      <c r="B2" s="71"/>
      <c r="C2" s="81" t="str">
        <f>'Stavební rozpočet'!C2</f>
        <v>Zastřešení parkovacích stání a přístřešek Cestmistrovství Turnov-Silnice LK a.s.</v>
      </c>
      <c r="D2" s="82"/>
      <c r="E2" s="67" t="s">
        <v>5</v>
      </c>
      <c r="F2" s="73" t="str">
        <f>'Stavební rozpočet'!I2</f>
        <v> Silnice LK a.s.</v>
      </c>
      <c r="G2" s="74"/>
      <c r="H2" s="67" t="s">
        <v>288</v>
      </c>
      <c r="I2" s="77" t="s">
        <v>347</v>
      </c>
    </row>
    <row r="3" spans="1:9" ht="25.5" customHeight="1" x14ac:dyDescent="0.25">
      <c r="A3" s="72"/>
      <c r="B3" s="33"/>
      <c r="C3" s="83"/>
      <c r="D3" s="83"/>
      <c r="E3" s="33"/>
      <c r="F3" s="75"/>
      <c r="G3" s="75"/>
      <c r="H3" s="33"/>
      <c r="I3" s="78"/>
    </row>
    <row r="4" spans="1:9" x14ac:dyDescent="0.25">
      <c r="A4" s="65" t="s">
        <v>7</v>
      </c>
      <c r="B4" s="33"/>
      <c r="C4" s="32" t="str">
        <f>'Stavební rozpočet'!C4</f>
        <v>Doplňková stavba</v>
      </c>
      <c r="D4" s="33"/>
      <c r="E4" s="32" t="s">
        <v>10</v>
      </c>
      <c r="F4" s="32" t="str">
        <f>'Stavební rozpočet'!I4</f>
        <v> </v>
      </c>
      <c r="G4" s="33"/>
      <c r="H4" s="32" t="s">
        <v>288</v>
      </c>
      <c r="I4" s="78" t="s">
        <v>47</v>
      </c>
    </row>
    <row r="5" spans="1:9" ht="15" customHeight="1" x14ac:dyDescent="0.25">
      <c r="A5" s="72"/>
      <c r="B5" s="33"/>
      <c r="C5" s="33"/>
      <c r="D5" s="33"/>
      <c r="E5" s="33"/>
      <c r="F5" s="33"/>
      <c r="G5" s="33"/>
      <c r="H5" s="33"/>
      <c r="I5" s="78"/>
    </row>
    <row r="6" spans="1:9" x14ac:dyDescent="0.25">
      <c r="A6" s="65" t="s">
        <v>11</v>
      </c>
      <c r="B6" s="33"/>
      <c r="C6" s="32" t="str">
        <f>'Stavební rozpočet'!C6</f>
        <v>Turnov, Průmyslová 3001, Turnov 511 01</v>
      </c>
      <c r="D6" s="33"/>
      <c r="E6" s="32" t="s">
        <v>14</v>
      </c>
      <c r="F6" s="76">
        <f>'Stavební rozpočet'!I6</f>
        <v>0</v>
      </c>
      <c r="G6" s="76"/>
      <c r="H6" s="32" t="s">
        <v>288</v>
      </c>
      <c r="I6" s="79" t="s">
        <v>47</v>
      </c>
    </row>
    <row r="7" spans="1:9" x14ac:dyDescent="0.25">
      <c r="A7" s="72"/>
      <c r="B7" s="33"/>
      <c r="C7" s="33"/>
      <c r="D7" s="33"/>
      <c r="E7" s="33"/>
      <c r="F7" s="76"/>
      <c r="G7" s="76"/>
      <c r="H7" s="33"/>
      <c r="I7" s="79"/>
    </row>
    <row r="8" spans="1:9" x14ac:dyDescent="0.25">
      <c r="A8" s="65" t="s">
        <v>9</v>
      </c>
      <c r="B8" s="33"/>
      <c r="C8" s="32">
        <f>'Stavební rozpočet'!G4</f>
        <v>0</v>
      </c>
      <c r="D8" s="33"/>
      <c r="E8" s="32" t="s">
        <v>13</v>
      </c>
      <c r="F8" s="32" t="str">
        <f>'Stavební rozpočet'!G6</f>
        <v xml:space="preserve"> </v>
      </c>
      <c r="G8" s="33"/>
      <c r="H8" s="33" t="s">
        <v>289</v>
      </c>
      <c r="I8" s="80">
        <v>50</v>
      </c>
    </row>
    <row r="9" spans="1:9" x14ac:dyDescent="0.25">
      <c r="A9" s="72"/>
      <c r="B9" s="33"/>
      <c r="C9" s="33"/>
      <c r="D9" s="33"/>
      <c r="E9" s="33"/>
      <c r="F9" s="33"/>
      <c r="G9" s="33"/>
      <c r="H9" s="33"/>
      <c r="I9" s="78"/>
    </row>
    <row r="10" spans="1:9" x14ac:dyDescent="0.25">
      <c r="A10" s="65" t="s">
        <v>15</v>
      </c>
      <c r="B10" s="33"/>
      <c r="C10" s="32" t="str">
        <f>'Stavební rozpočet'!C8</f>
        <v xml:space="preserve"> </v>
      </c>
      <c r="D10" s="33"/>
      <c r="E10" s="32" t="s">
        <v>17</v>
      </c>
      <c r="F10" s="32" t="str">
        <f>'Stavební rozpočet'!I8</f>
        <v> </v>
      </c>
      <c r="G10" s="33"/>
      <c r="H10" s="33" t="s">
        <v>290</v>
      </c>
      <c r="I10" s="59">
        <f>'Stavební rozpočet'!G8</f>
        <v>0</v>
      </c>
    </row>
    <row r="11" spans="1:9" x14ac:dyDescent="0.25">
      <c r="A11" s="66"/>
      <c r="B11" s="64"/>
      <c r="C11" s="64"/>
      <c r="D11" s="64"/>
      <c r="E11" s="64"/>
      <c r="F11" s="64"/>
      <c r="G11" s="64"/>
      <c r="H11" s="64"/>
      <c r="I11" s="60"/>
    </row>
    <row r="12" spans="1:9" ht="23.25" x14ac:dyDescent="0.25">
      <c r="A12" s="61" t="s">
        <v>291</v>
      </c>
      <c r="B12" s="61"/>
      <c r="C12" s="61"/>
      <c r="D12" s="61"/>
      <c r="E12" s="61"/>
      <c r="F12" s="61"/>
      <c r="G12" s="61"/>
      <c r="H12" s="61"/>
      <c r="I12" s="61"/>
    </row>
    <row r="13" spans="1:9" ht="26.25" customHeight="1" x14ac:dyDescent="0.25">
      <c r="A13" s="7" t="s">
        <v>292</v>
      </c>
      <c r="B13" s="62" t="s">
        <v>293</v>
      </c>
      <c r="C13" s="63"/>
      <c r="D13" s="8" t="s">
        <v>294</v>
      </c>
      <c r="E13" s="62" t="s">
        <v>295</v>
      </c>
      <c r="F13" s="63"/>
      <c r="G13" s="8" t="s">
        <v>296</v>
      </c>
      <c r="H13" s="62" t="s">
        <v>297</v>
      </c>
      <c r="I13" s="63"/>
    </row>
    <row r="14" spans="1:9" ht="15.75" x14ac:dyDescent="0.25">
      <c r="A14" s="9" t="s">
        <v>298</v>
      </c>
      <c r="B14" s="19" t="s">
        <v>299</v>
      </c>
      <c r="C14" s="23">
        <f>SUM('Stavební rozpočet'!AB12:AB163)</f>
        <v>0</v>
      </c>
      <c r="D14" s="50" t="s">
        <v>300</v>
      </c>
      <c r="E14" s="51"/>
      <c r="F14" s="23">
        <f>VORN!I15</f>
        <v>0</v>
      </c>
      <c r="G14" s="50" t="s">
        <v>278</v>
      </c>
      <c r="H14" s="51"/>
      <c r="I14" s="24">
        <f>VORN!I21</f>
        <v>0</v>
      </c>
    </row>
    <row r="15" spans="1:9" ht="15.75" x14ac:dyDescent="0.25">
      <c r="A15" s="10" t="s">
        <v>47</v>
      </c>
      <c r="B15" s="19" t="s">
        <v>32</v>
      </c>
      <c r="C15" s="23">
        <f>SUM('Stavební rozpočet'!AC12:AC163)</f>
        <v>0</v>
      </c>
      <c r="D15" s="50" t="s">
        <v>301</v>
      </c>
      <c r="E15" s="51"/>
      <c r="F15" s="23">
        <f>VORN!I16</f>
        <v>0</v>
      </c>
      <c r="G15" s="50" t="s">
        <v>302</v>
      </c>
      <c r="H15" s="51"/>
      <c r="I15" s="24">
        <f>VORN!I22</f>
        <v>0</v>
      </c>
    </row>
    <row r="16" spans="1:9" ht="15.75" x14ac:dyDescent="0.25">
      <c r="A16" s="9" t="s">
        <v>303</v>
      </c>
      <c r="B16" s="19" t="s">
        <v>299</v>
      </c>
      <c r="C16" s="23">
        <f>SUM('Stavební rozpočet'!AD12:AD163)</f>
        <v>0</v>
      </c>
      <c r="D16" s="50" t="s">
        <v>304</v>
      </c>
      <c r="E16" s="51"/>
      <c r="F16" s="23">
        <f>VORN!I17</f>
        <v>0</v>
      </c>
      <c r="G16" s="50" t="s">
        <v>305</v>
      </c>
      <c r="H16" s="51"/>
      <c r="I16" s="24">
        <f>VORN!I23</f>
        <v>0</v>
      </c>
    </row>
    <row r="17" spans="1:9" ht="15.75" x14ac:dyDescent="0.25">
      <c r="A17" s="10" t="s">
        <v>47</v>
      </c>
      <c r="B17" s="19" t="s">
        <v>32</v>
      </c>
      <c r="C17" s="23">
        <f>SUM('Stavební rozpočet'!AE12:AE163)</f>
        <v>0</v>
      </c>
      <c r="D17" s="50" t="s">
        <v>47</v>
      </c>
      <c r="E17" s="51"/>
      <c r="F17" s="24" t="s">
        <v>47</v>
      </c>
      <c r="G17" s="50" t="s">
        <v>306</v>
      </c>
      <c r="H17" s="51"/>
      <c r="I17" s="24">
        <f>VORN!I24</f>
        <v>0</v>
      </c>
    </row>
    <row r="18" spans="1:9" ht="15.75" x14ac:dyDescent="0.25">
      <c r="A18" s="9" t="s">
        <v>307</v>
      </c>
      <c r="B18" s="19" t="s">
        <v>299</v>
      </c>
      <c r="C18" s="23">
        <f>SUM('Stavební rozpočet'!AF12:AF163)</f>
        <v>0</v>
      </c>
      <c r="D18" s="50" t="s">
        <v>47</v>
      </c>
      <c r="E18" s="51"/>
      <c r="F18" s="24" t="s">
        <v>47</v>
      </c>
      <c r="G18" s="50" t="s">
        <v>308</v>
      </c>
      <c r="H18" s="51"/>
      <c r="I18" s="24">
        <f>VORN!I25</f>
        <v>0</v>
      </c>
    </row>
    <row r="19" spans="1:9" ht="15.75" x14ac:dyDescent="0.25">
      <c r="A19" s="10" t="s">
        <v>47</v>
      </c>
      <c r="B19" s="19" t="s">
        <v>32</v>
      </c>
      <c r="C19" s="23">
        <f>SUM('Stavební rozpočet'!AG12:AG163)</f>
        <v>0</v>
      </c>
      <c r="D19" s="50" t="s">
        <v>47</v>
      </c>
      <c r="E19" s="51"/>
      <c r="F19" s="24" t="s">
        <v>47</v>
      </c>
      <c r="G19" s="50" t="s">
        <v>309</v>
      </c>
      <c r="H19" s="51"/>
      <c r="I19" s="24">
        <f>VORN!I26</f>
        <v>0</v>
      </c>
    </row>
    <row r="20" spans="1:9" ht="15.75" x14ac:dyDescent="0.25">
      <c r="A20" s="44" t="s">
        <v>241</v>
      </c>
      <c r="B20" s="45"/>
      <c r="C20" s="23">
        <f>SUM('Stavební rozpočet'!AH12:AH163)</f>
        <v>0</v>
      </c>
      <c r="D20" s="50" t="s">
        <v>47</v>
      </c>
      <c r="E20" s="51"/>
      <c r="F20" s="24" t="s">
        <v>47</v>
      </c>
      <c r="G20" s="50" t="s">
        <v>47</v>
      </c>
      <c r="H20" s="51"/>
      <c r="I20" s="24" t="s">
        <v>47</v>
      </c>
    </row>
    <row r="21" spans="1:9" ht="15.75" x14ac:dyDescent="0.25">
      <c r="A21" s="56" t="s">
        <v>310</v>
      </c>
      <c r="B21" s="57"/>
      <c r="C21" s="25">
        <f>SUM('Stavební rozpočet'!Z12:Z163)</f>
        <v>0</v>
      </c>
      <c r="D21" s="36" t="s">
        <v>47</v>
      </c>
      <c r="E21" s="52"/>
      <c r="F21" s="26" t="s">
        <v>47</v>
      </c>
      <c r="G21" s="36" t="s">
        <v>47</v>
      </c>
      <c r="H21" s="52"/>
      <c r="I21" s="26" t="s">
        <v>47</v>
      </c>
    </row>
    <row r="22" spans="1:9" ht="16.5" customHeight="1" x14ac:dyDescent="0.25">
      <c r="A22" s="58" t="s">
        <v>311</v>
      </c>
      <c r="B22" s="54"/>
      <c r="C22" s="11">
        <f>ROUND(SUM(C14:C21),2)</f>
        <v>0</v>
      </c>
      <c r="D22" s="53" t="s">
        <v>312</v>
      </c>
      <c r="E22" s="54"/>
      <c r="F22" s="11">
        <f>SUM(F14:F21)</f>
        <v>0</v>
      </c>
      <c r="G22" s="53" t="s">
        <v>313</v>
      </c>
      <c r="H22" s="54"/>
      <c r="I22" s="11">
        <f>SUM(I14:I21)</f>
        <v>0</v>
      </c>
    </row>
    <row r="23" spans="1:9" ht="15.75" x14ac:dyDescent="0.25">
      <c r="D23" s="44" t="s">
        <v>314</v>
      </c>
      <c r="E23" s="45"/>
      <c r="F23" s="27">
        <v>0</v>
      </c>
      <c r="G23" s="55" t="s">
        <v>315</v>
      </c>
      <c r="H23" s="45"/>
      <c r="I23" s="23">
        <v>0</v>
      </c>
    </row>
    <row r="24" spans="1:9" ht="15.75" x14ac:dyDescent="0.25">
      <c r="G24" s="44" t="s">
        <v>316</v>
      </c>
      <c r="H24" s="45"/>
      <c r="I24" s="25">
        <f>vorn_sum</f>
        <v>0</v>
      </c>
    </row>
    <row r="25" spans="1:9" ht="15.75" x14ac:dyDescent="0.25">
      <c r="G25" s="44" t="s">
        <v>317</v>
      </c>
      <c r="H25" s="45"/>
      <c r="I25" s="11">
        <v>0</v>
      </c>
    </row>
    <row r="27" spans="1:9" ht="16.5" thickBot="1" x14ac:dyDescent="0.3">
      <c r="A27" s="46" t="s">
        <v>318</v>
      </c>
      <c r="B27" s="47"/>
      <c r="C27" s="28">
        <f>ROUND(SUM('Stavební rozpočet'!AJ12:AJ163),2)</f>
        <v>0</v>
      </c>
    </row>
    <row r="28" spans="1:9" ht="16.5" thickBot="1" x14ac:dyDescent="0.3">
      <c r="A28" s="48" t="s">
        <v>319</v>
      </c>
      <c r="B28" s="49"/>
      <c r="C28" s="12">
        <f>ROUND(SUM('Stavební rozpočet'!AK12:AK163),2)</f>
        <v>0</v>
      </c>
      <c r="D28" s="47" t="s">
        <v>320</v>
      </c>
      <c r="E28" s="47"/>
      <c r="F28" s="28">
        <f>ROUND(C28*(12/100),2)</f>
        <v>0</v>
      </c>
      <c r="G28" s="47" t="s">
        <v>321</v>
      </c>
      <c r="H28" s="47"/>
      <c r="I28" s="31">
        <f>ROUND(SUM(C27:C29),2)</f>
        <v>0</v>
      </c>
    </row>
    <row r="29" spans="1:9" ht="15.75" x14ac:dyDescent="0.25">
      <c r="A29" s="48" t="s">
        <v>322</v>
      </c>
      <c r="B29" s="49"/>
      <c r="C29" s="12">
        <f>ROUND(SUM('Stavební rozpočet'!AL12:AL163),2)</f>
        <v>0</v>
      </c>
      <c r="D29" s="49" t="s">
        <v>323</v>
      </c>
      <c r="E29" s="49"/>
      <c r="F29" s="12">
        <f>ROUND(C29*(21/100),2)</f>
        <v>0</v>
      </c>
      <c r="G29" s="49" t="s">
        <v>324</v>
      </c>
      <c r="H29" s="49"/>
      <c r="I29" s="12">
        <f>ROUND(SUM(F28:F29)+I28,2)</f>
        <v>0</v>
      </c>
    </row>
    <row r="31" spans="1:9" x14ac:dyDescent="0.25">
      <c r="A31" s="41" t="s">
        <v>325</v>
      </c>
      <c r="B31" s="34"/>
      <c r="C31" s="35"/>
      <c r="D31" s="34" t="s">
        <v>326</v>
      </c>
      <c r="E31" s="34"/>
      <c r="F31" s="35"/>
      <c r="G31" s="34" t="s">
        <v>327</v>
      </c>
      <c r="H31" s="34"/>
      <c r="I31" s="35"/>
    </row>
    <row r="32" spans="1:9" x14ac:dyDescent="0.25">
      <c r="A32" s="42" t="s">
        <v>47</v>
      </c>
      <c r="B32" s="37"/>
      <c r="C32" s="38"/>
      <c r="D32" s="36" t="s">
        <v>47</v>
      </c>
      <c r="E32" s="37"/>
      <c r="F32" s="38"/>
      <c r="G32" s="36" t="s">
        <v>47</v>
      </c>
      <c r="H32" s="37"/>
      <c r="I32" s="38"/>
    </row>
    <row r="33" spans="1:9" x14ac:dyDescent="0.25">
      <c r="A33" s="42" t="s">
        <v>47</v>
      </c>
      <c r="B33" s="37"/>
      <c r="C33" s="38"/>
      <c r="D33" s="36" t="s">
        <v>47</v>
      </c>
      <c r="E33" s="37"/>
      <c r="F33" s="38"/>
      <c r="G33" s="36" t="s">
        <v>47</v>
      </c>
      <c r="H33" s="37"/>
      <c r="I33" s="38"/>
    </row>
    <row r="34" spans="1:9" x14ac:dyDescent="0.25">
      <c r="A34" s="42" t="s">
        <v>47</v>
      </c>
      <c r="B34" s="37"/>
      <c r="C34" s="38"/>
      <c r="D34" s="36" t="s">
        <v>47</v>
      </c>
      <c r="E34" s="37"/>
      <c r="F34" s="38"/>
      <c r="G34" s="36" t="s">
        <v>47</v>
      </c>
      <c r="H34" s="37"/>
      <c r="I34" s="38"/>
    </row>
    <row r="35" spans="1:9" x14ac:dyDescent="0.25">
      <c r="A35" s="43" t="s">
        <v>328</v>
      </c>
      <c r="B35" s="39"/>
      <c r="C35" s="40"/>
      <c r="D35" s="39" t="s">
        <v>328</v>
      </c>
      <c r="E35" s="39"/>
      <c r="F35" s="40"/>
      <c r="G35" s="39" t="s">
        <v>328</v>
      </c>
      <c r="H35" s="39"/>
      <c r="I35" s="40"/>
    </row>
    <row r="36" spans="1:9" x14ac:dyDescent="0.25">
      <c r="A36" s="29" t="s">
        <v>286</v>
      </c>
    </row>
    <row r="37" spans="1:9" ht="12.75" customHeight="1" x14ac:dyDescent="0.25">
      <c r="A37" s="32" t="s">
        <v>47</v>
      </c>
      <c r="B37" s="33"/>
      <c r="C37" s="33"/>
      <c r="D37" s="33"/>
      <c r="E37" s="33"/>
      <c r="F37" s="33"/>
      <c r="G37" s="33"/>
      <c r="H37" s="33"/>
      <c r="I37" s="33"/>
    </row>
  </sheetData>
  <sheetProtection algorithmName="SHA-512" hashValue="sVUw828mxjhRQVh4IZIGx7EIrSrClDLwnOk28Fx7VbbPOl9Nc6qVr/MIeTNwX2Bi/Sg5C3cxZskP1nFqp9e0Og==" saltValue="alvdWdPdApLIeYAX9LrGIw==" spinCount="100000" sheet="1" objects="1" scenarios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68" t="s">
        <v>267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70" t="s">
        <v>1</v>
      </c>
      <c r="B2" s="71"/>
      <c r="C2" s="81" t="str">
        <f>'Stavební rozpočet'!C2</f>
        <v>Zastřešení parkovacích stání a přístřešek Cestmistrovství Turnov-Silnice LK a.s.</v>
      </c>
      <c r="D2" s="82"/>
      <c r="E2" s="67" t="s">
        <v>5</v>
      </c>
      <c r="F2" s="67" t="str">
        <f>'Stavební rozpočet'!I2</f>
        <v> Silnice LK a.s.</v>
      </c>
      <c r="G2" s="71"/>
      <c r="H2" s="67" t="s">
        <v>288</v>
      </c>
      <c r="I2" s="105" t="s">
        <v>47</v>
      </c>
    </row>
    <row r="3" spans="1:9" ht="25.5" customHeight="1" x14ac:dyDescent="0.25">
      <c r="A3" s="72"/>
      <c r="B3" s="33"/>
      <c r="C3" s="83"/>
      <c r="D3" s="83"/>
      <c r="E3" s="33"/>
      <c r="F3" s="33"/>
      <c r="G3" s="33"/>
      <c r="H3" s="33"/>
      <c r="I3" s="84"/>
    </row>
    <row r="4" spans="1:9" x14ac:dyDescent="0.25">
      <c r="A4" s="65" t="s">
        <v>7</v>
      </c>
      <c r="B4" s="33"/>
      <c r="C4" s="32" t="str">
        <f>'Stavební rozpočet'!C4</f>
        <v>Doplňková stavba</v>
      </c>
      <c r="D4" s="33"/>
      <c r="E4" s="32" t="s">
        <v>10</v>
      </c>
      <c r="F4" s="32" t="str">
        <f>'Stavební rozpočet'!I4</f>
        <v> </v>
      </c>
      <c r="G4" s="33"/>
      <c r="H4" s="32" t="s">
        <v>288</v>
      </c>
      <c r="I4" s="84" t="s">
        <v>47</v>
      </c>
    </row>
    <row r="5" spans="1:9" ht="15" customHeight="1" x14ac:dyDescent="0.25">
      <c r="A5" s="72"/>
      <c r="B5" s="33"/>
      <c r="C5" s="33"/>
      <c r="D5" s="33"/>
      <c r="E5" s="33"/>
      <c r="F5" s="33"/>
      <c r="G5" s="33"/>
      <c r="H5" s="33"/>
      <c r="I5" s="84"/>
    </row>
    <row r="6" spans="1:9" x14ac:dyDescent="0.25">
      <c r="A6" s="65" t="s">
        <v>11</v>
      </c>
      <c r="B6" s="33"/>
      <c r="C6" s="32" t="str">
        <f>'Stavební rozpočet'!C6</f>
        <v>Turnov, Průmyslová 3001, Turnov 511 01</v>
      </c>
      <c r="D6" s="33"/>
      <c r="E6" s="32" t="s">
        <v>14</v>
      </c>
      <c r="F6" s="32">
        <f>'Stavební rozpočet'!I6</f>
        <v>0</v>
      </c>
      <c r="G6" s="33"/>
      <c r="H6" s="32" t="s">
        <v>288</v>
      </c>
      <c r="I6" s="84" t="s">
        <v>47</v>
      </c>
    </row>
    <row r="7" spans="1:9" ht="15" customHeight="1" x14ac:dyDescent="0.25">
      <c r="A7" s="72"/>
      <c r="B7" s="33"/>
      <c r="C7" s="33"/>
      <c r="D7" s="33"/>
      <c r="E7" s="33"/>
      <c r="F7" s="33"/>
      <c r="G7" s="33"/>
      <c r="H7" s="33"/>
      <c r="I7" s="84"/>
    </row>
    <row r="8" spans="1:9" x14ac:dyDescent="0.25">
      <c r="A8" s="65" t="s">
        <v>9</v>
      </c>
      <c r="B8" s="33"/>
      <c r="C8" s="32">
        <f>'Stavební rozpočet'!G4</f>
        <v>0</v>
      </c>
      <c r="D8" s="33"/>
      <c r="E8" s="32" t="s">
        <v>13</v>
      </c>
      <c r="F8" s="32" t="str">
        <f>'Stavební rozpočet'!G6</f>
        <v xml:space="preserve"> </v>
      </c>
      <c r="G8" s="33"/>
      <c r="H8" s="33" t="s">
        <v>289</v>
      </c>
      <c r="I8" s="106">
        <v>50</v>
      </c>
    </row>
    <row r="9" spans="1:9" x14ac:dyDescent="0.25">
      <c r="A9" s="72"/>
      <c r="B9" s="33"/>
      <c r="C9" s="33"/>
      <c r="D9" s="33"/>
      <c r="E9" s="33"/>
      <c r="F9" s="33"/>
      <c r="G9" s="33"/>
      <c r="H9" s="33"/>
      <c r="I9" s="84"/>
    </row>
    <row r="10" spans="1:9" x14ac:dyDescent="0.25">
      <c r="A10" s="65" t="s">
        <v>15</v>
      </c>
      <c r="B10" s="33"/>
      <c r="C10" s="32" t="str">
        <f>'Stavební rozpočet'!C8</f>
        <v xml:space="preserve"> </v>
      </c>
      <c r="D10" s="33"/>
      <c r="E10" s="32" t="s">
        <v>17</v>
      </c>
      <c r="F10" s="32" t="str">
        <f>'Stavební rozpočet'!I8</f>
        <v> </v>
      </c>
      <c r="G10" s="33"/>
      <c r="H10" s="33" t="s">
        <v>290</v>
      </c>
      <c r="I10" s="104">
        <f>'Stavební rozpočet'!G8</f>
        <v>0</v>
      </c>
    </row>
    <row r="11" spans="1:9" x14ac:dyDescent="0.25">
      <c r="A11" s="66"/>
      <c r="B11" s="64"/>
      <c r="C11" s="64"/>
      <c r="D11" s="64"/>
      <c r="E11" s="64"/>
      <c r="F11" s="64"/>
      <c r="G11" s="64"/>
      <c r="H11" s="64"/>
      <c r="I11" s="90"/>
    </row>
    <row r="13" spans="1:9" ht="15.75" x14ac:dyDescent="0.25">
      <c r="A13" s="100" t="s">
        <v>329</v>
      </c>
      <c r="B13" s="100"/>
      <c r="C13" s="100"/>
      <c r="D13" s="100"/>
      <c r="E13" s="100"/>
    </row>
    <row r="14" spans="1:9" x14ac:dyDescent="0.25">
      <c r="A14" s="101" t="s">
        <v>330</v>
      </c>
      <c r="B14" s="102"/>
      <c r="C14" s="102"/>
      <c r="D14" s="102"/>
      <c r="E14" s="103"/>
      <c r="F14" s="13" t="s">
        <v>331</v>
      </c>
      <c r="G14" s="13" t="s">
        <v>332</v>
      </c>
      <c r="H14" s="13" t="s">
        <v>333</v>
      </c>
      <c r="I14" s="13" t="s">
        <v>331</v>
      </c>
    </row>
    <row r="15" spans="1:9" x14ac:dyDescent="0.25">
      <c r="A15" s="66" t="s">
        <v>300</v>
      </c>
      <c r="B15" s="64"/>
      <c r="C15" s="64"/>
      <c r="D15" s="64"/>
      <c r="E15" s="90"/>
      <c r="F15" s="30">
        <v>0</v>
      </c>
      <c r="G15" s="20" t="s">
        <v>47</v>
      </c>
      <c r="H15" s="20" t="s">
        <v>47</v>
      </c>
      <c r="I15" s="30">
        <f>F15</f>
        <v>0</v>
      </c>
    </row>
    <row r="16" spans="1:9" x14ac:dyDescent="0.25">
      <c r="A16" s="66" t="s">
        <v>301</v>
      </c>
      <c r="B16" s="64"/>
      <c r="C16" s="64"/>
      <c r="D16" s="64"/>
      <c r="E16" s="90"/>
      <c r="F16" s="30">
        <v>0</v>
      </c>
      <c r="G16" s="20" t="s">
        <v>47</v>
      </c>
      <c r="H16" s="20" t="s">
        <v>47</v>
      </c>
      <c r="I16" s="30">
        <f>F16</f>
        <v>0</v>
      </c>
    </row>
    <row r="17" spans="1:9" x14ac:dyDescent="0.25">
      <c r="A17" s="72" t="s">
        <v>304</v>
      </c>
      <c r="B17" s="87"/>
      <c r="C17" s="87"/>
      <c r="D17" s="87"/>
      <c r="E17" s="84"/>
      <c r="F17" s="14">
        <v>0</v>
      </c>
      <c r="G17" s="15" t="s">
        <v>47</v>
      </c>
      <c r="H17" s="15" t="s">
        <v>47</v>
      </c>
      <c r="I17" s="14">
        <f>F17</f>
        <v>0</v>
      </c>
    </row>
    <row r="18" spans="1:9" x14ac:dyDescent="0.25">
      <c r="A18" s="91" t="s">
        <v>334</v>
      </c>
      <c r="B18" s="92"/>
      <c r="C18" s="92"/>
      <c r="D18" s="92"/>
      <c r="E18" s="93"/>
      <c r="F18" s="16" t="s">
        <v>47</v>
      </c>
      <c r="G18" s="17" t="s">
        <v>47</v>
      </c>
      <c r="H18" s="17" t="s">
        <v>47</v>
      </c>
      <c r="I18" s="18">
        <f>SUM(I15:I17)</f>
        <v>0</v>
      </c>
    </row>
    <row r="20" spans="1:9" x14ac:dyDescent="0.25">
      <c r="A20" s="101" t="s">
        <v>297</v>
      </c>
      <c r="B20" s="102"/>
      <c r="C20" s="102"/>
      <c r="D20" s="102"/>
      <c r="E20" s="103"/>
      <c r="F20" s="13" t="s">
        <v>331</v>
      </c>
      <c r="G20" s="13" t="s">
        <v>332</v>
      </c>
      <c r="H20" s="13" t="s">
        <v>333</v>
      </c>
      <c r="I20" s="13" t="s">
        <v>331</v>
      </c>
    </row>
    <row r="21" spans="1:9" x14ac:dyDescent="0.25">
      <c r="A21" s="66" t="s">
        <v>278</v>
      </c>
      <c r="B21" s="64"/>
      <c r="C21" s="64"/>
      <c r="D21" s="64"/>
      <c r="E21" s="90"/>
      <c r="F21" s="30">
        <v>0</v>
      </c>
      <c r="G21" s="20" t="s">
        <v>47</v>
      </c>
      <c r="H21" s="20" t="s">
        <v>47</v>
      </c>
      <c r="I21" s="30">
        <f t="shared" ref="I21:I26" si="0">F21</f>
        <v>0</v>
      </c>
    </row>
    <row r="22" spans="1:9" x14ac:dyDescent="0.25">
      <c r="A22" s="66" t="s">
        <v>302</v>
      </c>
      <c r="B22" s="64"/>
      <c r="C22" s="64"/>
      <c r="D22" s="64"/>
      <c r="E22" s="90"/>
      <c r="F22" s="30">
        <v>0</v>
      </c>
      <c r="G22" s="20" t="s">
        <v>47</v>
      </c>
      <c r="H22" s="20" t="s">
        <v>47</v>
      </c>
      <c r="I22" s="30">
        <f t="shared" si="0"/>
        <v>0</v>
      </c>
    </row>
    <row r="23" spans="1:9" x14ac:dyDescent="0.25">
      <c r="A23" s="66" t="s">
        <v>305</v>
      </c>
      <c r="B23" s="64"/>
      <c r="C23" s="64"/>
      <c r="D23" s="64"/>
      <c r="E23" s="90"/>
      <c r="F23" s="30">
        <v>0</v>
      </c>
      <c r="G23" s="20" t="s">
        <v>47</v>
      </c>
      <c r="H23" s="20" t="s">
        <v>47</v>
      </c>
      <c r="I23" s="30">
        <f t="shared" si="0"/>
        <v>0</v>
      </c>
    </row>
    <row r="24" spans="1:9" x14ac:dyDescent="0.25">
      <c r="A24" s="66" t="s">
        <v>306</v>
      </c>
      <c r="B24" s="64"/>
      <c r="C24" s="64"/>
      <c r="D24" s="64"/>
      <c r="E24" s="90"/>
      <c r="F24" s="30">
        <v>0</v>
      </c>
      <c r="G24" s="20" t="s">
        <v>47</v>
      </c>
      <c r="H24" s="20" t="s">
        <v>47</v>
      </c>
      <c r="I24" s="30">
        <f t="shared" si="0"/>
        <v>0</v>
      </c>
    </row>
    <row r="25" spans="1:9" x14ac:dyDescent="0.25">
      <c r="A25" s="66" t="s">
        <v>308</v>
      </c>
      <c r="B25" s="64"/>
      <c r="C25" s="64"/>
      <c r="D25" s="64"/>
      <c r="E25" s="90"/>
      <c r="F25" s="30">
        <v>0</v>
      </c>
      <c r="G25" s="20" t="s">
        <v>47</v>
      </c>
      <c r="H25" s="20" t="s">
        <v>47</v>
      </c>
      <c r="I25" s="30">
        <f t="shared" si="0"/>
        <v>0</v>
      </c>
    </row>
    <row r="26" spans="1:9" x14ac:dyDescent="0.25">
      <c r="A26" s="72" t="s">
        <v>309</v>
      </c>
      <c r="B26" s="87"/>
      <c r="C26" s="87"/>
      <c r="D26" s="87"/>
      <c r="E26" s="84"/>
      <c r="F26" s="14">
        <v>0</v>
      </c>
      <c r="G26" s="15" t="s">
        <v>47</v>
      </c>
      <c r="H26" s="15" t="s">
        <v>47</v>
      </c>
      <c r="I26" s="14">
        <f t="shared" si="0"/>
        <v>0</v>
      </c>
    </row>
    <row r="27" spans="1:9" x14ac:dyDescent="0.25">
      <c r="A27" s="91" t="s">
        <v>335</v>
      </c>
      <c r="B27" s="92"/>
      <c r="C27" s="92"/>
      <c r="D27" s="92"/>
      <c r="E27" s="93"/>
      <c r="F27" s="16" t="s">
        <v>47</v>
      </c>
      <c r="G27" s="17" t="s">
        <v>47</v>
      </c>
      <c r="H27" s="17" t="s">
        <v>47</v>
      </c>
      <c r="I27" s="18">
        <f>SUM(I21:I26)</f>
        <v>0</v>
      </c>
    </row>
    <row r="29" spans="1:9" ht="15.75" x14ac:dyDescent="0.25">
      <c r="A29" s="94" t="s">
        <v>336</v>
      </c>
      <c r="B29" s="95"/>
      <c r="C29" s="95"/>
      <c r="D29" s="95"/>
      <c r="E29" s="96"/>
      <c r="F29" s="97">
        <f>I18+I27</f>
        <v>0</v>
      </c>
      <c r="G29" s="98"/>
      <c r="H29" s="98"/>
      <c r="I29" s="99"/>
    </row>
    <row r="33" spans="1:9" ht="15.75" x14ac:dyDescent="0.25">
      <c r="A33" s="100" t="s">
        <v>337</v>
      </c>
      <c r="B33" s="100"/>
      <c r="C33" s="100"/>
      <c r="D33" s="100"/>
      <c r="E33" s="100"/>
    </row>
    <row r="34" spans="1:9" x14ac:dyDescent="0.25">
      <c r="A34" s="101" t="s">
        <v>338</v>
      </c>
      <c r="B34" s="102"/>
      <c r="C34" s="102"/>
      <c r="D34" s="102"/>
      <c r="E34" s="103"/>
      <c r="F34" s="13" t="s">
        <v>331</v>
      </c>
      <c r="G34" s="13" t="s">
        <v>332</v>
      </c>
      <c r="H34" s="13" t="s">
        <v>333</v>
      </c>
      <c r="I34" s="13" t="s">
        <v>331</v>
      </c>
    </row>
    <row r="35" spans="1:9" x14ac:dyDescent="0.25">
      <c r="A35" s="66" t="s">
        <v>269</v>
      </c>
      <c r="B35" s="64"/>
      <c r="C35" s="64"/>
      <c r="D35" s="64"/>
      <c r="E35" s="90"/>
      <c r="F35" s="30">
        <f>SUM('Stavební rozpočet'!BM12:BM163)</f>
        <v>0</v>
      </c>
      <c r="G35" s="20" t="s">
        <v>47</v>
      </c>
      <c r="H35" s="20" t="s">
        <v>47</v>
      </c>
      <c r="I35" s="30">
        <f t="shared" ref="I35:I44" si="1">F35</f>
        <v>0</v>
      </c>
    </row>
    <row r="36" spans="1:9" x14ac:dyDescent="0.25">
      <c r="A36" s="66" t="s">
        <v>339</v>
      </c>
      <c r="B36" s="64"/>
      <c r="C36" s="64"/>
      <c r="D36" s="64"/>
      <c r="E36" s="90"/>
      <c r="F36" s="30">
        <f>SUM('Stavební rozpočet'!BN12:BN163)</f>
        <v>0</v>
      </c>
      <c r="G36" s="20" t="s">
        <v>47</v>
      </c>
      <c r="H36" s="20" t="s">
        <v>47</v>
      </c>
      <c r="I36" s="30">
        <f t="shared" si="1"/>
        <v>0</v>
      </c>
    </row>
    <row r="37" spans="1:9" x14ac:dyDescent="0.25">
      <c r="A37" s="66" t="s">
        <v>278</v>
      </c>
      <c r="B37" s="64"/>
      <c r="C37" s="64"/>
      <c r="D37" s="64"/>
      <c r="E37" s="90"/>
      <c r="F37" s="30">
        <f>SUM('Stavební rozpočet'!BO12:BO163)</f>
        <v>0</v>
      </c>
      <c r="G37" s="20" t="s">
        <v>47</v>
      </c>
      <c r="H37" s="20" t="s">
        <v>47</v>
      </c>
      <c r="I37" s="30">
        <f t="shared" si="1"/>
        <v>0</v>
      </c>
    </row>
    <row r="38" spans="1:9" x14ac:dyDescent="0.25">
      <c r="A38" s="66" t="s">
        <v>340</v>
      </c>
      <c r="B38" s="64"/>
      <c r="C38" s="64"/>
      <c r="D38" s="64"/>
      <c r="E38" s="90"/>
      <c r="F38" s="30">
        <f>SUM('Stavební rozpočet'!BP12:BP163)</f>
        <v>0</v>
      </c>
      <c r="G38" s="20" t="s">
        <v>47</v>
      </c>
      <c r="H38" s="20" t="s">
        <v>47</v>
      </c>
      <c r="I38" s="30">
        <f t="shared" si="1"/>
        <v>0</v>
      </c>
    </row>
    <row r="39" spans="1:9" x14ac:dyDescent="0.25">
      <c r="A39" s="66" t="s">
        <v>341</v>
      </c>
      <c r="B39" s="64"/>
      <c r="C39" s="64"/>
      <c r="D39" s="64"/>
      <c r="E39" s="90"/>
      <c r="F39" s="30">
        <f>SUM('Stavební rozpočet'!BQ12:BQ163)</f>
        <v>0</v>
      </c>
      <c r="G39" s="20" t="s">
        <v>47</v>
      </c>
      <c r="H39" s="20" t="s">
        <v>47</v>
      </c>
      <c r="I39" s="30">
        <f t="shared" si="1"/>
        <v>0</v>
      </c>
    </row>
    <row r="40" spans="1:9" x14ac:dyDescent="0.25">
      <c r="A40" s="66" t="s">
        <v>305</v>
      </c>
      <c r="B40" s="64"/>
      <c r="C40" s="64"/>
      <c r="D40" s="64"/>
      <c r="E40" s="90"/>
      <c r="F40" s="30">
        <f>SUM('Stavební rozpočet'!BR12:BR163)</f>
        <v>0</v>
      </c>
      <c r="G40" s="20" t="s">
        <v>47</v>
      </c>
      <c r="H40" s="20" t="s">
        <v>47</v>
      </c>
      <c r="I40" s="30">
        <f t="shared" si="1"/>
        <v>0</v>
      </c>
    </row>
    <row r="41" spans="1:9" x14ac:dyDescent="0.25">
      <c r="A41" s="66" t="s">
        <v>306</v>
      </c>
      <c r="B41" s="64"/>
      <c r="C41" s="64"/>
      <c r="D41" s="64"/>
      <c r="E41" s="90"/>
      <c r="F41" s="30">
        <f>SUM('Stavební rozpočet'!BS12:BS163)</f>
        <v>0</v>
      </c>
      <c r="G41" s="20" t="s">
        <v>47</v>
      </c>
      <c r="H41" s="20" t="s">
        <v>47</v>
      </c>
      <c r="I41" s="30">
        <f t="shared" si="1"/>
        <v>0</v>
      </c>
    </row>
    <row r="42" spans="1:9" x14ac:dyDescent="0.25">
      <c r="A42" s="66" t="s">
        <v>342</v>
      </c>
      <c r="B42" s="64"/>
      <c r="C42" s="64"/>
      <c r="D42" s="64"/>
      <c r="E42" s="90"/>
      <c r="F42" s="30">
        <f>SUM('Stavební rozpočet'!BT12:BT163)</f>
        <v>0</v>
      </c>
      <c r="G42" s="20" t="s">
        <v>47</v>
      </c>
      <c r="H42" s="20" t="s">
        <v>47</v>
      </c>
      <c r="I42" s="30">
        <f t="shared" si="1"/>
        <v>0</v>
      </c>
    </row>
    <row r="43" spans="1:9" x14ac:dyDescent="0.25">
      <c r="A43" s="66" t="s">
        <v>343</v>
      </c>
      <c r="B43" s="64"/>
      <c r="C43" s="64"/>
      <c r="D43" s="64"/>
      <c r="E43" s="90"/>
      <c r="F43" s="30">
        <f>SUM('Stavební rozpočet'!BU12:BU163)</f>
        <v>0</v>
      </c>
      <c r="G43" s="20" t="s">
        <v>47</v>
      </c>
      <c r="H43" s="20" t="s">
        <v>47</v>
      </c>
      <c r="I43" s="30">
        <f t="shared" si="1"/>
        <v>0</v>
      </c>
    </row>
    <row r="44" spans="1:9" x14ac:dyDescent="0.25">
      <c r="A44" s="72" t="s">
        <v>344</v>
      </c>
      <c r="B44" s="87"/>
      <c r="C44" s="87"/>
      <c r="D44" s="87"/>
      <c r="E44" s="84"/>
      <c r="F44" s="14">
        <f>SUM('Stavební rozpočet'!BV12:BV163)</f>
        <v>0</v>
      </c>
      <c r="G44" s="15" t="s">
        <v>47</v>
      </c>
      <c r="H44" s="15" t="s">
        <v>47</v>
      </c>
      <c r="I44" s="14">
        <f t="shared" si="1"/>
        <v>0</v>
      </c>
    </row>
    <row r="45" spans="1:9" x14ac:dyDescent="0.25">
      <c r="A45" s="91" t="s">
        <v>345</v>
      </c>
      <c r="B45" s="92"/>
      <c r="C45" s="92"/>
      <c r="D45" s="92"/>
      <c r="E45" s="93"/>
      <c r="F45" s="16" t="s">
        <v>47</v>
      </c>
      <c r="G45" s="17" t="s">
        <v>47</v>
      </c>
      <c r="H45" s="17" t="s">
        <v>47</v>
      </c>
      <c r="I45" s="18">
        <f>SUM(I35:I44)</f>
        <v>0</v>
      </c>
    </row>
  </sheetData>
  <sheetProtection password="C98C" sheet="1"/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(9. 6. 2026 15:15) - dokument odeslán ke schválení administrátorovi
Monika Poslová (10. 6. 2026 08:02) - schváleno administrátorem
Komentář: úprava rozpočtu o konkrétní značky (zevšeobecnění)
Monika Poslová (10. 6. 2026 08:02) - odesláno ke schválení představenstvu - Petr Správka, Silnice LK a.s., Zdeněk Sameš, Silnice LK a.s.</Log_schvalovani>
    <_Flow_SignoffStatus xmlns="8b673dc0-8509-40e9-b30f-da1c7f909cf0" xsi:nil="true"/>
    <ID_zakazky xmlns="8b673dc0-8509-40e9-b30f-da1c7f909cf0">379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63681-7163-444B-A2CE-99FAF78B57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102AF-A382-4AA0-A581-55804056F79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10B8FBA7-3234-411E-A7A1-10719A60E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Monika Poslová, Silnice LK a.s.</cp:lastModifiedBy>
  <cp:revision/>
  <cp:lastPrinted>2026-06-17T12:15:15Z</cp:lastPrinted>
  <dcterms:created xsi:type="dcterms:W3CDTF">2021-06-10T20:06:38Z</dcterms:created>
  <dcterms:modified xsi:type="dcterms:W3CDTF">2026-06-17T12:15:29Z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