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738" activeTab="0"/>
  </bookViews>
  <sheets>
    <sheet name="Rekapitulácia stavby" sheetId="1" r:id="rId1"/>
    <sheet name="SO 01 - Magistrát mesta Košice" sheetId="2" r:id="rId2"/>
    <sheet name="SO 02 - Staničné námestie" sheetId="3" r:id="rId3"/>
    <sheet name="SO 03 - Krytá mestská pla..." sheetId="4" r:id="rId4"/>
    <sheet name="SO 04 - Zakladná škola Tr..." sheetId="5" r:id="rId5"/>
  </sheets>
  <externalReferences>
    <externalReference r:id="rId8"/>
  </externalReferences>
  <definedNames>
    <definedName name="_xlnm.Print_Area" localSheetId="0">'Rekapitulácia stavby'!$A$1:$AQ$28</definedName>
    <definedName name="_xlnm.Print_Area" localSheetId="1">'SO 01 - Magistrát mesta Košice'!$C$1:$T$55</definedName>
    <definedName name="_xlnm.Print_Area" localSheetId="3">'SO 03 - Krytá mestská pla...'!$C$2:$T$64</definedName>
  </definedNames>
  <calcPr fullCalcOnLoad="1"/>
</workbook>
</file>

<file path=xl/sharedStrings.xml><?xml version="1.0" encoding="utf-8"?>
<sst xmlns="http://schemas.openxmlformats.org/spreadsheetml/2006/main" count="2398" uniqueCount="275">
  <si>
    <t/>
  </si>
  <si>
    <t>20</t>
  </si>
  <si>
    <t>DPH</t>
  </si>
  <si>
    <t>znížená</t>
  </si>
  <si>
    <t>REKAPITULÁCIA OBJEKTOV STAVBY</t>
  </si>
  <si>
    <t>Kód</t>
  </si>
  <si>
    <t>Objekt</t>
  </si>
  <si>
    <t>Cena bez DPH [EUR]</t>
  </si>
  <si>
    <t>Cena s DPH [EUR]</t>
  </si>
  <si>
    <t>z toho Ostat.
náklady [EUR]</t>
  </si>
  <si>
    <t>DPH [EUR]</t>
  </si>
  <si>
    <t>Normohodiny [h]</t>
  </si>
  <si>
    <t>DPH základná [EUR]</t>
  </si>
  <si>
    <t>DPH znížená [EUR]</t>
  </si>
  <si>
    <t>DPH základná prenesená
[EUR]</t>
  </si>
  <si>
    <t>DPH znížená prenesená
[EUR]</t>
  </si>
  <si>
    <t>Základňa
DPH základná</t>
  </si>
  <si>
    <t>Základňa
DPH znížená</t>
  </si>
  <si>
    <t>Základňa
DPH zákl. prenesená</t>
  </si>
  <si>
    <t>Základňa
DPH zníž. prenesená</t>
  </si>
  <si>
    <t>Základňa
DPH nulová</t>
  </si>
  <si>
    <t>1) Náklady z rozpočtov</t>
  </si>
  <si>
    <t>D</t>
  </si>
  <si>
    <t>0</t>
  </si>
  <si>
    <t>###NOIMPORT###</t>
  </si>
  <si>
    <t>IMPORT</t>
  </si>
  <si>
    <t>{48718bb9-c706-4cf5-8200-e8f38ae689e3}</t>
  </si>
  <si>
    <t>{00000000-0000-0000-0000-000000000000}</t>
  </si>
  <si>
    <t>01</t>
  </si>
  <si>
    <t>1</t>
  </si>
  <si>
    <t>{cf97eb8d-81ba-4127-b7d5-5b50bb4d4997}</t>
  </si>
  <si>
    <t>02</t>
  </si>
  <si>
    <t>{ab30dc36-b2ce-4fce-bd81-397a3ab303a3}</t>
  </si>
  <si>
    <t>04</t>
  </si>
  <si>
    <t>{40e92300-7d9d-4090-a069-95a1e473c37d}</t>
  </si>
  <si>
    <t>03</t>
  </si>
  <si>
    <t>{630b91d8-1e40-4b32-b347-00731cdf0836}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</si>
  <si>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</si>
  <si>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</si>
  <si>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</si>
  <si>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</si>
  <si>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</si>
  <si>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9 - Ostatné konštrukcie a práce-búranie</t>
  </si>
  <si>
    <t>PSV - Práce a dodávky PSV</t>
  </si>
  <si>
    <t xml:space="preserve">    762 - Konštrukcie tesárske</t>
  </si>
  <si>
    <t xml:space="preserve">    767 - Konštrukcie doplnkové kovové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</si>
  <si>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</si>
  <si>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</si>
  <si>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</si>
  <si>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</si>
  <si>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</si>
  <si>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</si>
  <si>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</si>
  <si>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</si>
  <si>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</si>
  <si>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
[t]</t>
  </si>
  <si>
    <t>Hmotnosť
celkom [t]</t>
  </si>
  <si>
    <t>J. suť [t]</t>
  </si>
  <si>
    <t>Suť Celkom [t]</t>
  </si>
  <si>
    <t>ROZPOCET</t>
  </si>
  <si>
    <t>K</t>
  </si>
  <si>
    <t>m3</t>
  </si>
  <si>
    <t>4</t>
  </si>
  <si>
    <t>2</t>
  </si>
  <si>
    <t>1122682349</t>
  </si>
  <si>
    <t>-117778529</t>
  </si>
  <si>
    <t>3</t>
  </si>
  <si>
    <t>86347973</t>
  </si>
  <si>
    <t>27592721</t>
  </si>
  <si>
    <t>5</t>
  </si>
  <si>
    <t>-878275513</t>
  </si>
  <si>
    <t>6</t>
  </si>
  <si>
    <t>171209002</t>
  </si>
  <si>
    <t>Poplatok za skladovanie - zemina a kamenivo (17 05) ostatné</t>
  </si>
  <si>
    <t>t</t>
  </si>
  <si>
    <t>7</t>
  </si>
  <si>
    <t>174201101</t>
  </si>
  <si>
    <t>Zásyp sypaninou bez zhutnenia jám, šachiet, rýh, zárezov alebo okolo objektov do 100 m3</t>
  </si>
  <si>
    <t>8</t>
  </si>
  <si>
    <t>ks</t>
  </si>
  <si>
    <t>9</t>
  </si>
  <si>
    <t>1082222808</t>
  </si>
  <si>
    <t>10</t>
  </si>
  <si>
    <t>1833360284</t>
  </si>
  <si>
    <t>11</t>
  </si>
  <si>
    <t>1710228973</t>
  </si>
  <si>
    <t>12</t>
  </si>
  <si>
    <t>237742263</t>
  </si>
  <si>
    <t>13</t>
  </si>
  <si>
    <t>644424858</t>
  </si>
  <si>
    <t>14</t>
  </si>
  <si>
    <t>m2</t>
  </si>
  <si>
    <t>1127902198</t>
  </si>
  <si>
    <t>15</t>
  </si>
  <si>
    <t>-99336386</t>
  </si>
  <si>
    <t>16</t>
  </si>
  <si>
    <t>kpl</t>
  </si>
  <si>
    <t>997835753</t>
  </si>
  <si>
    <t>17</t>
  </si>
  <si>
    <t>575921348</t>
  </si>
  <si>
    <t>18</t>
  </si>
  <si>
    <t>-580665417</t>
  </si>
  <si>
    <t>19</t>
  </si>
  <si>
    <t>-1965658190</t>
  </si>
  <si>
    <t>1945403646</t>
  </si>
  <si>
    <t>21</t>
  </si>
  <si>
    <t>180549363</t>
  </si>
  <si>
    <t>22</t>
  </si>
  <si>
    <t>-1552369346</t>
  </si>
  <si>
    <t>23</t>
  </si>
  <si>
    <t>-2052556330</t>
  </si>
  <si>
    <t>24</t>
  </si>
  <si>
    <t>1278192215</t>
  </si>
  <si>
    <t>25</t>
  </si>
  <si>
    <t>266122984</t>
  </si>
  <si>
    <t>26</t>
  </si>
  <si>
    <t>-560158343</t>
  </si>
  <si>
    <t>27</t>
  </si>
  <si>
    <t>M</t>
  </si>
  <si>
    <t>-433050091</t>
  </si>
  <si>
    <t>28</t>
  </si>
  <si>
    <t>-1115166740</t>
  </si>
  <si>
    <t>29</t>
  </si>
  <si>
    <t>659667617</t>
  </si>
  <si>
    <t>30</t>
  </si>
  <si>
    <t>m</t>
  </si>
  <si>
    <t>-1437981323</t>
  </si>
  <si>
    <t>31</t>
  </si>
  <si>
    <t>-1260765757</t>
  </si>
  <si>
    <t>32</t>
  </si>
  <si>
    <t>-748506694</t>
  </si>
  <si>
    <t>33</t>
  </si>
  <si>
    <t>-1262764197</t>
  </si>
  <si>
    <t>34</t>
  </si>
  <si>
    <t>-528737911</t>
  </si>
  <si>
    <t>35</t>
  </si>
  <si>
    <t>1559660471</t>
  </si>
  <si>
    <t>36</t>
  </si>
  <si>
    <t>919735112</t>
  </si>
  <si>
    <t>Rezanie existujúceho asfaltového krytu alebo podkladu hĺbky nad 50 do 100 mm</t>
  </si>
  <si>
    <t>1314036607</t>
  </si>
  <si>
    <t>37</t>
  </si>
  <si>
    <t>1966520684</t>
  </si>
  <si>
    <t>38</t>
  </si>
  <si>
    <t>39</t>
  </si>
  <si>
    <t>979081111</t>
  </si>
  <si>
    <t>Odvoz sutiny a vybúraných hmôt na skládku do 1 km</t>
  </si>
  <si>
    <t>979081121</t>
  </si>
  <si>
    <t>Odvoz sutiny a vybúraných hmôt na skládku za každý ďalší 1 km</t>
  </si>
  <si>
    <t>979082111</t>
  </si>
  <si>
    <t>Vnútrostavenisková doprava sutiny a vybúraných hmôt do 10 m</t>
  </si>
  <si>
    <t>kg</t>
  </si>
  <si>
    <t>Podrobný položkovitý rozpočet -  Stavebné práce</t>
  </si>
  <si>
    <t>Neoprávnené výdavky bez DPH</t>
  </si>
  <si>
    <t>Skupina výdavkov</t>
  </si>
  <si>
    <t>021</t>
  </si>
  <si>
    <t>Celkom bez DPH</t>
  </si>
  <si>
    <t>Celkom s DPH</t>
  </si>
  <si>
    <t>021 Stavby</t>
  </si>
  <si>
    <t>Podrobný položkovitý rozpočet -  Stavebné práce - ASR</t>
  </si>
  <si>
    <t>Hlavná aktivita: Doplnková cyklistická infraštruktúra_osadenie cykloprístreškov vrátane servisných stojanov</t>
  </si>
  <si>
    <r>
      <t xml:space="preserve">Názov projektu: </t>
    </r>
    <r>
      <rPr>
        <b/>
        <sz val="11"/>
        <rFont val="Trebuchet MS"/>
        <family val="2"/>
      </rPr>
      <t>Doplnková infraštruktúra pre cyklistov v meste Košice</t>
    </r>
  </si>
  <si>
    <t>Prioritná os: 1 – Bezpečná a ekologická doprava v regiónoch</t>
  </si>
  <si>
    <r>
      <t xml:space="preserve">Špecifický cieľ: </t>
    </r>
    <r>
      <rPr>
        <sz val="10.5"/>
        <rFont val="Trebuchet MS"/>
        <family val="2"/>
      </rPr>
      <t>1.2.2 - Zvýšenie atraktivity a prepravnej kapacity nemotorovej dopravy (predovšetkým cyklistickej dopravy) na celkovom počte prepravených osôb</t>
    </r>
  </si>
  <si>
    <t>131301101</t>
  </si>
  <si>
    <t>Výkop nezapaženej jamy v hornine 4, do 100 m3</t>
  </si>
  <si>
    <t>162501102</t>
  </si>
  <si>
    <t xml:space="preserve">Vodorovné premiestnenie výkopku  po spevnenej ceste z  horniny tr.1-4, do 100 m3 na vzdialenosť do 3000 m </t>
  </si>
  <si>
    <t>162501105</t>
  </si>
  <si>
    <t>Vodorovné premiestnenie výkopku  po spevnenej ceste z  horniny tr.1-4, do 100 m3, príplatok k cene za každých ďalšich a začatých 1000 m</t>
  </si>
  <si>
    <t>167101102</t>
  </si>
  <si>
    <t>Nakladanie neuľahnutého výkopku z hornín tr.1-4 nad 100 do 1000 m3</t>
  </si>
  <si>
    <t>273321411</t>
  </si>
  <si>
    <t>Betón základových dosiek, železový (bez výstuže), tr.C 25/30</t>
  </si>
  <si>
    <t>273362441</t>
  </si>
  <si>
    <t>Výstuž základových dosiek zo zvár. sietí KARI, priemer drôtu 8/8 mm, veľkosť oka 100x100 mm</t>
  </si>
  <si>
    <t>275313711</t>
  </si>
  <si>
    <t>Betón základových pätiek, prostý tr.C 25/30</t>
  </si>
  <si>
    <t xml:space="preserve">    5 - Komunikácie</t>
  </si>
  <si>
    <t>564231111R</t>
  </si>
  <si>
    <t>Podklad alebo podsyp zo štrkodrviny ŠD 31,5 ( 45) Gc  s rozprestretím, vlhčením a zhutnením, po zhutnení hr. 100 mm</t>
  </si>
  <si>
    <t>573111112</t>
  </si>
  <si>
    <t>Postrek asfaltový infiltračný s posypom kamenivom z asfaltu cestného v množstve 1,00 kg/m2</t>
  </si>
  <si>
    <t>577144311R</t>
  </si>
  <si>
    <t>Asfaltový betón vrstva obrusná alebo ložná ACp 16 v pruhu š. do 3 m z  asfaltu tr. I, po zhutnení hr. 50 mm</t>
  </si>
  <si>
    <t>577164311R</t>
  </si>
  <si>
    <t>Asfaltový betón vrstva obrusná alebo ložná ACp 16 v pruhu š. do 3 m z  asfaltu tr. I, po zhutnení hr. 100 mm</t>
  </si>
  <si>
    <t>91973</t>
  </si>
  <si>
    <t xml:space="preserve">Tepla asfaltová zálievka  - dilatácia asfaltov </t>
  </si>
  <si>
    <t>919735113</t>
  </si>
  <si>
    <t>Rezanie existujúceho asfaltového krytu alebo podkladu hĺbky nad 100 do 150 mm</t>
  </si>
  <si>
    <t>15454</t>
  </si>
  <si>
    <t>Demontáž existujúcej dopravnej značky - odrezanie stĺpika</t>
  </si>
  <si>
    <t>15454.1</t>
  </si>
  <si>
    <t>Montáž dopravnej značky + nový Zn stĺpik</t>
  </si>
  <si>
    <t>965042141</t>
  </si>
  <si>
    <t>Búranie podkladov pod dlažby, liatych dlažieb a mazanín,betón alebo liaty asfalt hr.do 100 mm, plochy nad 4 m2 -2,20000t</t>
  </si>
  <si>
    <t>979089212</t>
  </si>
  <si>
    <t>Poplatok za skladovanie - bitúmenové zmesi, uholný decht, dechtové výrobky (17 03 ), ostatné</t>
  </si>
  <si>
    <t>762431305</t>
  </si>
  <si>
    <t xml:space="preserve">Debnenie z OSB dosky hr. dosky 22 mm + oddebnenie </t>
  </si>
  <si>
    <t>7673.54</t>
  </si>
  <si>
    <t xml:space="preserve">D+M: prístrešok na bicykle, rozm. 4100x2500 mm </t>
  </si>
  <si>
    <t>Oceľová nosná konštrukcia opatrená ochrannou vrstvou zinku a práškovým vypaľovaným lakom hrúbky min  80um, RAL 6006 , zadné a bočné steny z kaleného skla hrúbky min. 8 mm s bezpečnostnou potlačou, - atyp zelená vegetačná strecha, podhľad zo smrekovca, hliníková vaňa pre uloženie retenčnej dosky, rozchodníková rohož zmes  vegetácie min. 6 druhov Sedum  napr. Aureo Velo resp. vhodný ekvivalent</t>
  </si>
  <si>
    <t>7673.541</t>
  </si>
  <si>
    <t>D+M: stojan na bicykle, oceľová konštrukcia optrená ochrannou vrstvou zinku a praškovým vypaľovaným lakom hrúbky min  80um, gumová opierkana bicykle, napr. Edge - tyre resp. vhodný ekvivalent</t>
  </si>
  <si>
    <t>7673.5416</t>
  </si>
  <si>
    <t>D+M: kotvenie prístrešku a stojanov do železobetónovej dosky viť výkres A - 02</t>
  </si>
  <si>
    <t>7673.5417</t>
  </si>
  <si>
    <t xml:space="preserve">D+M: servisný stojan </t>
  </si>
  <si>
    <t>Exteriérový na opravu bicyklov,  oceľová konštrukcia s povrchovou úpravou galvanizácia a práškové lakovanie RAL 6006, Výbava: servisná hustilka s vodotesným ukazovateľom tlaku vzduchu, umiestnená v ochrannom oceľovom kryte a s výstupným tlakom min. 140 PSI - 150 PSI a univerzálnou hlavicou pre AV, FV a DV ventily,  hliníkové telo hustilky, nerezový zosilnený piest, nerezová rukoväť; náradie uložené vo vnútri tela servisného cyklostojanu- nastaviteľný kľúč 150, sada imbusových kľúčov 2,5-10, kKrížový skrutkovač PH 2×100, plochý skrutkovač 5,5×100, otvorený kľúč 13/14 a 15/17, oceľová montpáka 2ks, trojstranný Torx kľúč 1ks. Náradie k servisnému cyklostojanu pripevnené nerezovými oceľovými lankami tak, aby neumožňovalo svojvoľné odobratie náradia. Lanká opatrené dodatočnou povrchovou úpravou, ktorá je šetrná k povrchovej úprave bicykla resp. vhodný ekvivalent</t>
  </si>
  <si>
    <t xml:space="preserve">    OP - Ostatné práce </t>
  </si>
  <si>
    <t>7673.542</t>
  </si>
  <si>
    <t xml:space="preserve">Vytýčenie existencie sieti </t>
  </si>
  <si>
    <t>7673.543</t>
  </si>
  <si>
    <t xml:space="preserve">Geodetické vytýčenie bodov na osadenie prístrešku </t>
  </si>
  <si>
    <t xml:space="preserve">ks </t>
  </si>
  <si>
    <t>7673.544</t>
  </si>
  <si>
    <t>Porealizačné zameranie geodetom</t>
  </si>
  <si>
    <t>174101001</t>
  </si>
  <si>
    <t>Zásyp sypaninou so zhutnením jám, šachiet, rýh, zárezov alebo okolo objektov do 100 m3</t>
  </si>
  <si>
    <t>5812110000</t>
  </si>
  <si>
    <t>Zemina - ornica</t>
  </si>
  <si>
    <t>180402111</t>
  </si>
  <si>
    <t>Založenie trávnika parkového výsevom v rovine do 1:5</t>
  </si>
  <si>
    <t>0057211200</t>
  </si>
  <si>
    <t>Trávové semeno - parková zmes</t>
  </si>
  <si>
    <t>212572111</t>
  </si>
  <si>
    <t>Lôžko pre kabeláž  zo štrkopiesku triedeného</t>
  </si>
  <si>
    <t>273362411</t>
  </si>
  <si>
    <t>Výstuž základových dosiek zo zvár. sietí KARI, priemer drôtu 5/5 mm, veľkosť oka 100x100 mm</t>
  </si>
  <si>
    <t>596912111</t>
  </si>
  <si>
    <t>Kladenie dlažby z vegetačných tvárnic (bez lôžka) veľkosti do 0,25 m2 hr. 8 cm do 20 m2</t>
  </si>
  <si>
    <t>5922780500</t>
  </si>
  <si>
    <t>Tvárnica betónová vegetačná 60x40x8 cm</t>
  </si>
  <si>
    <t>711131102</t>
  </si>
  <si>
    <t>Zhotovenie geotextílie alebo tkaniny na plochu vodorovnú</t>
  </si>
  <si>
    <t>6936651400R</t>
  </si>
  <si>
    <t>Geotextília čierna 50g/m2</t>
  </si>
  <si>
    <t>916561112</t>
  </si>
  <si>
    <t>Osadenie záhonového alebo parkového obrubníka betón., do lôžka z bet. pros. tr. C 16/20 s bočnou oporou</t>
  </si>
  <si>
    <t>5921954600</t>
  </si>
  <si>
    <t>OBRUBNÍK  100x8x25 cm</t>
  </si>
  <si>
    <t>D+M: prístrešok na bicykle, rozm. 4100x2500 mm</t>
  </si>
  <si>
    <t xml:space="preserve">Oceľová nosná konštrukcia opatrená ochrannou vrstvou zinku a práškovým vypaľovaným lakom hrúbky min  80um, RAL 6006 strecha z bezpečnostného skla, zadné a bočné steny z kaleného skla hrúbky min. 8 mm s bezpečnostnou potlačou, - atyp zelená vegetačná strecha, podhľad zo smrekovca, hliníková vaňa pre uloženie retenčnej dosky, rozchodníková rohož zmes  vegetácie min. 6 druhov Sedum  napr. Aureo Velo resp. vhodný ekvivalent
</t>
  </si>
  <si>
    <t xml:space="preserve">Exteriérový na opravu bicyklov,  oceľová konštrukcia s povrchovou úpravou galvanizácia a práškové lakovanie RAL 6006, Výbava: servisná hustilka s vodotesným ukazovateľom tlaku vzduchu, umiestnená v ochrannom oceľovom kryte a s výstupným tlakom min. 140 PSI - 150 PSI a univerzálnou hlavicou pre AV, FV a DV ventily,  hliníkové telo hustilky, nerezový zosilnený piest, nerezová rukoväť; náradie uložené vo vnútri tela servisného cyklostojanu- nastaviteľný kľúč 150, sada imbusových kľúčov 2,5-10, kKrížový skrutkovač PH 2×100, plochý skrutkovač 5,5×100, otvorený kľúč 13/14 a 15/17, oceľová montpáka 2ks, trojstranný Torx kľúč 1ks. Náradie k servisnému cyklostojanu pripevnené nerezovými oceľovými lankami tak, aby neumožňovalo svojvoľné odobratie náradia. Lanká opatrené dodatočnou povrchovou úpravou, ktorá je šetrná k povrchovej úprave bicykla resp. vhodný ekvivalent
</t>
  </si>
  <si>
    <t>899721132</t>
  </si>
  <si>
    <t>Označenie trasy kabla výstražnou fóliou</t>
  </si>
  <si>
    <t>8997.4</t>
  </si>
  <si>
    <t xml:space="preserve">D+M  delenej chráničky DN 110 - Sitel + spony 10ks/ na 1 m chráničky </t>
  </si>
  <si>
    <t>8997.5</t>
  </si>
  <si>
    <t xml:space="preserve">D+M  chráničky - betónový žľab TK2 </t>
  </si>
  <si>
    <t>8997.6</t>
  </si>
  <si>
    <t xml:space="preserve">D+M  poklop D400 na telekomunikačnú šachtu </t>
  </si>
  <si>
    <t>22 Stavby</t>
  </si>
  <si>
    <t xml:space="preserve">D+M: prístrešok na bicykle, rozm. 8255x2500 mm </t>
  </si>
  <si>
    <t xml:space="preserve">Oceľová nosná konštrukcia opatrená ochrannou vrstvou zinku a práškovým vypaľovaným lakom hrúbky min  80um, RAL 6006, zadné a bočné steny z kaleného skla hrúbky min. 8 mm s bezpečnostnou potlačou, - atyp zelená vegetačná strecha, podhľad zo smrekovca, hliníková vaňa pre uloženie retenčnej dosky, rozchodníková rohož zmes  vegetácie min. 6 druhov Sedum  napr. Aureo Velo resp. vhodný ekvivalent
</t>
  </si>
  <si>
    <t>D+M: stojan na bicykle, oceľová konštrukcia opatrená ochrannou vrstvou zinku a praškovým vypaľovaným lakom hrúbky min  80um, gumová opierka na bicykle, napr. Edge - tyre resp. vhodný ekvivalent</t>
  </si>
  <si>
    <t>564211111</t>
  </si>
  <si>
    <t>Podklad alebo podsyp zo štrkopiesku s rozprestretím, vlhčením a zhutnením, po zhutnení hr. 50 mm - ŠD max fr.8 mm</t>
  </si>
  <si>
    <t>Magistrát mesta Košice</t>
  </si>
  <si>
    <t>Stanicné námestie</t>
  </si>
  <si>
    <t>Krytá mestské plaváreň</t>
  </si>
  <si>
    <t xml:space="preserve">Celkové náklady za stavbu 1) </t>
  </si>
  <si>
    <t>...............................</t>
  </si>
  <si>
    <t>Zakladná škola Trebišovská</t>
  </si>
  <si>
    <r>
      <t xml:space="preserve">Prioritná os: </t>
    </r>
    <r>
      <rPr>
        <b/>
        <sz val="11"/>
        <rFont val="Trebuchet MS"/>
        <family val="2"/>
      </rPr>
      <t>1 – Bezpečná a ekologická doprava v regiónoch</t>
    </r>
  </si>
  <si>
    <r>
      <t xml:space="preserve">Špecifický cieľ: </t>
    </r>
    <r>
      <rPr>
        <b/>
        <sz val="11"/>
        <rFont val="Trebuchet MS"/>
        <family val="2"/>
      </rPr>
      <t>1.2.2 - Zvýšenie atraktivity a prepravnej kapacity nemotorovej dopravy (predovšetkým cyklistickej dopravy) na celkovom počte prepravených osôb</t>
    </r>
  </si>
  <si>
    <t>V ........................ dňa ..........................</t>
  </si>
  <si>
    <t xml:space="preserve">   podpis a pečiatka</t>
  </si>
  <si>
    <t>Názov stavby: Doplnková infraštruktúra pre cyklistov v meste Košice</t>
  </si>
  <si>
    <t>Cena celkom bez DPH  [EUR]</t>
  </si>
  <si>
    <t>Cena celkom s DPH  [EUR]</t>
  </si>
  <si>
    <t>Zhotoviteľ ponuky (názov, sídlo a IČO): .........................................................................................</t>
  </si>
  <si>
    <t>Zhotoviteľ ponky (názov, sídlo a IČO): .........................................................................................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</si>
</sst>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,##0.00%"/>
    <numFmt numFmtId="183" formatCode="dd\.mm\.yyyy"/>
    <numFmt numFmtId="184" formatCode="#,##0.00000"/>
    <numFmt numFmtId="185" formatCode="#,##0.000"/>
    <numFmt numFmtId="186" formatCode="\P\r\a\vd\a;&quot;Pravda&quot;;&quot;Nepravda&quot;"/>
    <numFmt numFmtId="187" formatCode="[$€-2]\ #\ ##,000_);[Red]\([$¥€-2]\ #\ ##,000\)"/>
    <numFmt numFmtId="188" formatCode="0.0"/>
    <numFmt numFmtId="189" formatCode="0.000"/>
  </numFmts>
  <fonts count="99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b/>
      <u val="single"/>
      <sz val="12"/>
      <name val="Trebuchet MS"/>
      <family val="2"/>
    </font>
    <font>
      <b/>
      <sz val="11"/>
      <name val="Trebuchet MS"/>
      <family val="2"/>
    </font>
    <font>
      <sz val="10.5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56"/>
      <name val="Trebuchet MS"/>
      <family val="2"/>
    </font>
    <font>
      <sz val="9"/>
      <color indexed="55"/>
      <name val="Trebuchet MS"/>
      <family val="2"/>
    </font>
    <font>
      <sz val="8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8"/>
      <color indexed="16"/>
      <name val="Trebuchet MS"/>
      <family val="2"/>
    </font>
    <font>
      <i/>
      <sz val="8"/>
      <color indexed="12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11"/>
      <color indexed="8"/>
      <name val="Trebuchet MS"/>
      <family val="2"/>
    </font>
    <font>
      <sz val="8"/>
      <color indexed="10"/>
      <name val="Trebuchet MS"/>
      <family val="2"/>
    </font>
    <font>
      <b/>
      <sz val="11"/>
      <color indexed="8"/>
      <name val="Trebuchet MS"/>
      <family val="2"/>
    </font>
    <font>
      <b/>
      <sz val="12"/>
      <color indexed="10"/>
      <name val="Trebuchet MS"/>
      <family val="2"/>
    </font>
    <font>
      <sz val="8"/>
      <color indexed="30"/>
      <name val="Trebuchet MS"/>
      <family val="2"/>
    </font>
    <font>
      <sz val="9"/>
      <color indexed="8"/>
      <name val="Trebuchet MS"/>
      <family val="2"/>
    </font>
    <font>
      <i/>
      <sz val="7"/>
      <color indexed="55"/>
      <name val="Trebuchet MS"/>
      <family val="2"/>
    </font>
    <font>
      <sz val="11"/>
      <color indexed="30"/>
      <name val="Trebuchet MS"/>
      <family val="2"/>
    </font>
    <font>
      <sz val="12"/>
      <color indexed="30"/>
      <name val="Trebuchet MS"/>
      <family val="2"/>
    </font>
    <font>
      <i/>
      <sz val="8"/>
      <color indexed="30"/>
      <name val="Trebuchet MS"/>
      <family val="2"/>
    </font>
    <font>
      <i/>
      <sz val="12"/>
      <color indexed="30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3366"/>
      <name val="Trebuchet MS"/>
      <family val="2"/>
    </font>
    <font>
      <sz val="9"/>
      <color rgb="FF969696"/>
      <name val="Trebuchet MS"/>
      <family val="2"/>
    </font>
    <font>
      <sz val="8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8"/>
      <color rgb="FF960000"/>
      <name val="Trebuchet MS"/>
      <family val="2"/>
    </font>
    <font>
      <i/>
      <sz val="8"/>
      <color rgb="FF0000FF"/>
      <name val="Trebuchet MS"/>
      <family val="2"/>
    </font>
    <font>
      <sz val="10"/>
      <color rgb="FF003366"/>
      <name val="Trebuchet MS"/>
      <family val="2"/>
    </font>
    <font>
      <sz val="12"/>
      <color rgb="FF003366"/>
      <name val="Trebuchet MS"/>
      <family val="2"/>
    </font>
    <font>
      <sz val="11"/>
      <color rgb="FF000000"/>
      <name val="Trebuchet MS"/>
      <family val="2"/>
    </font>
    <font>
      <sz val="8"/>
      <color rgb="FFFF0000"/>
      <name val="Trebuchet MS"/>
      <family val="2"/>
    </font>
    <font>
      <b/>
      <sz val="11"/>
      <color rgb="FF000000"/>
      <name val="Trebuchet MS"/>
      <family val="2"/>
    </font>
    <font>
      <b/>
      <sz val="12"/>
      <color rgb="FFFF0000"/>
      <name val="Trebuchet MS"/>
      <family val="2"/>
    </font>
    <font>
      <sz val="8"/>
      <color rgb="FF0070C0"/>
      <name val="Trebuchet MS"/>
      <family val="2"/>
    </font>
    <font>
      <i/>
      <sz val="7"/>
      <color rgb="FF969696"/>
      <name val="Trebuchet MS"/>
      <family val="2"/>
    </font>
    <font>
      <sz val="9"/>
      <color rgb="FF000000"/>
      <name val="Trebuchet MS"/>
      <family val="2"/>
    </font>
    <font>
      <sz val="11"/>
      <color rgb="FF0070C0"/>
      <name val="Trebuchet MS"/>
      <family val="2"/>
    </font>
    <font>
      <i/>
      <sz val="8"/>
      <color rgb="FF0070C0"/>
      <name val="Trebuchet MS"/>
      <family val="2"/>
    </font>
    <font>
      <sz val="12"/>
      <color rgb="FF0070C0"/>
      <name val="Trebuchet MS"/>
      <family val="2"/>
    </font>
    <font>
      <i/>
      <sz val="12"/>
      <color rgb="FF0070C0"/>
      <name val="Trebuchet MS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/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>
        <color indexed="63"/>
      </bottom>
    </border>
    <border>
      <left style="dotted">
        <color rgb="FF969696"/>
      </left>
      <right style="dotted">
        <color rgb="FF969696"/>
      </right>
      <top>
        <color indexed="63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1" borderId="1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4" borderId="8" applyNumberFormat="0" applyAlignment="0" applyProtection="0"/>
    <xf numFmtId="0" fontId="72" fillId="25" borderId="8" applyNumberFormat="0" applyAlignment="0" applyProtection="0"/>
    <xf numFmtId="0" fontId="73" fillId="25" borderId="9" applyNumberFormat="0" applyAlignment="0" applyProtection="0"/>
    <xf numFmtId="0" fontId="74" fillId="0" borderId="0" applyNumberFormat="0" applyFill="0" applyBorder="0" applyAlignment="0" applyProtection="0"/>
    <xf numFmtId="0" fontId="75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271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6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8" fillId="0" borderId="0" xfId="0" applyFont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77" fillId="0" borderId="17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0" fontId="77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79" fillId="0" borderId="0" xfId="0" applyFont="1" applyAlignment="1">
      <alignment horizontal="left" vertical="center"/>
    </xf>
    <xf numFmtId="0" fontId="79" fillId="0" borderId="0" xfId="0" applyFont="1" applyAlignment="1">
      <alignment vertical="center"/>
    </xf>
    <xf numFmtId="4" fontId="80" fillId="0" borderId="0" xfId="0" applyNumberFormat="1" applyFont="1" applyAlignment="1">
      <alignment vertical="center"/>
    </xf>
    <xf numFmtId="184" fontId="80" fillId="0" borderId="0" xfId="0" applyNumberFormat="1" applyFont="1" applyAlignment="1">
      <alignment vertical="center"/>
    </xf>
    <xf numFmtId="4" fontId="80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4" fontId="83" fillId="0" borderId="0" xfId="0" applyNumberFormat="1" applyFont="1" applyAlignment="1">
      <alignment vertical="center"/>
    </xf>
    <xf numFmtId="184" fontId="83" fillId="0" borderId="0" xfId="0" applyNumberFormat="1" applyFont="1" applyAlignment="1">
      <alignment vertical="center"/>
    </xf>
    <xf numFmtId="4" fontId="83" fillId="0" borderId="16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9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84" fontId="84" fillId="0" borderId="12" xfId="0" applyNumberFormat="1" applyFont="1" applyBorder="1" applyAlignment="1">
      <alignment/>
    </xf>
    <xf numFmtId="184" fontId="84" fillId="0" borderId="13" xfId="0" applyNumberFormat="1" applyFont="1" applyBorder="1" applyAlignment="1">
      <alignment/>
    </xf>
    <xf numFmtId="4" fontId="9" fillId="0" borderId="0" xfId="0" applyNumberFormat="1" applyFont="1" applyAlignment="1">
      <alignment vertical="center"/>
    </xf>
    <xf numFmtId="0" fontId="76" fillId="0" borderId="10" xfId="0" applyFont="1" applyBorder="1" applyAlignment="1">
      <alignment/>
    </xf>
    <xf numFmtId="0" fontId="76" fillId="0" borderId="0" xfId="0" applyFont="1" applyAlignment="1">
      <alignment/>
    </xf>
    <xf numFmtId="0" fontId="76" fillId="0" borderId="11" xfId="0" applyFont="1" applyBorder="1" applyAlignment="1">
      <alignment/>
    </xf>
    <xf numFmtId="0" fontId="76" fillId="0" borderId="21" xfId="0" applyFont="1" applyBorder="1" applyAlignment="1">
      <alignment/>
    </xf>
    <xf numFmtId="184" fontId="76" fillId="0" borderId="0" xfId="0" applyNumberFormat="1" applyFont="1" applyAlignment="1">
      <alignment/>
    </xf>
    <xf numFmtId="184" fontId="76" fillId="0" borderId="16" xfId="0" applyNumberFormat="1" applyFont="1" applyBorder="1" applyAlignment="1">
      <alignment/>
    </xf>
    <xf numFmtId="0" fontId="76" fillId="0" borderId="0" xfId="0" applyFont="1" applyAlignment="1">
      <alignment horizontal="left"/>
    </xf>
    <xf numFmtId="0" fontId="76" fillId="0" borderId="0" xfId="0" applyFont="1" applyAlignment="1">
      <alignment horizontal="center"/>
    </xf>
    <xf numFmtId="4" fontId="76" fillId="0" borderId="0" xfId="0" applyNumberFormat="1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1" xfId="0" applyFont="1" applyBorder="1" applyAlignment="1" applyProtection="1">
      <alignment vertical="center"/>
      <protection locked="0"/>
    </xf>
    <xf numFmtId="0" fontId="78" fillId="0" borderId="22" xfId="0" applyFont="1" applyBorder="1" applyAlignment="1">
      <alignment horizontal="left" vertical="center"/>
    </xf>
    <xf numFmtId="184" fontId="78" fillId="0" borderId="0" xfId="0" applyNumberFormat="1" applyFont="1" applyAlignment="1">
      <alignment vertical="center"/>
    </xf>
    <xf numFmtId="184" fontId="78" fillId="0" borderId="16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85" fontId="0" fillId="0" borderId="22" xfId="0" applyNumberFormat="1" applyFont="1" applyBorder="1" applyAlignment="1" applyProtection="1">
      <alignment vertical="center"/>
      <protection locked="0"/>
    </xf>
    <xf numFmtId="0" fontId="85" fillId="0" borderId="22" xfId="0" applyFont="1" applyBorder="1" applyAlignment="1" applyProtection="1">
      <alignment horizontal="center" vertical="center"/>
      <protection locked="0"/>
    </xf>
    <xf numFmtId="49" fontId="85" fillId="0" borderId="22" xfId="0" applyNumberFormat="1" applyFont="1" applyBorder="1" applyAlignment="1" applyProtection="1">
      <alignment horizontal="left" vertical="center" wrapText="1"/>
      <protection locked="0"/>
    </xf>
    <xf numFmtId="0" fontId="85" fillId="0" borderId="22" xfId="0" applyFont="1" applyBorder="1" applyAlignment="1" applyProtection="1">
      <alignment horizontal="center" vertical="center" wrapText="1"/>
      <protection locked="0"/>
    </xf>
    <xf numFmtId="185" fontId="85" fillId="0" borderId="22" xfId="0" applyNumberFormat="1" applyFont="1" applyBorder="1" applyAlignment="1" applyProtection="1">
      <alignment vertical="center"/>
      <protection locked="0"/>
    </xf>
    <xf numFmtId="0" fontId="82" fillId="0" borderId="0" xfId="0" applyFont="1" applyAlignment="1">
      <alignment vertical="center"/>
    </xf>
    <xf numFmtId="4" fontId="79" fillId="0" borderId="0" xfId="0" applyNumberFormat="1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1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0" fillId="34" borderId="23" xfId="0" applyFill="1" applyBorder="1" applyAlignment="1">
      <alignment horizontal="center" vertical="center" wrapText="1"/>
    </xf>
    <xf numFmtId="0" fontId="77" fillId="34" borderId="23" xfId="0" applyFont="1" applyFill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184" fontId="84" fillId="0" borderId="0" xfId="0" applyNumberFormat="1" applyFont="1" applyAlignment="1">
      <alignment/>
    </xf>
    <xf numFmtId="184" fontId="84" fillId="0" borderId="16" xfId="0" applyNumberFormat="1" applyFont="1" applyBorder="1" applyAlignment="1">
      <alignment/>
    </xf>
    <xf numFmtId="4" fontId="0" fillId="0" borderId="24" xfId="0" applyNumberFormat="1" applyFont="1" applyBorder="1" applyAlignment="1">
      <alignment vertical="center"/>
    </xf>
    <xf numFmtId="49" fontId="0" fillId="0" borderId="24" xfId="0" applyNumberFormat="1" applyBorder="1" applyAlignment="1">
      <alignment horizontal="right" vertical="center"/>
    </xf>
    <xf numFmtId="0" fontId="76" fillId="0" borderId="0" xfId="0" applyFont="1" applyAlignment="1">
      <alignment/>
    </xf>
    <xf numFmtId="184" fontId="76" fillId="0" borderId="0" xfId="0" applyNumberFormat="1" applyFont="1" applyAlignment="1">
      <alignment/>
    </xf>
    <xf numFmtId="184" fontId="76" fillId="0" borderId="16" xfId="0" applyNumberFormat="1" applyFont="1" applyBorder="1" applyAlignment="1">
      <alignment/>
    </xf>
    <xf numFmtId="4" fontId="0" fillId="0" borderId="23" xfId="0" applyNumberFormat="1" applyFont="1" applyBorder="1" applyAlignment="1">
      <alignment vertical="center"/>
    </xf>
    <xf numFmtId="49" fontId="0" fillId="0" borderId="23" xfId="0" applyNumberFormat="1" applyBorder="1" applyAlignment="1">
      <alignment horizontal="right" vertical="center"/>
    </xf>
    <xf numFmtId="4" fontId="80" fillId="0" borderId="0" xfId="0" applyNumberFormat="1" applyFont="1" applyAlignment="1">
      <alignment vertical="center"/>
    </xf>
    <xf numFmtId="4" fontId="83" fillId="0" borderId="0" xfId="0" applyNumberFormat="1" applyFont="1" applyAlignment="1">
      <alignment vertical="center"/>
    </xf>
    <xf numFmtId="184" fontId="78" fillId="0" borderId="0" xfId="0" applyNumberFormat="1" applyFont="1" applyAlignment="1">
      <alignment vertical="center"/>
    </xf>
    <xf numFmtId="0" fontId="77" fillId="34" borderId="25" xfId="0" applyFont="1" applyFill="1" applyBorder="1" applyAlignment="1">
      <alignment horizontal="center" vertical="center" wrapText="1"/>
    </xf>
    <xf numFmtId="0" fontId="77" fillId="34" borderId="0" xfId="0" applyFont="1" applyFill="1" applyAlignment="1">
      <alignment horizontal="center" vertical="center" wrapText="1"/>
    </xf>
    <xf numFmtId="4" fontId="79" fillId="33" borderId="26" xfId="0" applyNumberFormat="1" applyFont="1" applyFill="1" applyBorder="1" applyAlignment="1">
      <alignment vertical="center"/>
    </xf>
    <xf numFmtId="4" fontId="79" fillId="33" borderId="27" xfId="0" applyNumberFormat="1" applyFont="1" applyFill="1" applyBorder="1" applyAlignment="1">
      <alignment vertical="center"/>
    </xf>
    <xf numFmtId="4" fontId="79" fillId="33" borderId="28" xfId="0" applyNumberFormat="1" applyFont="1" applyFill="1" applyBorder="1" applyAlignment="1">
      <alignment vertical="center"/>
    </xf>
    <xf numFmtId="4" fontId="79" fillId="33" borderId="29" xfId="0" applyNumberFormat="1" applyFont="1" applyFill="1" applyBorder="1" applyAlignment="1">
      <alignment vertical="center"/>
    </xf>
    <xf numFmtId="0" fontId="77" fillId="0" borderId="20" xfId="0" applyFont="1" applyBorder="1" applyAlignment="1">
      <alignment horizontal="center" vertical="center" wrapText="1"/>
    </xf>
    <xf numFmtId="0" fontId="77" fillId="0" borderId="12" xfId="0" applyFont="1" applyBorder="1" applyAlignment="1">
      <alignment horizontal="center" vertical="center" wrapText="1"/>
    </xf>
    <xf numFmtId="0" fontId="77" fillId="0" borderId="13" xfId="0" applyFont="1" applyBorder="1" applyAlignment="1">
      <alignment horizontal="center" vertical="center" wrapText="1"/>
    </xf>
    <xf numFmtId="4" fontId="79" fillId="0" borderId="0" xfId="0" applyNumberFormat="1" applyFont="1" applyAlignment="1">
      <alignment/>
    </xf>
    <xf numFmtId="0" fontId="9" fillId="0" borderId="30" xfId="0" applyFont="1" applyBorder="1" applyAlignment="1" applyProtection="1">
      <alignment vertical="center"/>
      <protection locked="0"/>
    </xf>
    <xf numFmtId="0" fontId="9" fillId="0" borderId="31" xfId="0" applyFont="1" applyBorder="1" applyAlignment="1" applyProtection="1">
      <alignment vertical="center"/>
      <protection locked="0"/>
    </xf>
    <xf numFmtId="0" fontId="9" fillId="0" borderId="32" xfId="0" applyFont="1" applyBorder="1" applyAlignment="1" applyProtection="1">
      <alignment vertical="center"/>
      <protection locked="0"/>
    </xf>
    <xf numFmtId="4" fontId="86" fillId="0" borderId="0" xfId="0" applyNumberFormat="1" applyFont="1" applyAlignment="1">
      <alignment vertical="center"/>
    </xf>
    <xf numFmtId="4" fontId="79" fillId="33" borderId="26" xfId="0" applyNumberFormat="1" applyFont="1" applyFill="1" applyBorder="1" applyAlignment="1">
      <alignment vertical="center"/>
    </xf>
    <xf numFmtId="4" fontId="79" fillId="33" borderId="27" xfId="0" applyNumberFormat="1" applyFont="1" applyFill="1" applyBorder="1" applyAlignment="1">
      <alignment vertical="center"/>
    </xf>
    <xf numFmtId="4" fontId="87" fillId="0" borderId="0" xfId="0" applyNumberFormat="1" applyFont="1" applyAlignment="1">
      <alignment/>
    </xf>
    <xf numFmtId="4" fontId="86" fillId="0" borderId="0" xfId="0" applyNumberFormat="1" applyFont="1" applyAlignment="1">
      <alignment/>
    </xf>
    <xf numFmtId="4" fontId="86" fillId="0" borderId="0" xfId="0" applyNumberFormat="1" applyFont="1" applyAlignment="1">
      <alignment vertical="center"/>
    </xf>
    <xf numFmtId="0" fontId="88" fillId="0" borderId="0" xfId="0" applyFont="1" applyAlignment="1">
      <alignment/>
    </xf>
    <xf numFmtId="0" fontId="6" fillId="0" borderId="0" xfId="0" applyFont="1" applyAlignment="1">
      <alignment/>
    </xf>
    <xf numFmtId="0" fontId="7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76" fillId="0" borderId="0" xfId="0" applyFont="1" applyBorder="1" applyAlignment="1">
      <alignment/>
    </xf>
    <xf numFmtId="0" fontId="87" fillId="0" borderId="0" xfId="0" applyFont="1" applyBorder="1" applyAlignment="1">
      <alignment horizontal="left"/>
    </xf>
    <xf numFmtId="0" fontId="86" fillId="0" borderId="0" xfId="0" applyFont="1" applyBorder="1" applyAlignment="1">
      <alignment horizontal="left"/>
    </xf>
    <xf numFmtId="0" fontId="13" fillId="0" borderId="22" xfId="0" applyFont="1" applyBorder="1" applyAlignment="1" applyProtection="1">
      <alignment horizontal="center" vertical="center"/>
      <protection locked="0"/>
    </xf>
    <xf numFmtId="49" fontId="13" fillId="0" borderId="22" xfId="0" applyNumberFormat="1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horizontal="center" vertical="center" wrapText="1"/>
      <protection locked="0"/>
    </xf>
    <xf numFmtId="185" fontId="1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horizontal="center" vertical="center" wrapText="1"/>
      <protection locked="0"/>
    </xf>
    <xf numFmtId="185" fontId="0" fillId="0" borderId="22" xfId="0" applyNumberFormat="1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9" fillId="34" borderId="0" xfId="0" applyFont="1" applyFill="1" applyBorder="1" applyAlignment="1">
      <alignment/>
    </xf>
    <xf numFmtId="4" fontId="79" fillId="33" borderId="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79" fillId="0" borderId="0" xfId="0" applyNumberFormat="1" applyFont="1" applyBorder="1" applyAlignment="1">
      <alignment vertical="center"/>
    </xf>
    <xf numFmtId="0" fontId="76" fillId="0" borderId="0" xfId="0" applyFont="1" applyBorder="1" applyAlignment="1">
      <alignment/>
    </xf>
    <xf numFmtId="4" fontId="82" fillId="0" borderId="0" xfId="0" applyNumberFormat="1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90" fillId="0" borderId="0" xfId="0" applyFont="1" applyAlignment="1">
      <alignment/>
    </xf>
    <xf numFmtId="0" fontId="0" fillId="0" borderId="33" xfId="0" applyFont="1" applyBorder="1" applyAlignment="1">
      <alignment/>
    </xf>
    <xf numFmtId="0" fontId="76" fillId="0" borderId="34" xfId="0" applyFont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87" fillId="0" borderId="12" xfId="0" applyFont="1" applyBorder="1" applyAlignment="1">
      <alignment horizontal="left"/>
    </xf>
    <xf numFmtId="0" fontId="0" fillId="0" borderId="18" xfId="0" applyFont="1" applyBorder="1" applyAlignment="1">
      <alignment vertical="center"/>
    </xf>
    <xf numFmtId="0" fontId="86" fillId="0" borderId="18" xfId="0" applyFont="1" applyBorder="1" applyAlignment="1">
      <alignment horizontal="left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34" xfId="0" applyFont="1" applyBorder="1" applyAlignment="1">
      <alignment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86" fillId="0" borderId="12" xfId="0" applyFont="1" applyBorder="1" applyAlignment="1">
      <alignment horizontal="left"/>
    </xf>
    <xf numFmtId="0" fontId="86" fillId="0" borderId="35" xfId="0" applyFont="1" applyBorder="1" applyAlignment="1">
      <alignment horizontal="left"/>
    </xf>
    <xf numFmtId="0" fontId="0" fillId="0" borderId="36" xfId="0" applyFont="1" applyBorder="1" applyAlignment="1" applyProtection="1">
      <alignment horizontal="center" vertical="center"/>
      <protection locked="0"/>
    </xf>
    <xf numFmtId="49" fontId="0" fillId="0" borderId="36" xfId="0" applyNumberFormat="1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horizontal="center" vertical="center" wrapText="1"/>
      <protection locked="0"/>
    </xf>
    <xf numFmtId="185" fontId="0" fillId="0" borderId="36" xfId="0" applyNumberFormat="1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center" vertical="center"/>
      <protection locked="0"/>
    </xf>
    <xf numFmtId="49" fontId="0" fillId="0" borderId="37" xfId="0" applyNumberFormat="1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horizontal="center" vertical="center" wrapText="1"/>
      <protection locked="0"/>
    </xf>
    <xf numFmtId="185" fontId="0" fillId="0" borderId="37" xfId="0" applyNumberFormat="1" applyFont="1" applyBorder="1" applyAlignment="1" applyProtection="1">
      <alignment vertical="center"/>
      <protection locked="0"/>
    </xf>
    <xf numFmtId="4" fontId="91" fillId="34" borderId="38" xfId="0" applyNumberFormat="1" applyFont="1" applyFill="1" applyBorder="1" applyAlignment="1">
      <alignment vertical="center"/>
    </xf>
    <xf numFmtId="4" fontId="91" fillId="34" borderId="39" xfId="0" applyNumberFormat="1" applyFont="1" applyFill="1" applyBorder="1" applyAlignment="1">
      <alignment vertical="center"/>
    </xf>
    <xf numFmtId="0" fontId="89" fillId="34" borderId="39" xfId="0" applyFont="1" applyFill="1" applyBorder="1" applyAlignment="1">
      <alignment/>
    </xf>
    <xf numFmtId="0" fontId="89" fillId="34" borderId="40" xfId="0" applyFont="1" applyFill="1" applyBorder="1" applyAlignment="1">
      <alignment/>
    </xf>
    <xf numFmtId="0" fontId="89" fillId="34" borderId="33" xfId="0" applyFont="1" applyFill="1" applyBorder="1" applyAlignment="1">
      <alignment/>
    </xf>
    <xf numFmtId="4" fontId="91" fillId="34" borderId="41" xfId="0" applyNumberFormat="1" applyFont="1" applyFill="1" applyBorder="1" applyAlignment="1">
      <alignment vertical="center"/>
    </xf>
    <xf numFmtId="4" fontId="91" fillId="34" borderId="42" xfId="0" applyNumberFormat="1" applyFont="1" applyFill="1" applyBorder="1" applyAlignment="1">
      <alignment vertical="center"/>
    </xf>
    <xf numFmtId="0" fontId="89" fillId="34" borderId="42" xfId="0" applyFont="1" applyFill="1" applyBorder="1" applyAlignment="1">
      <alignment/>
    </xf>
    <xf numFmtId="0" fontId="89" fillId="34" borderId="43" xfId="0" applyFont="1" applyFill="1" applyBorder="1" applyAlignment="1">
      <alignment/>
    </xf>
    <xf numFmtId="4" fontId="9" fillId="0" borderId="30" xfId="0" applyNumberFormat="1" applyFont="1" applyBorder="1" applyAlignment="1">
      <alignment horizontal="center"/>
    </xf>
    <xf numFmtId="4" fontId="9" fillId="0" borderId="30" xfId="0" applyNumberFormat="1" applyFont="1" applyBorder="1" applyAlignment="1">
      <alignment/>
    </xf>
    <xf numFmtId="4" fontId="9" fillId="0" borderId="44" xfId="0" applyNumberFormat="1" applyFont="1" applyBorder="1" applyAlignment="1">
      <alignment/>
    </xf>
    <xf numFmtId="4" fontId="91" fillId="0" borderId="0" xfId="0" applyNumberFormat="1" applyFont="1" applyBorder="1" applyAlignment="1">
      <alignment vertical="center"/>
    </xf>
    <xf numFmtId="2" fontId="0" fillId="0" borderId="22" xfId="0" applyNumberFormat="1" applyFont="1" applyBorder="1" applyAlignment="1" applyProtection="1">
      <alignment horizontal="right" vertical="center" wrapText="1"/>
      <protection locked="0"/>
    </xf>
    <xf numFmtId="2" fontId="92" fillId="0" borderId="22" xfId="0" applyNumberFormat="1" applyFont="1" applyBorder="1" applyAlignment="1" applyProtection="1">
      <alignment horizontal="right" vertical="center" wrapText="1"/>
      <protection locked="0"/>
    </xf>
    <xf numFmtId="0" fontId="92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81" fillId="0" borderId="0" xfId="0" applyFont="1" applyAlignment="1">
      <alignment horizontal="left" vertical="center" wrapText="1"/>
    </xf>
    <xf numFmtId="0" fontId="82" fillId="0" borderId="0" xfId="0" applyFont="1" applyAlignment="1">
      <alignment vertical="center"/>
    </xf>
    <xf numFmtId="4" fontId="79" fillId="0" borderId="0" xfId="0" applyNumberFormat="1" applyFont="1" applyAlignment="1">
      <alignment horizontal="right" vertical="center"/>
    </xf>
    <xf numFmtId="4" fontId="82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4" fontId="91" fillId="34" borderId="23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91" fillId="34" borderId="34" xfId="0" applyNumberFormat="1" applyFont="1" applyFill="1" applyBorder="1" applyAlignment="1">
      <alignment vertical="center"/>
    </xf>
    <xf numFmtId="4" fontId="91" fillId="34" borderId="0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" fontId="79" fillId="33" borderId="0" xfId="0" applyNumberFormat="1" applyFont="1" applyFill="1" applyAlignment="1">
      <alignment vertical="center"/>
    </xf>
    <xf numFmtId="4" fontId="79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vertical="center"/>
    </xf>
    <xf numFmtId="4" fontId="87" fillId="0" borderId="0" xfId="0" applyNumberFormat="1" applyFont="1" applyBorder="1" applyAlignment="1">
      <alignment/>
    </xf>
    <xf numFmtId="4" fontId="87" fillId="0" borderId="0" xfId="0" applyNumberFormat="1" applyFont="1" applyBorder="1" applyAlignment="1">
      <alignment vertical="center"/>
    </xf>
    <xf numFmtId="4" fontId="86" fillId="0" borderId="35" xfId="0" applyNumberFormat="1" applyFont="1" applyBorder="1" applyAlignment="1">
      <alignment/>
    </xf>
    <xf numFmtId="4" fontId="86" fillId="0" borderId="35" xfId="0" applyNumberFormat="1" applyFont="1" applyBorder="1" applyAlignment="1">
      <alignment vertical="center"/>
    </xf>
    <xf numFmtId="4" fontId="0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4" fontId="79" fillId="33" borderId="26" xfId="0" applyNumberFormat="1" applyFont="1" applyFill="1" applyBorder="1" applyAlignment="1">
      <alignment vertical="center"/>
    </xf>
    <xf numFmtId="4" fontId="79" fillId="33" borderId="27" xfId="0" applyNumberFormat="1" applyFont="1" applyFill="1" applyBorder="1" applyAlignment="1">
      <alignment vertical="center"/>
    </xf>
    <xf numFmtId="0" fontId="93" fillId="0" borderId="12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22" xfId="0" applyFont="1" applyBorder="1" applyAlignment="1" applyProtection="1">
      <alignment horizontal="left" vertical="center" wrapText="1"/>
      <protection locked="0"/>
    </xf>
    <xf numFmtId="4" fontId="86" fillId="0" borderId="18" xfId="0" applyNumberFormat="1" applyFont="1" applyBorder="1" applyAlignment="1">
      <alignment/>
    </xf>
    <xf numFmtId="4" fontId="86" fillId="0" borderId="18" xfId="0" applyNumberFormat="1" applyFont="1" applyBorder="1" applyAlignment="1">
      <alignment vertical="center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vertical="center"/>
      <protection locked="0"/>
    </xf>
    <xf numFmtId="4" fontId="87" fillId="0" borderId="12" xfId="0" applyNumberFormat="1" applyFont="1" applyBorder="1" applyAlignment="1">
      <alignment/>
    </xf>
    <xf numFmtId="4" fontId="87" fillId="0" borderId="12" xfId="0" applyNumberFormat="1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4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94" fillId="0" borderId="18" xfId="0" applyFont="1" applyFill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8" fillId="0" borderId="30" xfId="0" applyNumberFormat="1" applyFont="1" applyBorder="1" applyAlignment="1">
      <alignment horizontal="right"/>
    </xf>
    <xf numFmtId="0" fontId="6" fillId="0" borderId="0" xfId="0" applyFont="1" applyAlignment="1">
      <alignment horizontal="left" wrapText="1"/>
    </xf>
    <xf numFmtId="4" fontId="95" fillId="0" borderId="22" xfId="0" applyNumberFormat="1" applyFont="1" applyBorder="1" applyAlignment="1" applyProtection="1">
      <alignment vertical="center"/>
      <protection locked="0"/>
    </xf>
    <xf numFmtId="0" fontId="95" fillId="0" borderId="22" xfId="0" applyFont="1" applyBorder="1" applyAlignment="1" applyProtection="1">
      <alignment vertical="center"/>
      <protection locked="0"/>
    </xf>
    <xf numFmtId="4" fontId="92" fillId="0" borderId="22" xfId="0" applyNumberFormat="1" applyFont="1" applyBorder="1" applyAlignment="1" applyProtection="1">
      <alignment vertical="center"/>
      <protection locked="0"/>
    </xf>
    <xf numFmtId="0" fontId="92" fillId="0" borderId="22" xfId="0" applyFont="1" applyBorder="1" applyAlignment="1" applyProtection="1">
      <alignment vertical="center"/>
      <protection locked="0"/>
    </xf>
    <xf numFmtId="4" fontId="14" fillId="0" borderId="18" xfId="0" applyNumberFormat="1" applyFont="1" applyBorder="1" applyAlignment="1">
      <alignment/>
    </xf>
    <xf numFmtId="4" fontId="14" fillId="0" borderId="18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horizontal="right"/>
    </xf>
    <xf numFmtId="4" fontId="8" fillId="0" borderId="46" xfId="0" applyNumberFormat="1" applyFont="1" applyBorder="1" applyAlignment="1">
      <alignment horizontal="right"/>
    </xf>
    <xf numFmtId="4" fontId="8" fillId="0" borderId="47" xfId="0" applyNumberFormat="1" applyFont="1" applyBorder="1" applyAlignment="1">
      <alignment horizontal="right"/>
    </xf>
    <xf numFmtId="4" fontId="0" fillId="0" borderId="17" xfId="0" applyNumberFormat="1" applyFont="1" applyBorder="1" applyAlignment="1" applyProtection="1">
      <alignment vertical="center"/>
      <protection locked="0"/>
    </xf>
    <xf numFmtId="4" fontId="0" fillId="0" borderId="18" xfId="0" applyNumberFormat="1" applyFont="1" applyBorder="1" applyAlignment="1" applyProtection="1">
      <alignment vertical="center"/>
      <protection locked="0"/>
    </xf>
    <xf numFmtId="4" fontId="96" fillId="0" borderId="22" xfId="0" applyNumberFormat="1" applyFont="1" applyBorder="1" applyAlignment="1" applyProtection="1">
      <alignment vertical="center"/>
      <protection locked="0"/>
    </xf>
    <xf numFmtId="0" fontId="92" fillId="0" borderId="17" xfId="0" applyFont="1" applyBorder="1" applyAlignment="1" applyProtection="1">
      <alignment vertical="center"/>
      <protection locked="0"/>
    </xf>
    <xf numFmtId="4" fontId="0" fillId="0" borderId="12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85" fillId="0" borderId="22" xfId="0" applyFont="1" applyBorder="1" applyAlignment="1" applyProtection="1">
      <alignment horizontal="left" vertical="center" wrapText="1"/>
      <protection locked="0"/>
    </xf>
    <xf numFmtId="0" fontId="85" fillId="0" borderId="22" xfId="0" applyFont="1" applyBorder="1" applyAlignment="1" applyProtection="1">
      <alignment vertical="center"/>
      <protection locked="0"/>
    </xf>
    <xf numFmtId="4" fontId="85" fillId="0" borderId="22" xfId="0" applyNumberFormat="1" applyFont="1" applyBorder="1" applyAlignment="1" applyProtection="1">
      <alignment vertical="center"/>
      <protection locked="0"/>
    </xf>
    <xf numFmtId="0" fontId="13" fillId="0" borderId="22" xfId="0" applyFont="1" applyBorder="1" applyAlignment="1" applyProtection="1">
      <alignment horizontal="left" vertical="center" wrapText="1"/>
      <protection locked="0"/>
    </xf>
    <xf numFmtId="0" fontId="13" fillId="0" borderId="22" xfId="0" applyFont="1" applyBorder="1" applyAlignment="1" applyProtection="1">
      <alignment vertical="center"/>
      <protection locked="0"/>
    </xf>
    <xf numFmtId="4" fontId="1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horizontal="left" vertical="center" wrapText="1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4" fontId="92" fillId="0" borderId="35" xfId="0" applyNumberFormat="1" applyFont="1" applyBorder="1" applyAlignment="1" applyProtection="1">
      <alignment vertical="center"/>
      <protection locked="0"/>
    </xf>
    <xf numFmtId="0" fontId="92" fillId="0" borderId="35" xfId="0" applyFont="1" applyBorder="1" applyAlignment="1" applyProtection="1">
      <alignment vertical="center"/>
      <protection locked="0"/>
    </xf>
    <xf numFmtId="4" fontId="92" fillId="0" borderId="18" xfId="0" applyNumberFormat="1" applyFont="1" applyBorder="1" applyAlignment="1" applyProtection="1">
      <alignment vertical="center"/>
      <protection locked="0"/>
    </xf>
    <xf numFmtId="0" fontId="92" fillId="0" borderId="18" xfId="0" applyFont="1" applyBorder="1" applyAlignment="1" applyProtection="1">
      <alignment vertical="center"/>
      <protection locked="0"/>
    </xf>
    <xf numFmtId="4" fontId="92" fillId="0" borderId="0" xfId="0" applyNumberFormat="1" applyFont="1" applyBorder="1" applyAlignment="1" applyProtection="1">
      <alignment vertical="center"/>
      <protection locked="0"/>
    </xf>
    <xf numFmtId="0" fontId="92" fillId="0" borderId="0" xfId="0" applyFont="1" applyBorder="1" applyAlignment="1" applyProtection="1">
      <alignment vertical="center"/>
      <protection locked="0"/>
    </xf>
    <xf numFmtId="0" fontId="0" fillId="0" borderId="37" xfId="0" applyFont="1" applyBorder="1" applyAlignment="1" applyProtection="1">
      <alignment horizontal="left" vertical="center" wrapText="1"/>
      <protection locked="0"/>
    </xf>
    <xf numFmtId="0" fontId="0" fillId="0" borderId="37" xfId="0" applyFont="1" applyBorder="1" applyAlignment="1" applyProtection="1">
      <alignment vertical="center"/>
      <protection locked="0"/>
    </xf>
    <xf numFmtId="4" fontId="0" fillId="0" borderId="37" xfId="0" applyNumberFormat="1" applyFont="1" applyBorder="1" applyAlignment="1" applyProtection="1">
      <alignment vertical="center"/>
      <protection locked="0"/>
    </xf>
    <xf numFmtId="4" fontId="97" fillId="0" borderId="0" xfId="0" applyNumberFormat="1" applyFont="1" applyBorder="1" applyAlignment="1" applyProtection="1">
      <alignment vertical="center"/>
      <protection locked="0"/>
    </xf>
    <xf numFmtId="0" fontId="97" fillId="0" borderId="0" xfId="0" applyFont="1" applyBorder="1" applyAlignment="1" applyProtection="1">
      <alignment vertical="center"/>
      <protection locked="0"/>
    </xf>
    <xf numFmtId="4" fontId="92" fillId="0" borderId="17" xfId="0" applyNumberFormat="1" applyFont="1" applyBorder="1" applyAlignment="1" applyProtection="1">
      <alignment vertical="center"/>
      <protection locked="0"/>
    </xf>
    <xf numFmtId="0" fontId="0" fillId="0" borderId="36" xfId="0" applyFont="1" applyBorder="1" applyAlignment="1" applyProtection="1">
      <alignment horizontal="left" vertical="center" wrapText="1"/>
      <protection locked="0"/>
    </xf>
    <xf numFmtId="0" fontId="0" fillId="0" borderId="36" xfId="0" applyFont="1" applyBorder="1" applyAlignment="1" applyProtection="1">
      <alignment vertical="center"/>
      <protection locked="0"/>
    </xf>
    <xf numFmtId="4" fontId="0" fillId="0" borderId="36" xfId="0" applyNumberFormat="1" applyFont="1" applyBorder="1" applyAlignment="1" applyProtection="1">
      <alignment vertical="center"/>
      <protection locked="0"/>
    </xf>
    <xf numFmtId="4" fontId="0" fillId="0" borderId="22" xfId="0" applyNumberFormat="1" applyFont="1" applyBorder="1" applyAlignment="1" applyProtection="1">
      <alignment vertical="center"/>
      <protection locked="0"/>
    </xf>
    <xf numFmtId="4" fontId="87" fillId="0" borderId="0" xfId="0" applyNumberFormat="1" applyFont="1" applyAlignment="1">
      <alignment/>
    </xf>
    <xf numFmtId="4" fontId="86" fillId="0" borderId="35" xfId="0" applyNumberFormat="1" applyFont="1" applyBorder="1" applyAlignment="1">
      <alignment/>
    </xf>
    <xf numFmtId="4" fontId="79" fillId="0" borderId="0" xfId="0" applyNumberFormat="1" applyFont="1" applyBorder="1" applyAlignment="1">
      <alignment/>
    </xf>
    <xf numFmtId="4" fontId="98" fillId="0" borderId="12" xfId="0" applyNumberFormat="1" applyFont="1" applyBorder="1" applyAlignment="1" applyProtection="1">
      <alignment vertical="center"/>
      <protection locked="0"/>
    </xf>
    <xf numFmtId="0" fontId="97" fillId="0" borderId="12" xfId="0" applyFont="1" applyBorder="1" applyAlignment="1" applyProtection="1">
      <alignment vertical="center"/>
      <protection locked="0"/>
    </xf>
    <xf numFmtId="4" fontId="96" fillId="0" borderId="35" xfId="0" applyNumberFormat="1" applyFont="1" applyBorder="1" applyAlignment="1" applyProtection="1">
      <alignment vertical="center"/>
      <protection locked="0"/>
    </xf>
    <xf numFmtId="0" fontId="96" fillId="0" borderId="22" xfId="0" applyFont="1" applyBorder="1" applyAlignment="1" applyProtection="1">
      <alignment vertic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rastislav.sabo\AppData\Local\Microsoft\Windows\INetCache\Content.Outlook\F6UW0EC3\STARE_%20Rozpo&#269;et_3f1%20c)%20Stavebn&#233;%20pr&#225;ce%20-%20Roz&#353;irenie%20kapac&#237;t%20M&#352;%20-%20Galaktick&#225;%209%20elokovan&#233;%20pracovisko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kapitulácia stavby"/>
      <sheetName val="01 - ASR"/>
      <sheetName val="02 - Vykurovanie"/>
      <sheetName val="04 - Vzduchotechnika"/>
      <sheetName val="03 - Zdravotná inštalácia"/>
      <sheetName val="05 - Elektroinštalác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28"/>
  <sheetViews>
    <sheetView showGridLines="0" tabSelected="1" view="pageBreakPreview" zoomScale="85" zoomScaleSheetLayoutView="85" zoomScalePageLayoutView="0" workbookViewId="0" topLeftCell="B1">
      <pane ySplit="1" topLeftCell="A2" activePane="bottomLeft" state="frozen"/>
      <selection pane="topLeft" activeCell="A1" sqref="A1"/>
      <selection pane="bottomLeft" activeCell="C7" sqref="C7:AN7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30.66015625" style="0" customWidth="1"/>
    <col min="39" max="39" width="3.33203125" style="0" customWidth="1"/>
    <col min="40" max="40" width="22.33203125" style="0" customWidth="1"/>
    <col min="41" max="41" width="16.83203125" style="0" customWidth="1"/>
    <col min="42" max="42" width="13.66015625" style="0" customWidth="1"/>
    <col min="43" max="43" width="16.5" style="0" customWidth="1"/>
    <col min="44" max="44" width="14.66015625" style="0" customWidth="1"/>
    <col min="45" max="45" width="15.16015625" style="0" customWidth="1"/>
    <col min="46" max="46" width="13.66015625" style="0" customWidth="1"/>
    <col min="47" max="48" width="25.83203125" style="0" hidden="1" customWidth="1"/>
    <col min="49" max="49" width="25" style="0" hidden="1" customWidth="1"/>
    <col min="50" max="54" width="21.66015625" style="0" hidden="1" customWidth="1"/>
    <col min="55" max="55" width="19.16015625" style="0" hidden="1" customWidth="1"/>
    <col min="56" max="56" width="25" style="0" hidden="1" customWidth="1"/>
    <col min="57" max="58" width="19.16015625" style="0" hidden="1" customWidth="1"/>
    <col min="59" max="59" width="66.5" style="0" customWidth="1"/>
    <col min="73" max="91" width="9.33203125" style="0" hidden="1" customWidth="1"/>
  </cols>
  <sheetData>
    <row r="1" spans="1:45" s="1" customFormat="1" ht="6.75" customHeight="1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4"/>
      <c r="AS1" s="15"/>
    </row>
    <row r="2" spans="1:45" s="1" customFormat="1" ht="6.75" customHeight="1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S2" s="10"/>
    </row>
    <row r="3" spans="1:58" s="1" customFormat="1" ht="21">
      <c r="A3" s="111"/>
      <c r="B3" s="111"/>
      <c r="C3" s="193" t="s">
        <v>4</v>
      </c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69"/>
      <c r="AQ3" s="69"/>
      <c r="AU3" s="182"/>
      <c r="AV3" s="182"/>
      <c r="BF3" s="16"/>
    </row>
    <row r="4" spans="1:58" s="1" customFormat="1" ht="10.5" customHeight="1">
      <c r="A4" s="111"/>
      <c r="B4" s="111"/>
      <c r="C4" s="7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U4" s="182"/>
      <c r="AV4" s="182"/>
      <c r="BF4" s="16"/>
    </row>
    <row r="5" spans="1:58" s="1" customFormat="1" ht="29.25" customHeight="1">
      <c r="A5" s="111"/>
      <c r="B5" s="111"/>
      <c r="C5" s="194" t="s">
        <v>152</v>
      </c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71"/>
      <c r="AQ5" s="71"/>
      <c r="AR5" s="67"/>
      <c r="AU5" s="18" t="s">
        <v>9</v>
      </c>
      <c r="AV5" s="18" t="s">
        <v>10</v>
      </c>
      <c r="AW5" s="18" t="s">
        <v>11</v>
      </c>
      <c r="AX5" s="18" t="s">
        <v>12</v>
      </c>
      <c r="AY5" s="18" t="s">
        <v>13</v>
      </c>
      <c r="AZ5" s="18" t="s">
        <v>14</v>
      </c>
      <c r="BA5" s="18" t="s">
        <v>15</v>
      </c>
      <c r="BB5" s="18" t="s">
        <v>16</v>
      </c>
      <c r="BC5" s="18" t="s">
        <v>17</v>
      </c>
      <c r="BD5" s="18" t="s">
        <v>18</v>
      </c>
      <c r="BE5" s="18" t="s">
        <v>19</v>
      </c>
      <c r="BF5" s="19" t="s">
        <v>20</v>
      </c>
    </row>
    <row r="6" spans="1:58" s="1" customFormat="1" ht="16.5">
      <c r="A6" s="111"/>
      <c r="B6" s="111"/>
      <c r="C6" s="195" t="s">
        <v>160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U6" s="66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3"/>
    </row>
    <row r="7" spans="1:78" s="3" customFormat="1" ht="18">
      <c r="A7" s="124"/>
      <c r="B7" s="124"/>
      <c r="C7" s="187" t="s">
        <v>273</v>
      </c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"/>
      <c r="AP7" s="1"/>
      <c r="AQ7" s="1"/>
      <c r="AR7" s="65"/>
      <c r="AU7" s="23" t="e">
        <f>ROUND(SUM(AU8:AU11),2)</f>
        <v>#REF!</v>
      </c>
      <c r="AV7" s="23" t="e">
        <f>ROUND(SUM(AX7:AY7),2)</f>
        <v>#REF!</v>
      </c>
      <c r="AW7" s="24" t="e">
        <f>ROUND(SUM(AW8:AW11),5)</f>
        <v>#REF!</v>
      </c>
      <c r="AX7" s="23" t="e">
        <f>ROUND(BB7*#REF!,2)</f>
        <v>#REF!</v>
      </c>
      <c r="AY7" s="23" t="e">
        <f>ROUND(BC7*#REF!,2)</f>
        <v>#REF!</v>
      </c>
      <c r="AZ7" s="23" t="e">
        <f>ROUND(BD7*#REF!,2)</f>
        <v>#REF!</v>
      </c>
      <c r="BA7" s="23" t="e">
        <f>ROUND(BE7*#REF!,2)</f>
        <v>#REF!</v>
      </c>
      <c r="BB7" s="23" t="e">
        <f>ROUND(SUM(BB8:BB11),2)</f>
        <v>#REF!</v>
      </c>
      <c r="BC7" s="23" t="e">
        <f>ROUND(SUM(BC8:BC11),2)</f>
        <v>#REF!</v>
      </c>
      <c r="BD7" s="23" t="e">
        <f>ROUND(SUM(BD8:BD11),2)</f>
        <v>#REF!</v>
      </c>
      <c r="BE7" s="23" t="e">
        <f>ROUND(SUM(BE8:BE11),2)</f>
        <v>#REF!</v>
      </c>
      <c r="BF7" s="25" t="e">
        <f>ROUND(SUM(BF8:BF11),2)</f>
        <v>#REF!</v>
      </c>
      <c r="BU7" s="26" t="s">
        <v>22</v>
      </c>
      <c r="BV7" s="26" t="s">
        <v>23</v>
      </c>
      <c r="BW7" s="27" t="s">
        <v>24</v>
      </c>
      <c r="BX7" s="26" t="s">
        <v>25</v>
      </c>
      <c r="BY7" s="26" t="s">
        <v>26</v>
      </c>
      <c r="BZ7" s="26" t="s">
        <v>27</v>
      </c>
    </row>
    <row r="8" spans="1:78" s="4" customFormat="1" ht="16.5">
      <c r="A8" s="125"/>
      <c r="B8" s="125"/>
      <c r="C8" s="187" t="s">
        <v>270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72"/>
      <c r="AQ8" s="72"/>
      <c r="AR8" s="64"/>
      <c r="AU8" s="30" t="e">
        <f>'SO 01 - Magistrát mesta Košice'!#REF!</f>
        <v>#REF!</v>
      </c>
      <c r="AV8" s="30" t="e">
        <f>ROUND(SUM(AX8:AY8),2)</f>
        <v>#REF!</v>
      </c>
      <c r="AW8" s="31" t="e">
        <f>'SO 01 - Magistrát mesta Košice'!Y9</f>
        <v>#REF!</v>
      </c>
      <c r="AX8" s="30" t="e">
        <f>'SO 01 - Magistrát mesta Košice'!#REF!</f>
        <v>#REF!</v>
      </c>
      <c r="AY8" s="30" t="e">
        <f>'SO 01 - Magistrát mesta Košice'!#REF!</f>
        <v>#REF!</v>
      </c>
      <c r="AZ8" s="30" t="e">
        <f>'SO 01 - Magistrát mesta Košice'!#REF!</f>
        <v>#REF!</v>
      </c>
      <c r="BA8" s="30" t="e">
        <f>'SO 01 - Magistrát mesta Košice'!#REF!</f>
        <v>#REF!</v>
      </c>
      <c r="BB8" s="30" t="e">
        <f>'SO 01 - Magistrát mesta Košice'!#REF!</f>
        <v>#REF!</v>
      </c>
      <c r="BC8" s="30" t="e">
        <f>'SO 01 - Magistrát mesta Košice'!#REF!</f>
        <v>#REF!</v>
      </c>
      <c r="BD8" s="30" t="e">
        <f>'SO 01 - Magistrát mesta Košice'!#REF!</f>
        <v>#REF!</v>
      </c>
      <c r="BE8" s="30" t="e">
        <f>'SO 01 - Magistrát mesta Košice'!#REF!</f>
        <v>#REF!</v>
      </c>
      <c r="BF8" s="32" t="e">
        <f>'SO 01 - Magistrát mesta Košice'!#REF!</f>
        <v>#REF!</v>
      </c>
      <c r="BV8" s="33" t="s">
        <v>29</v>
      </c>
      <c r="BX8" s="33" t="s">
        <v>25</v>
      </c>
      <c r="BY8" s="33" t="s">
        <v>30</v>
      </c>
      <c r="BZ8" s="33" t="s">
        <v>26</v>
      </c>
    </row>
    <row r="9" spans="1:78" s="4" customFormat="1" ht="16.5">
      <c r="A9" s="125"/>
      <c r="B9" s="125"/>
      <c r="C9" s="187" t="s">
        <v>162</v>
      </c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"/>
      <c r="AP9" s="1"/>
      <c r="AQ9" s="1"/>
      <c r="AR9" s="64"/>
      <c r="AU9" s="30" t="e">
        <f>'SO 03 - Krytá mestská pla...'!#REF!</f>
        <v>#REF!</v>
      </c>
      <c r="AV9" s="30" t="e">
        <f>ROUND(SUM(AX9:AY9),2)</f>
        <v>#REF!</v>
      </c>
      <c r="AW9" s="31" t="e">
        <f>'SO 03 - Krytá mestská pla...'!Y9</f>
        <v>#REF!</v>
      </c>
      <c r="AX9" s="30" t="e">
        <f>'SO 03 - Krytá mestská pla...'!#REF!</f>
        <v>#REF!</v>
      </c>
      <c r="AY9" s="30" t="e">
        <f>'SO 03 - Krytá mestská pla...'!#REF!</f>
        <v>#REF!</v>
      </c>
      <c r="AZ9" s="30" t="e">
        <f>'SO 03 - Krytá mestská pla...'!#REF!</f>
        <v>#REF!</v>
      </c>
      <c r="BA9" s="30" t="e">
        <f>'SO 03 - Krytá mestská pla...'!#REF!</f>
        <v>#REF!</v>
      </c>
      <c r="BB9" s="30" t="e">
        <f>'SO 03 - Krytá mestská pla...'!#REF!</f>
        <v>#REF!</v>
      </c>
      <c r="BC9" s="30" t="e">
        <f>'SO 03 - Krytá mestská pla...'!#REF!</f>
        <v>#REF!</v>
      </c>
      <c r="BD9" s="30" t="e">
        <f>'SO 03 - Krytá mestská pla...'!#REF!</f>
        <v>#REF!</v>
      </c>
      <c r="BE9" s="30" t="e">
        <f>'SO 03 - Krytá mestská pla...'!#REF!</f>
        <v>#REF!</v>
      </c>
      <c r="BF9" s="32" t="e">
        <f>'SO 03 - Krytá mestská pla...'!#REF!</f>
        <v>#REF!</v>
      </c>
      <c r="BV9" s="33" t="s">
        <v>29</v>
      </c>
      <c r="BX9" s="33" t="s">
        <v>25</v>
      </c>
      <c r="BY9" s="33" t="s">
        <v>32</v>
      </c>
      <c r="BZ9" s="33" t="s">
        <v>26</v>
      </c>
    </row>
    <row r="10" spans="1:78" s="4" customFormat="1" ht="16.5">
      <c r="A10" s="125"/>
      <c r="B10" s="125"/>
      <c r="C10" s="109" t="s">
        <v>163</v>
      </c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"/>
      <c r="AR10" s="64"/>
      <c r="AU10" s="30" t="e">
        <f>'SO 04 - Zakladná škola Tr...'!#REF!</f>
        <v>#REF!</v>
      </c>
      <c r="AV10" s="30" t="e">
        <f>ROUND(SUM(AX10:AY10),2)</f>
        <v>#REF!</v>
      </c>
      <c r="AW10" s="31" t="e">
        <f>'SO 04 - Zakladná škola Tr...'!#REF!</f>
        <v>#REF!</v>
      </c>
      <c r="AX10" s="30" t="e">
        <f>'SO 04 - Zakladná škola Tr...'!#REF!</f>
        <v>#REF!</v>
      </c>
      <c r="AY10" s="30" t="e">
        <f>'SO 04 - Zakladná škola Tr...'!#REF!</f>
        <v>#REF!</v>
      </c>
      <c r="AZ10" s="30" t="e">
        <f>'SO 04 - Zakladná škola Tr...'!#REF!</f>
        <v>#REF!</v>
      </c>
      <c r="BA10" s="30" t="e">
        <f>'SO 04 - Zakladná škola Tr...'!#REF!</f>
        <v>#REF!</v>
      </c>
      <c r="BB10" s="30" t="e">
        <f>'SO 04 - Zakladná škola Tr...'!#REF!</f>
        <v>#REF!</v>
      </c>
      <c r="BC10" s="30" t="e">
        <f>'SO 04 - Zakladná škola Tr...'!#REF!</f>
        <v>#REF!</v>
      </c>
      <c r="BD10" s="30" t="e">
        <f>'SO 04 - Zakladná škola Tr...'!#REF!</f>
        <v>#REF!</v>
      </c>
      <c r="BE10" s="30" t="e">
        <f>'SO 04 - Zakladná škola Tr...'!#REF!</f>
        <v>#REF!</v>
      </c>
      <c r="BF10" s="32" t="e">
        <f>'SO 04 - Zakladná škola Tr...'!#REF!</f>
        <v>#REF!</v>
      </c>
      <c r="BV10" s="33" t="s">
        <v>29</v>
      </c>
      <c r="BX10" s="33" t="s">
        <v>25</v>
      </c>
      <c r="BY10" s="33" t="s">
        <v>34</v>
      </c>
      <c r="BZ10" s="33" t="s">
        <v>26</v>
      </c>
    </row>
    <row r="11" spans="1:78" s="4" customFormat="1" ht="16.5">
      <c r="A11" s="125"/>
      <c r="B11" s="125"/>
      <c r="C11" s="8"/>
      <c r="D11" s="1"/>
      <c r="E11" s="1"/>
      <c r="F11" s="1"/>
      <c r="G11" s="1"/>
      <c r="H11" s="1"/>
      <c r="I11" s="1"/>
      <c r="J11" s="1"/>
      <c r="K11" s="1"/>
      <c r="L11" s="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8"/>
      <c r="AJ11" s="1"/>
      <c r="AK11" s="1"/>
      <c r="AL11" s="1"/>
      <c r="AM11" s="2"/>
      <c r="AN11" s="1"/>
      <c r="AO11" s="1"/>
      <c r="AP11" s="1"/>
      <c r="AQ11" s="1"/>
      <c r="AR11" s="64"/>
      <c r="AU11" s="30" t="e">
        <f>#REF!</f>
        <v>#REF!</v>
      </c>
      <c r="AV11" s="30" t="e">
        <f>ROUND(SUM(AX11:AY11),2)</f>
        <v>#REF!</v>
      </c>
      <c r="AW11" s="31" t="e">
        <f>#REF!</f>
        <v>#REF!</v>
      </c>
      <c r="AX11" s="30" t="e">
        <f>#REF!</f>
        <v>#REF!</v>
      </c>
      <c r="AY11" s="30" t="e">
        <f>#REF!</f>
        <v>#REF!</v>
      </c>
      <c r="AZ11" s="30" t="e">
        <f>#REF!</f>
        <v>#REF!</v>
      </c>
      <c r="BA11" s="30" t="e">
        <f>#REF!</f>
        <v>#REF!</v>
      </c>
      <c r="BB11" s="30" t="e">
        <f>#REF!</f>
        <v>#REF!</v>
      </c>
      <c r="BC11" s="30" t="e">
        <f>#REF!</f>
        <v>#REF!</v>
      </c>
      <c r="BD11" s="30" t="e">
        <f>#REF!</f>
        <v>#REF!</v>
      </c>
      <c r="BE11" s="30" t="e">
        <f>#REF!</f>
        <v>#REF!</v>
      </c>
      <c r="BF11" s="32" t="e">
        <f>#REF!</f>
        <v>#REF!</v>
      </c>
      <c r="BV11" s="33" t="s">
        <v>29</v>
      </c>
      <c r="BX11" s="33" t="s">
        <v>25</v>
      </c>
      <c r="BY11" s="33" t="s">
        <v>36</v>
      </c>
      <c r="BZ11" s="33" t="s">
        <v>26</v>
      </c>
    </row>
    <row r="12" spans="1:57" ht="45">
      <c r="A12" s="126"/>
      <c r="B12" s="126"/>
      <c r="C12" s="189" t="s">
        <v>5</v>
      </c>
      <c r="D12" s="190"/>
      <c r="E12" s="190"/>
      <c r="F12" s="190"/>
      <c r="G12" s="190"/>
      <c r="H12" s="137"/>
      <c r="I12" s="189" t="s">
        <v>6</v>
      </c>
      <c r="J12" s="190"/>
      <c r="K12" s="190"/>
      <c r="L12" s="190"/>
      <c r="M12" s="190"/>
      <c r="N12" s="190"/>
      <c r="O12" s="190"/>
      <c r="P12" s="190"/>
      <c r="Q12" s="190"/>
      <c r="R12" s="190"/>
      <c r="S12" s="190"/>
      <c r="T12" s="190"/>
      <c r="U12" s="190"/>
      <c r="V12" s="190"/>
      <c r="W12" s="190"/>
      <c r="X12" s="190"/>
      <c r="Y12" s="190"/>
      <c r="Z12" s="190"/>
      <c r="AA12" s="190"/>
      <c r="AB12" s="190"/>
      <c r="AC12" s="190"/>
      <c r="AD12" s="190"/>
      <c r="AE12" s="190"/>
      <c r="AF12" s="190"/>
      <c r="AG12" s="189" t="s">
        <v>7</v>
      </c>
      <c r="AH12" s="190"/>
      <c r="AI12" s="190"/>
      <c r="AJ12" s="190"/>
      <c r="AK12" s="190"/>
      <c r="AL12" s="190"/>
      <c r="AM12" s="190"/>
      <c r="AN12" s="138" t="s">
        <v>8</v>
      </c>
      <c r="AO12" s="139"/>
      <c r="AP12" s="139"/>
      <c r="AQ12" s="139" t="s">
        <v>154</v>
      </c>
      <c r="AR12" s="90"/>
      <c r="AS12" s="90"/>
      <c r="AT12" s="90"/>
      <c r="AU12" s="89" t="s">
        <v>56</v>
      </c>
      <c r="AV12" s="75" t="s">
        <v>57</v>
      </c>
      <c r="AW12" s="75" t="s">
        <v>58</v>
      </c>
      <c r="AX12" s="74" t="s">
        <v>153</v>
      </c>
      <c r="AY12" s="74" t="s">
        <v>154</v>
      </c>
      <c r="AZ12" s="76" t="s">
        <v>19</v>
      </c>
      <c r="BA12" s="74" t="s">
        <v>153</v>
      </c>
      <c r="BB12" s="74" t="s">
        <v>154</v>
      </c>
      <c r="BC12" s="76" t="s">
        <v>19</v>
      </c>
      <c r="BD12" s="74" t="s">
        <v>153</v>
      </c>
      <c r="BE12" s="74" t="s">
        <v>154</v>
      </c>
    </row>
    <row r="13" spans="1:51" s="1" customFormat="1" ht="30" customHeight="1">
      <c r="A13" s="111"/>
      <c r="B13" s="111"/>
      <c r="AN13" s="111"/>
      <c r="AO13" s="132"/>
      <c r="AP13" s="111"/>
      <c r="AQ13" s="111"/>
      <c r="AS13" s="77"/>
      <c r="AU13" s="77" t="e">
        <f>AU14+#REF!</f>
        <v>#REF!</v>
      </c>
      <c r="AW13" s="78" t="e">
        <f>AW14+#REF!</f>
        <v>#REF!</v>
      </c>
      <c r="AX13" s="79">
        <v>0</v>
      </c>
      <c r="AY13" s="80" t="s">
        <v>155</v>
      </c>
    </row>
    <row r="14" spans="1:57" s="1" customFormat="1" ht="23.25" customHeight="1">
      <c r="A14" s="111"/>
      <c r="B14" s="111"/>
      <c r="C14" s="21" t="s">
        <v>21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185">
        <f>ROUND(SUM(AG15:AG18),2)</f>
        <v>0</v>
      </c>
      <c r="AH14" s="185"/>
      <c r="AI14" s="185"/>
      <c r="AJ14" s="185"/>
      <c r="AK14" s="185"/>
      <c r="AL14" s="185"/>
      <c r="AM14" s="185"/>
      <c r="AN14" s="133">
        <f>ROUND((AN18+AN17+AN16+AN15),2)</f>
        <v>0</v>
      </c>
      <c r="AO14" s="132"/>
      <c r="AP14" s="134"/>
      <c r="AQ14" s="134"/>
      <c r="AR14" s="81"/>
      <c r="AS14" s="82"/>
      <c r="AT14" s="81"/>
      <c r="AU14" s="82"/>
      <c r="AV14" s="81"/>
      <c r="AW14" s="83"/>
      <c r="AX14" s="84"/>
      <c r="AY14" s="85"/>
      <c r="AZ14" s="86"/>
      <c r="BA14" s="84"/>
      <c r="BB14" s="85"/>
      <c r="BC14" s="86"/>
      <c r="BD14" s="84"/>
      <c r="BE14" s="85"/>
    </row>
    <row r="15" spans="1:57" s="1" customFormat="1" ht="16.5">
      <c r="A15" s="111"/>
      <c r="B15" s="111"/>
      <c r="C15" s="28"/>
      <c r="D15" s="183" t="s">
        <v>28</v>
      </c>
      <c r="E15" s="184"/>
      <c r="F15" s="184"/>
      <c r="G15" s="184"/>
      <c r="H15" s="184"/>
      <c r="I15" s="29"/>
      <c r="J15" s="183" t="s">
        <v>260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6"/>
      <c r="AH15" s="186"/>
      <c r="AI15" s="186"/>
      <c r="AJ15" s="186"/>
      <c r="AK15" s="186"/>
      <c r="AL15" s="186"/>
      <c r="AM15" s="186"/>
      <c r="AN15" s="135">
        <f>ROUND((AG15*1.2),2)</f>
        <v>0</v>
      </c>
      <c r="AO15" s="136"/>
      <c r="AP15" s="136"/>
      <c r="AQ15" s="135" t="s">
        <v>158</v>
      </c>
      <c r="AR15" s="81"/>
      <c r="AS15" s="82"/>
      <c r="AT15" s="81"/>
      <c r="AU15" s="82">
        <f>SUM(AU16:AU19)</f>
        <v>0</v>
      </c>
      <c r="AV15" s="81"/>
      <c r="AW15" s="83">
        <f>SUM(AW16:AW19)</f>
        <v>0</v>
      </c>
      <c r="AX15" s="84">
        <v>0</v>
      </c>
      <c r="AY15" s="85" t="s">
        <v>155</v>
      </c>
      <c r="AZ15" s="87">
        <f>'[1]01 - ASR'!E43</f>
        <v>0</v>
      </c>
      <c r="BA15" s="84">
        <v>0</v>
      </c>
      <c r="BB15" s="85" t="s">
        <v>155</v>
      </c>
      <c r="BC15" s="87">
        <f>'[1]01 - ASR'!F43</f>
        <v>0</v>
      </c>
      <c r="BD15" s="84">
        <v>0</v>
      </c>
      <c r="BE15" s="85" t="s">
        <v>155</v>
      </c>
    </row>
    <row r="16" spans="1:57" s="1" customFormat="1" ht="16.5">
      <c r="A16" s="111"/>
      <c r="B16" s="111"/>
      <c r="C16" s="28"/>
      <c r="D16" s="183" t="s">
        <v>31</v>
      </c>
      <c r="E16" s="184"/>
      <c r="F16" s="184"/>
      <c r="G16" s="184"/>
      <c r="H16" s="184"/>
      <c r="I16" s="29"/>
      <c r="J16" s="183" t="s">
        <v>261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6"/>
      <c r="AH16" s="184"/>
      <c r="AI16" s="184"/>
      <c r="AJ16" s="184"/>
      <c r="AK16" s="184"/>
      <c r="AL16" s="184"/>
      <c r="AM16" s="184"/>
      <c r="AN16" s="135">
        <f>ROUND((AG16*1.2),2)</f>
        <v>0</v>
      </c>
      <c r="AO16" s="136"/>
      <c r="AP16" s="136"/>
      <c r="AQ16" s="135" t="s">
        <v>158</v>
      </c>
      <c r="AR16" s="88"/>
      <c r="AS16" s="88"/>
      <c r="AT16" s="88"/>
      <c r="AU16" s="88">
        <f>AT16*AH16</f>
        <v>0</v>
      </c>
      <c r="AV16" s="88">
        <v>0</v>
      </c>
      <c r="AW16" s="54">
        <f>AV16*AH16</f>
        <v>0</v>
      </c>
      <c r="AX16" s="84">
        <v>0</v>
      </c>
      <c r="AY16" s="85" t="s">
        <v>155</v>
      </c>
      <c r="AZ16" s="87">
        <f>'[1]02 - Vykurovanie'!E43</f>
        <v>0</v>
      </c>
      <c r="BA16" s="84">
        <v>0</v>
      </c>
      <c r="BB16" s="85" t="s">
        <v>155</v>
      </c>
      <c r="BC16" s="87">
        <f>'[1]02 - Vykurovanie'!F43</f>
        <v>0</v>
      </c>
      <c r="BD16" s="84">
        <v>0</v>
      </c>
      <c r="BE16" s="85" t="s">
        <v>155</v>
      </c>
    </row>
    <row r="17" spans="3:57" ht="16.5">
      <c r="C17" s="28"/>
      <c r="D17" s="183" t="s">
        <v>33</v>
      </c>
      <c r="E17" s="184"/>
      <c r="F17" s="184"/>
      <c r="G17" s="184"/>
      <c r="H17" s="184"/>
      <c r="I17" s="29"/>
      <c r="J17" s="183" t="s">
        <v>262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6"/>
      <c r="AH17" s="184"/>
      <c r="AI17" s="184"/>
      <c r="AJ17" s="184"/>
      <c r="AK17" s="184"/>
      <c r="AL17" s="184"/>
      <c r="AM17" s="184"/>
      <c r="AN17" s="135">
        <f>ROUND((AG17*1.2),2)</f>
        <v>0</v>
      </c>
      <c r="AO17" s="136"/>
      <c r="AP17" s="136"/>
      <c r="AQ17" s="135" t="s">
        <v>158</v>
      </c>
      <c r="AR17" s="88"/>
      <c r="AS17" s="88"/>
      <c r="AT17" s="88"/>
      <c r="AU17" s="88">
        <f>AT17*AH17</f>
        <v>0</v>
      </c>
      <c r="AV17" s="88">
        <v>0</v>
      </c>
      <c r="AW17" s="54">
        <f>AV17*AH17</f>
        <v>0</v>
      </c>
      <c r="AX17" s="84">
        <v>0</v>
      </c>
      <c r="AY17" s="85" t="s">
        <v>155</v>
      </c>
      <c r="AZ17" s="87">
        <f>'[1]04 - Vzduchotechnika'!E43</f>
        <v>0</v>
      </c>
      <c r="BA17" s="84">
        <v>0</v>
      </c>
      <c r="BB17" s="85" t="s">
        <v>155</v>
      </c>
      <c r="BC17" s="87">
        <f>'[1]04 - Vzduchotechnika'!F43</f>
        <v>0</v>
      </c>
      <c r="BD17" s="84">
        <v>0</v>
      </c>
      <c r="BE17" s="85" t="s">
        <v>155</v>
      </c>
    </row>
    <row r="18" spans="3:57" ht="16.5">
      <c r="C18" s="28"/>
      <c r="D18" s="183" t="s">
        <v>35</v>
      </c>
      <c r="E18" s="184"/>
      <c r="F18" s="184"/>
      <c r="G18" s="184"/>
      <c r="H18" s="184"/>
      <c r="I18" s="29"/>
      <c r="J18" s="183" t="s">
        <v>265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6"/>
      <c r="AH18" s="184"/>
      <c r="AI18" s="184"/>
      <c r="AJ18" s="184"/>
      <c r="AK18" s="184"/>
      <c r="AL18" s="184"/>
      <c r="AM18" s="184"/>
      <c r="AN18" s="135">
        <f>ROUND((AG18*1.2),2)</f>
        <v>0</v>
      </c>
      <c r="AO18" s="136"/>
      <c r="AP18" s="136"/>
      <c r="AQ18" s="135" t="s">
        <v>158</v>
      </c>
      <c r="AR18" s="88"/>
      <c r="AS18" s="88"/>
      <c r="AT18" s="88"/>
      <c r="AU18" s="88">
        <f>AT18*AH18</f>
        <v>0</v>
      </c>
      <c r="AV18" s="88">
        <v>0</v>
      </c>
      <c r="AW18" s="54">
        <f>AV18*AH18</f>
        <v>0</v>
      </c>
      <c r="AX18" s="84">
        <v>0</v>
      </c>
      <c r="AY18" s="85" t="s">
        <v>155</v>
      </c>
      <c r="AZ18" s="87">
        <f>'[1]03 - Zdravotná inštalácia'!E43</f>
        <v>0</v>
      </c>
      <c r="BA18" s="84">
        <v>0</v>
      </c>
      <c r="BB18" s="85" t="s">
        <v>155</v>
      </c>
      <c r="BC18" s="87">
        <f>'[1]03 - Zdravotná inštalácia'!F43</f>
        <v>0</v>
      </c>
      <c r="BD18" s="84">
        <v>0</v>
      </c>
      <c r="BE18" s="85" t="s">
        <v>155</v>
      </c>
    </row>
    <row r="19" spans="40:43" ht="13.5">
      <c r="AN19" s="126"/>
      <c r="AO19" s="126"/>
      <c r="AP19" s="126"/>
      <c r="AQ19" s="126"/>
    </row>
    <row r="20" spans="3:43" ht="13.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11"/>
      <c r="AO20" s="111"/>
      <c r="AP20" s="111"/>
      <c r="AQ20" s="111"/>
    </row>
    <row r="21" spans="3:43" ht="18">
      <c r="C21" s="34" t="s">
        <v>263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196"/>
      <c r="AH21" s="196"/>
      <c r="AI21" s="196"/>
      <c r="AJ21" s="196"/>
      <c r="AK21" s="196"/>
      <c r="AL21" s="196"/>
      <c r="AM21" s="196"/>
      <c r="AN21" s="131"/>
      <c r="AO21" s="140"/>
      <c r="AP21" s="140"/>
      <c r="AQ21" s="140"/>
    </row>
    <row r="22" spans="3:43" ht="18"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111"/>
      <c r="X22" s="166" t="s">
        <v>156</v>
      </c>
      <c r="Y22" s="167"/>
      <c r="Z22" s="167"/>
      <c r="AA22" s="167"/>
      <c r="AB22" s="167"/>
      <c r="AC22" s="168"/>
      <c r="AD22" s="168"/>
      <c r="AE22" s="168"/>
      <c r="AF22" s="168"/>
      <c r="AG22" s="168"/>
      <c r="AH22" s="169"/>
      <c r="AI22" s="128"/>
      <c r="AJ22" s="128"/>
      <c r="AK22" s="188">
        <f>ROUND(AG14,2)</f>
        <v>0</v>
      </c>
      <c r="AL22" s="188"/>
      <c r="AM22" s="111"/>
      <c r="AN22" s="129"/>
      <c r="AO22" s="178"/>
      <c r="AP22" s="178"/>
      <c r="AQ22" s="178"/>
    </row>
    <row r="23" spans="3:43" ht="18"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91" t="s">
        <v>2</v>
      </c>
      <c r="Y23" s="192"/>
      <c r="Z23" s="192"/>
      <c r="AA23" s="192"/>
      <c r="AB23" s="192"/>
      <c r="AC23" s="130"/>
      <c r="AD23" s="130"/>
      <c r="AE23" s="130"/>
      <c r="AF23" s="130"/>
      <c r="AG23" s="130"/>
      <c r="AH23" s="170"/>
      <c r="AI23" s="127"/>
      <c r="AJ23" s="127"/>
      <c r="AK23" s="188">
        <f>ROUND((AK24-AK22),2)</f>
        <v>0</v>
      </c>
      <c r="AL23" s="188"/>
      <c r="AM23" s="126"/>
      <c r="AN23" s="126"/>
      <c r="AO23" s="178"/>
      <c r="AP23" s="178"/>
      <c r="AQ23" s="178"/>
    </row>
    <row r="24" spans="17:43" ht="18">
      <c r="Q24" s="126"/>
      <c r="R24" s="126"/>
      <c r="S24" s="126"/>
      <c r="T24" s="126"/>
      <c r="U24" s="126"/>
      <c r="V24" s="126"/>
      <c r="W24" s="126"/>
      <c r="X24" s="171" t="s">
        <v>157</v>
      </c>
      <c r="Y24" s="172"/>
      <c r="Z24" s="172"/>
      <c r="AA24" s="172"/>
      <c r="AB24" s="172"/>
      <c r="AC24" s="173"/>
      <c r="AD24" s="173"/>
      <c r="AE24" s="173"/>
      <c r="AF24" s="173"/>
      <c r="AG24" s="173"/>
      <c r="AH24" s="174"/>
      <c r="AI24" s="127"/>
      <c r="AJ24" s="127"/>
      <c r="AK24" s="188">
        <f>ROUND((AK22*1.2),2)</f>
        <v>0</v>
      </c>
      <c r="AL24" s="188"/>
      <c r="AM24" s="126"/>
      <c r="AN24" s="126"/>
      <c r="AO24" s="178"/>
      <c r="AP24" s="178"/>
      <c r="AQ24" s="178"/>
    </row>
    <row r="25" spans="17:43" ht="13.5"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</row>
    <row r="26" ht="40.5" customHeight="1"/>
    <row r="27" spans="3:40" ht="13.5">
      <c r="C27" s="123" t="s">
        <v>268</v>
      </c>
      <c r="AN27" s="123" t="s">
        <v>264</v>
      </c>
    </row>
    <row r="28" ht="13.5">
      <c r="AN28" s="123" t="s">
        <v>269</v>
      </c>
    </row>
  </sheetData>
  <sheetProtection/>
  <mergeCells count="28">
    <mergeCell ref="C3:AO3"/>
    <mergeCell ref="C5:AO5"/>
    <mergeCell ref="C6:AN6"/>
    <mergeCell ref="C7:AN7"/>
    <mergeCell ref="AG16:AM16"/>
    <mergeCell ref="AG21:AM21"/>
    <mergeCell ref="D15:H15"/>
    <mergeCell ref="C12:G12"/>
    <mergeCell ref="AK24:AL24"/>
    <mergeCell ref="AG12:AM12"/>
    <mergeCell ref="J17:AF17"/>
    <mergeCell ref="AG18:AM18"/>
    <mergeCell ref="I12:AF12"/>
    <mergeCell ref="C8:AO8"/>
    <mergeCell ref="X23:AB23"/>
    <mergeCell ref="AK22:AL22"/>
    <mergeCell ref="AK23:AL23"/>
    <mergeCell ref="D17:H17"/>
    <mergeCell ref="AU3:AV4"/>
    <mergeCell ref="D16:H16"/>
    <mergeCell ref="J16:AF16"/>
    <mergeCell ref="AG14:AM14"/>
    <mergeCell ref="AG17:AM17"/>
    <mergeCell ref="D18:H18"/>
    <mergeCell ref="J18:AF18"/>
    <mergeCell ref="AG15:AM15"/>
    <mergeCell ref="C9:AN9"/>
    <mergeCell ref="J15:AF15"/>
  </mergeCells>
  <printOptions/>
  <pageMargins left="0.7086614173228347" right="0.7086614173228347" top="0.7480314960629921" bottom="0.7480314960629921" header="0.31496062992125984" footer="0.31496062992125984"/>
  <pageSetup blackAndWhite="1" errors="blank" fitToHeight="3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54"/>
  <sheetViews>
    <sheetView showGridLines="0" zoomScaleSheetLayoutView="90" zoomScalePageLayoutView="0" workbookViewId="0" topLeftCell="C1">
      <pane ySplit="1" topLeftCell="A2" activePane="bottomLeft" state="frozen"/>
      <selection pane="topLeft" activeCell="A1" sqref="A1"/>
      <selection pane="bottomLeft" activeCell="C3" sqref="C3:AN3"/>
    </sheetView>
  </sheetViews>
  <sheetFormatPr defaultColWidth="9.33203125" defaultRowHeight="13.5"/>
  <cols>
    <col min="1" max="1" width="8.33203125" style="0" hidden="1" customWidth="1"/>
    <col min="2" max="2" width="1.66796875" style="0" hidden="1" customWidth="1"/>
    <col min="3" max="3" width="4.6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6.83203125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9" style="0" bestFit="1" customWidth="1"/>
    <col min="19" max="19" width="10.33203125" style="0" customWidth="1"/>
    <col min="20" max="20" width="1.66796875" style="0" hidden="1" customWidth="1"/>
    <col min="21" max="21" width="8.16015625" style="0" hidden="1" customWidth="1"/>
    <col min="22" max="22" width="29.66015625" style="0" hidden="1" customWidth="1"/>
    <col min="23" max="23" width="16.33203125" style="0" hidden="1" customWidth="1"/>
    <col min="24" max="24" width="12.33203125" style="0" hidden="1" customWidth="1"/>
    <col min="25" max="25" width="16.33203125" style="0" hidden="1" customWidth="1"/>
    <col min="26" max="26" width="12.16015625" style="0" hidden="1" customWidth="1"/>
    <col min="27" max="27" width="15" style="0" hidden="1" customWidth="1"/>
    <col min="28" max="28" width="11" style="0" hidden="1" customWidth="1"/>
    <col min="29" max="29" width="15" style="0" hidden="1" customWidth="1"/>
    <col min="30" max="30" width="16.33203125" style="0" hidden="1" customWidth="1"/>
    <col min="31" max="31" width="11" style="0" customWidth="1"/>
    <col min="32" max="32" width="15" style="0" customWidth="1"/>
    <col min="33" max="33" width="16.33203125" style="0" customWidth="1"/>
    <col min="46" max="66" width="9.33203125" style="0" customWidth="1"/>
  </cols>
  <sheetData>
    <row r="1" spans="2:35" s="1" customFormat="1" ht="36.75" customHeight="1">
      <c r="B1" s="9"/>
      <c r="C1" s="216" t="s">
        <v>159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</row>
    <row r="2" spans="2:34" s="1" customFormat="1" ht="16.5">
      <c r="B2" s="9"/>
      <c r="C2" s="195" t="s">
        <v>160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</row>
    <row r="3" spans="2:40" s="1" customFormat="1" ht="16.5">
      <c r="B3" s="9"/>
      <c r="C3" s="187" t="s">
        <v>274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2:35" s="1" customFormat="1" ht="16.5">
      <c r="B4" s="9"/>
      <c r="C4" s="187" t="s">
        <v>161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2:34" s="1" customFormat="1" ht="16.5">
      <c r="B5" s="9"/>
      <c r="C5" s="73" t="s">
        <v>266</v>
      </c>
      <c r="D5" s="73"/>
      <c r="E5" s="73"/>
      <c r="F5" s="145"/>
      <c r="G5" s="73"/>
      <c r="H5" s="73"/>
      <c r="I5" s="73"/>
      <c r="J5" s="73"/>
      <c r="K5" s="73"/>
      <c r="L5" s="73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2:33" s="1" customFormat="1" ht="36" customHeight="1">
      <c r="B6" s="9"/>
      <c r="C6" s="223" t="s">
        <v>267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AC6" s="70"/>
      <c r="AG6" s="2"/>
    </row>
    <row r="7" spans="2:20" s="1" customFormat="1" ht="9.75" customHeight="1">
      <c r="B7" s="9"/>
      <c r="T7" s="10"/>
    </row>
    <row r="8" spans="2:29" s="5" customFormat="1" ht="50.25" customHeight="1">
      <c r="B8" s="36"/>
      <c r="C8" s="141" t="s">
        <v>46</v>
      </c>
      <c r="D8" s="142" t="s">
        <v>47</v>
      </c>
      <c r="E8" s="142" t="s">
        <v>5</v>
      </c>
      <c r="F8" s="217" t="s">
        <v>48</v>
      </c>
      <c r="G8" s="218"/>
      <c r="H8" s="218"/>
      <c r="I8" s="218"/>
      <c r="J8" s="142" t="s">
        <v>49</v>
      </c>
      <c r="K8" s="142" t="s">
        <v>50</v>
      </c>
      <c r="L8" s="219" t="s">
        <v>51</v>
      </c>
      <c r="M8" s="218"/>
      <c r="N8" s="217" t="s">
        <v>271</v>
      </c>
      <c r="O8" s="218"/>
      <c r="P8" s="218"/>
      <c r="Q8" s="218"/>
      <c r="R8" s="142" t="s">
        <v>272</v>
      </c>
      <c r="S8" s="144" t="s">
        <v>154</v>
      </c>
      <c r="T8" s="37"/>
      <c r="V8" s="17" t="s">
        <v>52</v>
      </c>
      <c r="W8" s="18" t="s">
        <v>2</v>
      </c>
      <c r="X8" s="18" t="s">
        <v>53</v>
      </c>
      <c r="Y8" s="18" t="s">
        <v>54</v>
      </c>
      <c r="Z8" s="18" t="s">
        <v>55</v>
      </c>
      <c r="AA8" s="18" t="s">
        <v>56</v>
      </c>
      <c r="AB8" s="18" t="s">
        <v>57</v>
      </c>
      <c r="AC8" s="19" t="s">
        <v>58</v>
      </c>
    </row>
    <row r="9" spans="2:65" s="1" customFormat="1" ht="29.25" customHeight="1">
      <c r="B9" s="9"/>
      <c r="C9" s="110" t="s">
        <v>37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97">
        <f>N10+N37</f>
        <v>0</v>
      </c>
      <c r="O9" s="198"/>
      <c r="P9" s="198"/>
      <c r="Q9" s="198"/>
      <c r="R9" s="197">
        <f>R10+R37</f>
        <v>0</v>
      </c>
      <c r="S9" s="198"/>
      <c r="T9" s="198"/>
      <c r="U9" s="198"/>
      <c r="V9" s="20"/>
      <c r="W9" s="12"/>
      <c r="X9" s="12"/>
      <c r="Y9" s="38" t="e">
        <f>Y10+#REF!+#REF!</f>
        <v>#REF!</v>
      </c>
      <c r="Z9" s="12"/>
      <c r="AA9" s="38" t="e">
        <f>AA10+#REF!+#REF!</f>
        <v>#REF!</v>
      </c>
      <c r="AB9" s="12"/>
      <c r="AC9" s="39" t="e">
        <f>AC10+#REF!+#REF!</f>
        <v>#REF!</v>
      </c>
      <c r="AV9" s="7" t="s">
        <v>22</v>
      </c>
      <c r="AW9" s="7" t="s">
        <v>38</v>
      </c>
      <c r="BM9" s="40" t="e">
        <f>BM10+#REF!+#REF!</f>
        <v>#REF!</v>
      </c>
    </row>
    <row r="10" spans="2:65" s="6" customFormat="1" ht="36.75" customHeight="1">
      <c r="B10" s="41"/>
      <c r="C10" s="112"/>
      <c r="D10" s="113" t="s">
        <v>39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99">
        <f>ROUND(N11+N17+N21+N26,2)</f>
        <v>0</v>
      </c>
      <c r="O10" s="200"/>
      <c r="P10" s="200"/>
      <c r="Q10" s="200"/>
      <c r="R10" s="199">
        <f>ROUND(R11+R17+R21+R26,2)</f>
        <v>0</v>
      </c>
      <c r="S10" s="200"/>
      <c r="T10" s="200"/>
      <c r="U10" s="200"/>
      <c r="V10" s="44"/>
      <c r="W10" s="42"/>
      <c r="X10" s="42"/>
      <c r="Y10" s="45" t="e">
        <f>Y11+Y17+Y19+Y26+Y28+Y48+#REF!</f>
        <v>#REF!</v>
      </c>
      <c r="Z10" s="42"/>
      <c r="AA10" s="45" t="e">
        <f>AA11+AA17+AA19+AA26+AA28+AA48+#REF!</f>
        <v>#REF!</v>
      </c>
      <c r="AB10" s="42"/>
      <c r="AC10" s="46" t="e">
        <f>AC11+AC17+AC19+AC26+AC28+AC48+#REF!</f>
        <v>#REF!</v>
      </c>
      <c r="AT10" s="47" t="s">
        <v>29</v>
      </c>
      <c r="AV10" s="48" t="s">
        <v>22</v>
      </c>
      <c r="AW10" s="48" t="s">
        <v>23</v>
      </c>
      <c r="BA10" s="47" t="s">
        <v>59</v>
      </c>
      <c r="BM10" s="49" t="e">
        <f>BM11+BM17+BM19+BM26+BM28+BM48+#REF!</f>
        <v>#REF!</v>
      </c>
    </row>
    <row r="11" spans="2:65" s="6" customFormat="1" ht="19.5" customHeight="1">
      <c r="B11" s="41"/>
      <c r="C11" s="112"/>
      <c r="D11" s="114" t="s">
        <v>40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201">
        <f>ROUND(SUM(N12:Q16),2)</f>
        <v>0</v>
      </c>
      <c r="O11" s="202"/>
      <c r="P11" s="202"/>
      <c r="Q11" s="202"/>
      <c r="R11" s="201">
        <f>ROUND(SUM(R12:U16),2)</f>
        <v>0</v>
      </c>
      <c r="S11" s="202"/>
      <c r="T11" s="202"/>
      <c r="U11" s="202"/>
      <c r="V11" s="44"/>
      <c r="W11" s="42"/>
      <c r="X11" s="42"/>
      <c r="Y11" s="45">
        <f>SUM(Y12:Y16)</f>
        <v>27.173455</v>
      </c>
      <c r="Z11" s="42"/>
      <c r="AA11" s="45">
        <f>SUM(AA12:AA16)</f>
        <v>0</v>
      </c>
      <c r="AB11" s="42"/>
      <c r="AC11" s="46">
        <f>SUM(AC12:AC16)</f>
        <v>0</v>
      </c>
      <c r="AT11" s="47" t="s">
        <v>29</v>
      </c>
      <c r="AV11" s="48" t="s">
        <v>22</v>
      </c>
      <c r="AW11" s="48" t="s">
        <v>29</v>
      </c>
      <c r="BA11" s="47" t="s">
        <v>59</v>
      </c>
      <c r="BM11" s="49">
        <f>SUM(BM12:BM16)</f>
        <v>0</v>
      </c>
    </row>
    <row r="12" spans="2:67" s="1" customFormat="1" ht="22.5" customHeight="1">
      <c r="B12" s="50"/>
      <c r="C12" s="56" t="s">
        <v>29</v>
      </c>
      <c r="D12" s="56" t="s">
        <v>60</v>
      </c>
      <c r="E12" s="57" t="s">
        <v>164</v>
      </c>
      <c r="F12" s="209" t="s">
        <v>165</v>
      </c>
      <c r="G12" s="204"/>
      <c r="H12" s="204"/>
      <c r="I12" s="204"/>
      <c r="J12" s="58" t="s">
        <v>61</v>
      </c>
      <c r="K12" s="59">
        <v>8.005</v>
      </c>
      <c r="L12" s="203"/>
      <c r="M12" s="204"/>
      <c r="N12" s="203">
        <f>ROUND(K12*L12,2)</f>
        <v>0</v>
      </c>
      <c r="O12" s="204"/>
      <c r="P12" s="204"/>
      <c r="Q12" s="204"/>
      <c r="R12" s="179">
        <f>ROUND((N12*1.2),2)</f>
        <v>0</v>
      </c>
      <c r="S12" s="58" t="s">
        <v>158</v>
      </c>
      <c r="T12" s="51"/>
      <c r="V12" s="52" t="s">
        <v>0</v>
      </c>
      <c r="W12" s="11" t="s">
        <v>3</v>
      </c>
      <c r="X12" s="53">
        <v>2.221</v>
      </c>
      <c r="Y12" s="53">
        <f>X12*K12</f>
        <v>17.779105</v>
      </c>
      <c r="Z12" s="53">
        <v>0</v>
      </c>
      <c r="AA12" s="53">
        <f>Z12*K12</f>
        <v>0</v>
      </c>
      <c r="AB12" s="53">
        <v>0</v>
      </c>
      <c r="AC12" s="54">
        <f>AB12*K12</f>
        <v>0</v>
      </c>
      <c r="AT12" s="7" t="s">
        <v>62</v>
      </c>
      <c r="AV12" s="7" t="s">
        <v>60</v>
      </c>
      <c r="AW12" s="7" t="s">
        <v>63</v>
      </c>
      <c r="BA12" s="7" t="s">
        <v>59</v>
      </c>
      <c r="BG12" s="55">
        <f>IF(W12="základná",N12,0)</f>
        <v>0</v>
      </c>
      <c r="BH12" s="55">
        <f>IF(W12="znížená",N12,0)</f>
        <v>0</v>
      </c>
      <c r="BI12" s="55">
        <f>IF(W12="zákl. prenesená",N12,0)</f>
        <v>0</v>
      </c>
      <c r="BJ12" s="55">
        <f>IF(W12="zníž. prenesená",N12,0)</f>
        <v>0</v>
      </c>
      <c r="BK12" s="55">
        <f>IF(W12="nulová",N12,0)</f>
        <v>0</v>
      </c>
      <c r="BL12" s="7" t="s">
        <v>63</v>
      </c>
      <c r="BM12" s="55">
        <f>ROUND(L12*K12,2)</f>
        <v>0</v>
      </c>
      <c r="BN12" s="7" t="s">
        <v>62</v>
      </c>
      <c r="BO12" s="7" t="s">
        <v>64</v>
      </c>
    </row>
    <row r="13" spans="2:67" s="1" customFormat="1" ht="44.25" customHeight="1">
      <c r="B13" s="50"/>
      <c r="C13" s="56" t="s">
        <v>63</v>
      </c>
      <c r="D13" s="56" t="s">
        <v>60</v>
      </c>
      <c r="E13" s="57" t="s">
        <v>166</v>
      </c>
      <c r="F13" s="209" t="s">
        <v>167</v>
      </c>
      <c r="G13" s="204"/>
      <c r="H13" s="204"/>
      <c r="I13" s="204"/>
      <c r="J13" s="58" t="s">
        <v>61</v>
      </c>
      <c r="K13" s="59">
        <v>8.625</v>
      </c>
      <c r="L13" s="203"/>
      <c r="M13" s="204"/>
      <c r="N13" s="203">
        <f>ROUND(K13*L13,2)</f>
        <v>0</v>
      </c>
      <c r="O13" s="204"/>
      <c r="P13" s="204"/>
      <c r="Q13" s="204"/>
      <c r="R13" s="179">
        <f aca="true" t="shared" si="0" ref="R13:R36">ROUND((N13*1.2),2)</f>
        <v>0</v>
      </c>
      <c r="S13" s="58" t="s">
        <v>158</v>
      </c>
      <c r="T13" s="51"/>
      <c r="V13" s="52" t="s">
        <v>0</v>
      </c>
      <c r="W13" s="11" t="s">
        <v>3</v>
      </c>
      <c r="X13" s="53">
        <v>0.231</v>
      </c>
      <c r="Y13" s="53">
        <f>X13*K13</f>
        <v>1.992375</v>
      </c>
      <c r="Z13" s="53">
        <v>0</v>
      </c>
      <c r="AA13" s="53">
        <f>Z13*K13</f>
        <v>0</v>
      </c>
      <c r="AB13" s="53">
        <v>0</v>
      </c>
      <c r="AC13" s="54">
        <f>AB13*K13</f>
        <v>0</v>
      </c>
      <c r="AT13" s="7" t="s">
        <v>62</v>
      </c>
      <c r="AV13" s="7" t="s">
        <v>60</v>
      </c>
      <c r="AW13" s="7" t="s">
        <v>63</v>
      </c>
      <c r="BA13" s="7" t="s">
        <v>59</v>
      </c>
      <c r="BG13" s="55">
        <f>IF(W13="základná",N13,0)</f>
        <v>0</v>
      </c>
      <c r="BH13" s="55">
        <f>IF(W13="znížená",N13,0)</f>
        <v>0</v>
      </c>
      <c r="BI13" s="55">
        <f>IF(W13="zákl. prenesená",N13,0)</f>
        <v>0</v>
      </c>
      <c r="BJ13" s="55">
        <f>IF(W13="zníž. prenesená",N13,0)</f>
        <v>0</v>
      </c>
      <c r="BK13" s="55">
        <f>IF(W13="nulová",N13,0)</f>
        <v>0</v>
      </c>
      <c r="BL13" s="7" t="s">
        <v>63</v>
      </c>
      <c r="BM13" s="55">
        <f>ROUND(L13*K13,2)</f>
        <v>0</v>
      </c>
      <c r="BN13" s="7" t="s">
        <v>62</v>
      </c>
      <c r="BO13" s="7" t="s">
        <v>65</v>
      </c>
    </row>
    <row r="14" spans="2:67" s="1" customFormat="1" ht="44.25" customHeight="1">
      <c r="B14" s="50"/>
      <c r="C14" s="56" t="s">
        <v>66</v>
      </c>
      <c r="D14" s="56" t="s">
        <v>60</v>
      </c>
      <c r="E14" s="57" t="s">
        <v>168</v>
      </c>
      <c r="F14" s="209" t="s">
        <v>169</v>
      </c>
      <c r="G14" s="204"/>
      <c r="H14" s="204"/>
      <c r="I14" s="204"/>
      <c r="J14" s="58" t="s">
        <v>61</v>
      </c>
      <c r="K14" s="59">
        <v>129.375</v>
      </c>
      <c r="L14" s="203"/>
      <c r="M14" s="204"/>
      <c r="N14" s="203">
        <f>ROUND(K14*L14,2)</f>
        <v>0</v>
      </c>
      <c r="O14" s="204"/>
      <c r="P14" s="204"/>
      <c r="Q14" s="204"/>
      <c r="R14" s="179">
        <f t="shared" si="0"/>
        <v>0</v>
      </c>
      <c r="S14" s="58" t="s">
        <v>158</v>
      </c>
      <c r="T14" s="51"/>
      <c r="V14" s="52" t="s">
        <v>0</v>
      </c>
      <c r="W14" s="11" t="s">
        <v>3</v>
      </c>
      <c r="X14" s="53">
        <v>0.015</v>
      </c>
      <c r="Y14" s="53">
        <f>X14*K14</f>
        <v>1.9406249999999998</v>
      </c>
      <c r="Z14" s="53">
        <v>0</v>
      </c>
      <c r="AA14" s="53">
        <f>Z14*K14</f>
        <v>0</v>
      </c>
      <c r="AB14" s="53">
        <v>0</v>
      </c>
      <c r="AC14" s="54">
        <f>AB14*K14</f>
        <v>0</v>
      </c>
      <c r="AT14" s="7" t="s">
        <v>62</v>
      </c>
      <c r="AV14" s="7" t="s">
        <v>60</v>
      </c>
      <c r="AW14" s="7" t="s">
        <v>63</v>
      </c>
      <c r="BA14" s="7" t="s">
        <v>59</v>
      </c>
      <c r="BG14" s="55">
        <f>IF(W14="základná",N14,0)</f>
        <v>0</v>
      </c>
      <c r="BH14" s="55">
        <f>IF(W14="znížená",N14,0)</f>
        <v>0</v>
      </c>
      <c r="BI14" s="55">
        <f>IF(W14="zákl. prenesená",N14,0)</f>
        <v>0</v>
      </c>
      <c r="BJ14" s="55">
        <f>IF(W14="zníž. prenesená",N14,0)</f>
        <v>0</v>
      </c>
      <c r="BK14" s="55">
        <f>IF(W14="nulová",N14,0)</f>
        <v>0</v>
      </c>
      <c r="BL14" s="7" t="s">
        <v>63</v>
      </c>
      <c r="BM14" s="55">
        <f>ROUND(L14*K14,2)</f>
        <v>0</v>
      </c>
      <c r="BN14" s="7" t="s">
        <v>62</v>
      </c>
      <c r="BO14" s="7" t="s">
        <v>67</v>
      </c>
    </row>
    <row r="15" spans="2:67" s="1" customFormat="1" ht="31.5" customHeight="1">
      <c r="B15" s="50"/>
      <c r="C15" s="56" t="s">
        <v>62</v>
      </c>
      <c r="D15" s="56" t="s">
        <v>60</v>
      </c>
      <c r="E15" s="57" t="s">
        <v>170</v>
      </c>
      <c r="F15" s="209" t="s">
        <v>171</v>
      </c>
      <c r="G15" s="204"/>
      <c r="H15" s="204"/>
      <c r="I15" s="204"/>
      <c r="J15" s="58" t="s">
        <v>61</v>
      </c>
      <c r="K15" s="59">
        <v>8.625</v>
      </c>
      <c r="L15" s="203"/>
      <c r="M15" s="204"/>
      <c r="N15" s="203">
        <f>ROUND(K15*L15,2)</f>
        <v>0</v>
      </c>
      <c r="O15" s="204"/>
      <c r="P15" s="204"/>
      <c r="Q15" s="204"/>
      <c r="R15" s="179">
        <f t="shared" si="0"/>
        <v>0</v>
      </c>
      <c r="S15" s="58" t="s">
        <v>158</v>
      </c>
      <c r="T15" s="51"/>
      <c r="V15" s="52" t="s">
        <v>0</v>
      </c>
      <c r="W15" s="11" t="s">
        <v>3</v>
      </c>
      <c r="X15" s="53">
        <v>0.617</v>
      </c>
      <c r="Y15" s="53">
        <f>X15*K15</f>
        <v>5.321625</v>
      </c>
      <c r="Z15" s="53">
        <v>0</v>
      </c>
      <c r="AA15" s="53">
        <f>Z15*K15</f>
        <v>0</v>
      </c>
      <c r="AB15" s="53">
        <v>0</v>
      </c>
      <c r="AC15" s="54">
        <f>AB15*K15</f>
        <v>0</v>
      </c>
      <c r="AT15" s="7" t="s">
        <v>62</v>
      </c>
      <c r="AV15" s="7" t="s">
        <v>60</v>
      </c>
      <c r="AW15" s="7" t="s">
        <v>63</v>
      </c>
      <c r="BA15" s="7" t="s">
        <v>59</v>
      </c>
      <c r="BG15" s="55">
        <f>IF(W15="základná",N15,0)</f>
        <v>0</v>
      </c>
      <c r="BH15" s="55">
        <f>IF(W15="znížená",N15,0)</f>
        <v>0</v>
      </c>
      <c r="BI15" s="55">
        <f>IF(W15="zákl. prenesená",N15,0)</f>
        <v>0</v>
      </c>
      <c r="BJ15" s="55">
        <f>IF(W15="zníž. prenesená",N15,0)</f>
        <v>0</v>
      </c>
      <c r="BK15" s="55">
        <f>IF(W15="nulová",N15,0)</f>
        <v>0</v>
      </c>
      <c r="BL15" s="7" t="s">
        <v>63</v>
      </c>
      <c r="BM15" s="55">
        <f>ROUND(L15*K15,2)</f>
        <v>0</v>
      </c>
      <c r="BN15" s="7" t="s">
        <v>62</v>
      </c>
      <c r="BO15" s="7" t="s">
        <v>68</v>
      </c>
    </row>
    <row r="16" spans="2:67" s="1" customFormat="1" ht="24" customHeight="1">
      <c r="B16" s="50"/>
      <c r="C16" s="56" t="s">
        <v>69</v>
      </c>
      <c r="D16" s="56" t="s">
        <v>60</v>
      </c>
      <c r="E16" s="57" t="s">
        <v>72</v>
      </c>
      <c r="F16" s="209" t="s">
        <v>73</v>
      </c>
      <c r="G16" s="204"/>
      <c r="H16" s="204"/>
      <c r="I16" s="204"/>
      <c r="J16" s="58" t="s">
        <v>74</v>
      </c>
      <c r="K16" s="59">
        <v>15.525</v>
      </c>
      <c r="L16" s="203"/>
      <c r="M16" s="204"/>
      <c r="N16" s="203">
        <f>ROUND(K16*L16,2)</f>
        <v>0</v>
      </c>
      <c r="O16" s="204"/>
      <c r="P16" s="204"/>
      <c r="Q16" s="204"/>
      <c r="R16" s="179">
        <f t="shared" si="0"/>
        <v>0</v>
      </c>
      <c r="S16" s="58" t="s">
        <v>158</v>
      </c>
      <c r="T16" s="51"/>
      <c r="V16" s="52" t="s">
        <v>0</v>
      </c>
      <c r="W16" s="11" t="s">
        <v>3</v>
      </c>
      <c r="X16" s="53">
        <v>0.009</v>
      </c>
      <c r="Y16" s="53">
        <f>X16*K16</f>
        <v>0.139725</v>
      </c>
      <c r="Z16" s="53">
        <v>0</v>
      </c>
      <c r="AA16" s="53">
        <f>Z16*K16</f>
        <v>0</v>
      </c>
      <c r="AB16" s="53">
        <v>0</v>
      </c>
      <c r="AC16" s="54">
        <f>AB16*K16</f>
        <v>0</v>
      </c>
      <c r="AT16" s="7" t="s">
        <v>62</v>
      </c>
      <c r="AV16" s="7" t="s">
        <v>60</v>
      </c>
      <c r="AW16" s="7" t="s">
        <v>63</v>
      </c>
      <c r="BA16" s="7" t="s">
        <v>59</v>
      </c>
      <c r="BG16" s="55">
        <f>IF(W16="základná",N16,0)</f>
        <v>0</v>
      </c>
      <c r="BH16" s="55">
        <f>IF(W16="znížená",N16,0)</f>
        <v>0</v>
      </c>
      <c r="BI16" s="55">
        <f>IF(W16="zákl. prenesená",N16,0)</f>
        <v>0</v>
      </c>
      <c r="BJ16" s="55">
        <f>IF(W16="zníž. prenesená",N16,0)</f>
        <v>0</v>
      </c>
      <c r="BK16" s="55">
        <f>IF(W16="nulová",N16,0)</f>
        <v>0</v>
      </c>
      <c r="BL16" s="7" t="s">
        <v>63</v>
      </c>
      <c r="BM16" s="55">
        <f>ROUND(L16*K16,2)</f>
        <v>0</v>
      </c>
      <c r="BN16" s="7" t="s">
        <v>62</v>
      </c>
      <c r="BO16" s="7" t="s">
        <v>70</v>
      </c>
    </row>
    <row r="17" spans="2:65" s="6" customFormat="1" ht="29.25" customHeight="1">
      <c r="B17" s="41"/>
      <c r="C17" s="112"/>
      <c r="D17" s="114" t="s">
        <v>41</v>
      </c>
      <c r="E17" s="114"/>
      <c r="F17" s="114"/>
      <c r="G17" s="114"/>
      <c r="H17" s="114"/>
      <c r="I17" s="114"/>
      <c r="J17" s="114"/>
      <c r="K17" s="114"/>
      <c r="L17" s="114"/>
      <c r="M17" s="114"/>
      <c r="N17" s="210">
        <f>ROUND(SUM(N18:Q20),2)</f>
        <v>0</v>
      </c>
      <c r="O17" s="211"/>
      <c r="P17" s="211"/>
      <c r="Q17" s="211"/>
      <c r="R17" s="179"/>
      <c r="S17" s="102"/>
      <c r="T17" s="43"/>
      <c r="V17" s="44"/>
      <c r="W17" s="42"/>
      <c r="X17" s="42"/>
      <c r="Y17" s="45">
        <f>Y18</f>
        <v>2.11246</v>
      </c>
      <c r="Z17" s="42"/>
      <c r="AA17" s="45">
        <f>AA18</f>
        <v>7.74165</v>
      </c>
      <c r="AB17" s="42"/>
      <c r="AC17" s="46">
        <f>AC18</f>
        <v>0</v>
      </c>
      <c r="AT17" s="47" t="s">
        <v>29</v>
      </c>
      <c r="AV17" s="48" t="s">
        <v>22</v>
      </c>
      <c r="AW17" s="48" t="s">
        <v>29</v>
      </c>
      <c r="BA17" s="47" t="s">
        <v>59</v>
      </c>
      <c r="BM17" s="49">
        <f>BM18</f>
        <v>0</v>
      </c>
    </row>
    <row r="18" spans="2:67" s="1" customFormat="1" ht="31.5" customHeight="1">
      <c r="B18" s="50"/>
      <c r="C18" s="56" t="s">
        <v>71</v>
      </c>
      <c r="D18" s="56" t="s">
        <v>60</v>
      </c>
      <c r="E18" s="57" t="s">
        <v>172</v>
      </c>
      <c r="F18" s="209" t="s">
        <v>173</v>
      </c>
      <c r="G18" s="204"/>
      <c r="H18" s="204"/>
      <c r="I18" s="204"/>
      <c r="J18" s="58" t="s">
        <v>61</v>
      </c>
      <c r="K18" s="59">
        <v>3.5</v>
      </c>
      <c r="L18" s="203"/>
      <c r="M18" s="204"/>
      <c r="N18" s="203">
        <f>ROUND(K18*L18,2)</f>
        <v>0</v>
      </c>
      <c r="O18" s="204"/>
      <c r="P18" s="204"/>
      <c r="Q18" s="204"/>
      <c r="R18" s="179">
        <f t="shared" si="0"/>
        <v>0</v>
      </c>
      <c r="S18" s="58" t="s">
        <v>158</v>
      </c>
      <c r="T18" s="51"/>
      <c r="V18" s="52" t="s">
        <v>0</v>
      </c>
      <c r="W18" s="11" t="s">
        <v>3</v>
      </c>
      <c r="X18" s="53">
        <v>0.60356</v>
      </c>
      <c r="Y18" s="53">
        <f>X18*K18</f>
        <v>2.11246</v>
      </c>
      <c r="Z18" s="53">
        <v>2.2119</v>
      </c>
      <c r="AA18" s="53">
        <f>Z18*K18</f>
        <v>7.74165</v>
      </c>
      <c r="AB18" s="53">
        <v>0</v>
      </c>
      <c r="AC18" s="54">
        <f>AB18*K18</f>
        <v>0</v>
      </c>
      <c r="AT18" s="7" t="s">
        <v>62</v>
      </c>
      <c r="AV18" s="7" t="s">
        <v>60</v>
      </c>
      <c r="AW18" s="7" t="s">
        <v>63</v>
      </c>
      <c r="BA18" s="7" t="s">
        <v>59</v>
      </c>
      <c r="BG18" s="55">
        <f>IF(W18="základná",N18,0)</f>
        <v>0</v>
      </c>
      <c r="BH18" s="55">
        <f>IF(W18="znížená",N18,0)</f>
        <v>0</v>
      </c>
      <c r="BI18" s="55">
        <f>IF(W18="zákl. prenesená",N18,0)</f>
        <v>0</v>
      </c>
      <c r="BJ18" s="55">
        <f>IF(W18="zníž. prenesená",N18,0)</f>
        <v>0</v>
      </c>
      <c r="BK18" s="55">
        <f>IF(W18="nulová",N18,0)</f>
        <v>0</v>
      </c>
      <c r="BL18" s="7" t="s">
        <v>63</v>
      </c>
      <c r="BM18" s="55">
        <f>ROUND(L18*K18,2)</f>
        <v>0</v>
      </c>
      <c r="BN18" s="7" t="s">
        <v>62</v>
      </c>
      <c r="BO18" s="7" t="s">
        <v>81</v>
      </c>
    </row>
    <row r="19" spans="2:65" s="6" customFormat="1" ht="29.25" customHeight="1">
      <c r="B19" s="41"/>
      <c r="C19" s="56" t="s">
        <v>75</v>
      </c>
      <c r="D19" s="56" t="s">
        <v>60</v>
      </c>
      <c r="E19" s="57" t="s">
        <v>174</v>
      </c>
      <c r="F19" s="209" t="s">
        <v>175</v>
      </c>
      <c r="G19" s="204"/>
      <c r="H19" s="204"/>
      <c r="I19" s="204"/>
      <c r="J19" s="58" t="s">
        <v>91</v>
      </c>
      <c r="K19" s="59">
        <v>40.72</v>
      </c>
      <c r="L19" s="203"/>
      <c r="M19" s="204"/>
      <c r="N19" s="203">
        <f>ROUND(K19*L19,2)</f>
        <v>0</v>
      </c>
      <c r="O19" s="204"/>
      <c r="P19" s="204"/>
      <c r="Q19" s="204"/>
      <c r="R19" s="179">
        <f t="shared" si="0"/>
        <v>0</v>
      </c>
      <c r="S19" s="58" t="s">
        <v>254</v>
      </c>
      <c r="T19" s="43"/>
      <c r="V19" s="44"/>
      <c r="W19" s="42"/>
      <c r="X19" s="42"/>
      <c r="Y19" s="45">
        <f>SUM(Y20:Y25)</f>
        <v>39.02473984</v>
      </c>
      <c r="Z19" s="42"/>
      <c r="AA19" s="45">
        <f>SUM(AA20:AA25)</f>
        <v>7.38897856</v>
      </c>
      <c r="AB19" s="42"/>
      <c r="AC19" s="46">
        <f>SUM(AC20:AC25)</f>
        <v>0</v>
      </c>
      <c r="AT19" s="47" t="s">
        <v>29</v>
      </c>
      <c r="AV19" s="48" t="s">
        <v>22</v>
      </c>
      <c r="AW19" s="48" t="s">
        <v>29</v>
      </c>
      <c r="BA19" s="47" t="s">
        <v>59</v>
      </c>
      <c r="BM19" s="49">
        <f>SUM(BM20:BM25)</f>
        <v>0</v>
      </c>
    </row>
    <row r="20" spans="2:67" s="1" customFormat="1" ht="44.25" customHeight="1">
      <c r="B20" s="50"/>
      <c r="C20" s="56" t="s">
        <v>78</v>
      </c>
      <c r="D20" s="56" t="s">
        <v>60</v>
      </c>
      <c r="E20" s="57" t="s">
        <v>176</v>
      </c>
      <c r="F20" s="209" t="s">
        <v>177</v>
      </c>
      <c r="G20" s="204"/>
      <c r="H20" s="204"/>
      <c r="I20" s="204"/>
      <c r="J20" s="58" t="s">
        <v>61</v>
      </c>
      <c r="K20" s="59">
        <v>0.288</v>
      </c>
      <c r="L20" s="203"/>
      <c r="M20" s="204"/>
      <c r="N20" s="203">
        <f>ROUND(K20*L20,2)</f>
        <v>0</v>
      </c>
      <c r="O20" s="204"/>
      <c r="P20" s="204"/>
      <c r="Q20" s="204"/>
      <c r="R20" s="179">
        <f t="shared" si="0"/>
        <v>0</v>
      </c>
      <c r="S20" s="58" t="s">
        <v>158</v>
      </c>
      <c r="T20" s="51"/>
      <c r="V20" s="52" t="s">
        <v>0</v>
      </c>
      <c r="W20" s="11" t="s">
        <v>3</v>
      </c>
      <c r="X20" s="53">
        <v>4.18618</v>
      </c>
      <c r="Y20" s="53">
        <f aca="true" t="shared" si="1" ref="Y20:Y25">X20*K20</f>
        <v>1.20561984</v>
      </c>
      <c r="Z20" s="53">
        <v>1.87187</v>
      </c>
      <c r="AA20" s="53">
        <f aca="true" t="shared" si="2" ref="AA20:AA25">Z20*K20</f>
        <v>0.5390985599999999</v>
      </c>
      <c r="AB20" s="53">
        <v>0</v>
      </c>
      <c r="AC20" s="54">
        <f aca="true" t="shared" si="3" ref="AC20:AC25">AB20*K20</f>
        <v>0</v>
      </c>
      <c r="AT20" s="7" t="s">
        <v>62</v>
      </c>
      <c r="AV20" s="7" t="s">
        <v>60</v>
      </c>
      <c r="AW20" s="7" t="s">
        <v>63</v>
      </c>
      <c r="BA20" s="7" t="s">
        <v>59</v>
      </c>
      <c r="BG20" s="55">
        <f aca="true" t="shared" si="4" ref="BG20:BG25">IF(W20="základná",N20,0)</f>
        <v>0</v>
      </c>
      <c r="BH20" s="55">
        <f aca="true" t="shared" si="5" ref="BH20:BH25">IF(W20="znížená",N20,0)</f>
        <v>0</v>
      </c>
      <c r="BI20" s="55">
        <f aca="true" t="shared" si="6" ref="BI20:BI25">IF(W20="zákl. prenesená",N20,0)</f>
        <v>0</v>
      </c>
      <c r="BJ20" s="55">
        <f aca="true" t="shared" si="7" ref="BJ20:BJ25">IF(W20="zníž. prenesená",N20,0)</f>
        <v>0</v>
      </c>
      <c r="BK20" s="55">
        <f aca="true" t="shared" si="8" ref="BK20:BK25">IF(W20="nulová",N20,0)</f>
        <v>0</v>
      </c>
      <c r="BL20" s="7" t="s">
        <v>63</v>
      </c>
      <c r="BM20" s="55">
        <f aca="true" t="shared" si="9" ref="BM20:BM25">ROUND(L20*K20,2)</f>
        <v>0</v>
      </c>
      <c r="BN20" s="7" t="s">
        <v>62</v>
      </c>
      <c r="BO20" s="7" t="s">
        <v>83</v>
      </c>
    </row>
    <row r="21" spans="2:67" s="1" customFormat="1" ht="31.5" customHeight="1">
      <c r="B21" s="50"/>
      <c r="C21" s="112"/>
      <c r="D21" s="114" t="s">
        <v>178</v>
      </c>
      <c r="E21" s="114"/>
      <c r="F21" s="114"/>
      <c r="G21" s="114"/>
      <c r="H21" s="114"/>
      <c r="I21" s="114"/>
      <c r="J21" s="114"/>
      <c r="K21" s="114"/>
      <c r="L21" s="114"/>
      <c r="M21" s="114"/>
      <c r="N21" s="210">
        <f>ROUND(SUM(N22:Q25),2)</f>
        <v>0</v>
      </c>
      <c r="O21" s="211"/>
      <c r="P21" s="211"/>
      <c r="Q21" s="211"/>
      <c r="R21" s="114"/>
      <c r="S21" s="114"/>
      <c r="T21" s="51"/>
      <c r="V21" s="52" t="s">
        <v>0</v>
      </c>
      <c r="W21" s="11" t="s">
        <v>3</v>
      </c>
      <c r="X21" s="53">
        <v>0.14823</v>
      </c>
      <c r="Y21" s="53">
        <f t="shared" si="1"/>
        <v>0</v>
      </c>
      <c r="Z21" s="53">
        <v>0.01665</v>
      </c>
      <c r="AA21" s="53">
        <f t="shared" si="2"/>
        <v>0</v>
      </c>
      <c r="AB21" s="53">
        <v>0</v>
      </c>
      <c r="AC21" s="54">
        <f t="shared" si="3"/>
        <v>0</v>
      </c>
      <c r="AT21" s="7" t="s">
        <v>62</v>
      </c>
      <c r="AV21" s="7" t="s">
        <v>60</v>
      </c>
      <c r="AW21" s="7" t="s">
        <v>63</v>
      </c>
      <c r="BA21" s="7" t="s">
        <v>59</v>
      </c>
      <c r="BG21" s="55">
        <f t="shared" si="4"/>
        <v>0</v>
      </c>
      <c r="BH21" s="55">
        <f t="shared" si="5"/>
        <v>0</v>
      </c>
      <c r="BI21" s="55">
        <f t="shared" si="6"/>
        <v>0</v>
      </c>
      <c r="BJ21" s="55">
        <f t="shared" si="7"/>
        <v>0</v>
      </c>
      <c r="BK21" s="55">
        <f t="shared" si="8"/>
        <v>0</v>
      </c>
      <c r="BL21" s="7" t="s">
        <v>63</v>
      </c>
      <c r="BM21" s="55">
        <f t="shared" si="9"/>
        <v>0</v>
      </c>
      <c r="BN21" s="7" t="s">
        <v>62</v>
      </c>
      <c r="BO21" s="7" t="s">
        <v>85</v>
      </c>
    </row>
    <row r="22" spans="2:67" s="1" customFormat="1" ht="41.25" customHeight="1">
      <c r="B22" s="50"/>
      <c r="C22" s="56" t="s">
        <v>80</v>
      </c>
      <c r="D22" s="56" t="s">
        <v>60</v>
      </c>
      <c r="E22" s="57" t="s">
        <v>179</v>
      </c>
      <c r="F22" s="209" t="s">
        <v>180</v>
      </c>
      <c r="G22" s="204"/>
      <c r="H22" s="204"/>
      <c r="I22" s="204"/>
      <c r="J22" s="58" t="s">
        <v>91</v>
      </c>
      <c r="K22" s="59">
        <v>14</v>
      </c>
      <c r="L22" s="203"/>
      <c r="M22" s="204"/>
      <c r="N22" s="203">
        <f>ROUND(K22*L22,2)</f>
        <v>0</v>
      </c>
      <c r="O22" s="204"/>
      <c r="P22" s="204"/>
      <c r="Q22" s="204"/>
      <c r="R22" s="179">
        <f t="shared" si="0"/>
        <v>0</v>
      </c>
      <c r="S22" s="58" t="s">
        <v>158</v>
      </c>
      <c r="T22" s="51"/>
      <c r="V22" s="52" t="s">
        <v>0</v>
      </c>
      <c r="W22" s="11" t="s">
        <v>3</v>
      </c>
      <c r="X22" s="53">
        <v>0.17471</v>
      </c>
      <c r="Y22" s="53">
        <f t="shared" si="1"/>
        <v>2.4459400000000002</v>
      </c>
      <c r="Z22" s="53">
        <v>0.02024</v>
      </c>
      <c r="AA22" s="53">
        <f t="shared" si="2"/>
        <v>0.28336</v>
      </c>
      <c r="AB22" s="53">
        <v>0</v>
      </c>
      <c r="AC22" s="54">
        <f t="shared" si="3"/>
        <v>0</v>
      </c>
      <c r="AT22" s="7" t="s">
        <v>62</v>
      </c>
      <c r="AV22" s="7" t="s">
        <v>60</v>
      </c>
      <c r="AW22" s="7" t="s">
        <v>63</v>
      </c>
      <c r="BA22" s="7" t="s">
        <v>59</v>
      </c>
      <c r="BG22" s="55">
        <f t="shared" si="4"/>
        <v>0</v>
      </c>
      <c r="BH22" s="55">
        <f t="shared" si="5"/>
        <v>0</v>
      </c>
      <c r="BI22" s="55">
        <f t="shared" si="6"/>
        <v>0</v>
      </c>
      <c r="BJ22" s="55">
        <f t="shared" si="7"/>
        <v>0</v>
      </c>
      <c r="BK22" s="55">
        <f t="shared" si="8"/>
        <v>0</v>
      </c>
      <c r="BL22" s="7" t="s">
        <v>63</v>
      </c>
      <c r="BM22" s="55">
        <f t="shared" si="9"/>
        <v>0</v>
      </c>
      <c r="BN22" s="7" t="s">
        <v>62</v>
      </c>
      <c r="BO22" s="7" t="s">
        <v>87</v>
      </c>
    </row>
    <row r="23" spans="2:67" s="1" customFormat="1" ht="39.75" customHeight="1">
      <c r="B23" s="50"/>
      <c r="C23" s="56" t="s">
        <v>82</v>
      </c>
      <c r="D23" s="56" t="s">
        <v>60</v>
      </c>
      <c r="E23" s="57" t="s">
        <v>181</v>
      </c>
      <c r="F23" s="209" t="s">
        <v>182</v>
      </c>
      <c r="G23" s="204"/>
      <c r="H23" s="204"/>
      <c r="I23" s="204"/>
      <c r="J23" s="58" t="s">
        <v>91</v>
      </c>
      <c r="K23" s="59">
        <v>74</v>
      </c>
      <c r="L23" s="203"/>
      <c r="M23" s="204"/>
      <c r="N23" s="203">
        <f>ROUND(K23*L23,2)</f>
        <v>0</v>
      </c>
      <c r="O23" s="204"/>
      <c r="P23" s="204"/>
      <c r="Q23" s="204"/>
      <c r="R23" s="179">
        <f t="shared" si="0"/>
        <v>0</v>
      </c>
      <c r="S23" s="58" t="s">
        <v>158</v>
      </c>
      <c r="T23" s="51"/>
      <c r="V23" s="52" t="s">
        <v>0</v>
      </c>
      <c r="W23" s="11" t="s">
        <v>3</v>
      </c>
      <c r="X23" s="53">
        <v>0.259</v>
      </c>
      <c r="Y23" s="53">
        <f t="shared" si="1"/>
        <v>19.166</v>
      </c>
      <c r="Z23" s="53">
        <v>0.03857</v>
      </c>
      <c r="AA23" s="53">
        <f t="shared" si="2"/>
        <v>2.85418</v>
      </c>
      <c r="AB23" s="53">
        <v>0</v>
      </c>
      <c r="AC23" s="54">
        <f t="shared" si="3"/>
        <v>0</v>
      </c>
      <c r="AT23" s="7" t="s">
        <v>62</v>
      </c>
      <c r="AV23" s="7" t="s">
        <v>60</v>
      </c>
      <c r="AW23" s="7" t="s">
        <v>63</v>
      </c>
      <c r="BA23" s="7" t="s">
        <v>59</v>
      </c>
      <c r="BG23" s="55">
        <f t="shared" si="4"/>
        <v>0</v>
      </c>
      <c r="BH23" s="55">
        <f t="shared" si="5"/>
        <v>0</v>
      </c>
      <c r="BI23" s="55">
        <f t="shared" si="6"/>
        <v>0</v>
      </c>
      <c r="BJ23" s="55">
        <f t="shared" si="7"/>
        <v>0</v>
      </c>
      <c r="BK23" s="55">
        <f t="shared" si="8"/>
        <v>0</v>
      </c>
      <c r="BL23" s="7" t="s">
        <v>63</v>
      </c>
      <c r="BM23" s="55">
        <f t="shared" si="9"/>
        <v>0</v>
      </c>
      <c r="BN23" s="7" t="s">
        <v>62</v>
      </c>
      <c r="BO23" s="7" t="s">
        <v>89</v>
      </c>
    </row>
    <row r="24" spans="2:67" s="1" customFormat="1" ht="39" customHeight="1">
      <c r="B24" s="50"/>
      <c r="C24" s="56" t="s">
        <v>84</v>
      </c>
      <c r="D24" s="56" t="s">
        <v>60</v>
      </c>
      <c r="E24" s="57" t="s">
        <v>183</v>
      </c>
      <c r="F24" s="209" t="s">
        <v>184</v>
      </c>
      <c r="G24" s="204"/>
      <c r="H24" s="204"/>
      <c r="I24" s="204"/>
      <c r="J24" s="58" t="s">
        <v>91</v>
      </c>
      <c r="K24" s="59">
        <v>23</v>
      </c>
      <c r="L24" s="203"/>
      <c r="M24" s="204"/>
      <c r="N24" s="203">
        <f>ROUND(K24*L24,2)</f>
        <v>0</v>
      </c>
      <c r="O24" s="204"/>
      <c r="P24" s="204"/>
      <c r="Q24" s="204"/>
      <c r="R24" s="179">
        <f t="shared" si="0"/>
        <v>0</v>
      </c>
      <c r="S24" s="58" t="s">
        <v>158</v>
      </c>
      <c r="T24" s="51"/>
      <c r="V24" s="52" t="s">
        <v>0</v>
      </c>
      <c r="W24" s="11" t="s">
        <v>3</v>
      </c>
      <c r="X24" s="53">
        <v>0.4409</v>
      </c>
      <c r="Y24" s="53">
        <f t="shared" si="1"/>
        <v>10.1407</v>
      </c>
      <c r="Z24" s="53">
        <v>0.10484</v>
      </c>
      <c r="AA24" s="53">
        <f t="shared" si="2"/>
        <v>2.41132</v>
      </c>
      <c r="AB24" s="53">
        <v>0</v>
      </c>
      <c r="AC24" s="54">
        <f t="shared" si="3"/>
        <v>0</v>
      </c>
      <c r="AT24" s="7" t="s">
        <v>62</v>
      </c>
      <c r="AV24" s="7" t="s">
        <v>60</v>
      </c>
      <c r="AW24" s="7" t="s">
        <v>63</v>
      </c>
      <c r="BA24" s="7" t="s">
        <v>59</v>
      </c>
      <c r="BG24" s="55">
        <f t="shared" si="4"/>
        <v>0</v>
      </c>
      <c r="BH24" s="55">
        <f t="shared" si="5"/>
        <v>0</v>
      </c>
      <c r="BI24" s="55">
        <f t="shared" si="6"/>
        <v>0</v>
      </c>
      <c r="BJ24" s="55">
        <f t="shared" si="7"/>
        <v>0</v>
      </c>
      <c r="BK24" s="55">
        <f t="shared" si="8"/>
        <v>0</v>
      </c>
      <c r="BL24" s="7" t="s">
        <v>63</v>
      </c>
      <c r="BM24" s="55">
        <f t="shared" si="9"/>
        <v>0</v>
      </c>
      <c r="BN24" s="7" t="s">
        <v>62</v>
      </c>
      <c r="BO24" s="7" t="s">
        <v>92</v>
      </c>
    </row>
    <row r="25" spans="2:67" s="1" customFormat="1" ht="41.25" customHeight="1">
      <c r="B25" s="50"/>
      <c r="C25" s="56" t="s">
        <v>86</v>
      </c>
      <c r="D25" s="56" t="s">
        <v>60</v>
      </c>
      <c r="E25" s="57" t="s">
        <v>185</v>
      </c>
      <c r="F25" s="209" t="s">
        <v>186</v>
      </c>
      <c r="G25" s="204"/>
      <c r="H25" s="204"/>
      <c r="I25" s="204"/>
      <c r="J25" s="58" t="s">
        <v>91</v>
      </c>
      <c r="K25" s="59">
        <v>14</v>
      </c>
      <c r="L25" s="203"/>
      <c r="M25" s="204"/>
      <c r="N25" s="203">
        <f>ROUND(K25*L25,2)</f>
        <v>0</v>
      </c>
      <c r="O25" s="204"/>
      <c r="P25" s="204"/>
      <c r="Q25" s="204"/>
      <c r="R25" s="179">
        <f t="shared" si="0"/>
        <v>0</v>
      </c>
      <c r="S25" s="58" t="s">
        <v>158</v>
      </c>
      <c r="T25" s="51"/>
      <c r="V25" s="52" t="s">
        <v>0</v>
      </c>
      <c r="W25" s="11" t="s">
        <v>3</v>
      </c>
      <c r="X25" s="53">
        <v>0.43332</v>
      </c>
      <c r="Y25" s="53">
        <f t="shared" si="1"/>
        <v>6.066479999999999</v>
      </c>
      <c r="Z25" s="53">
        <v>0.09293</v>
      </c>
      <c r="AA25" s="53">
        <f t="shared" si="2"/>
        <v>1.30102</v>
      </c>
      <c r="AB25" s="53">
        <v>0</v>
      </c>
      <c r="AC25" s="54">
        <f t="shared" si="3"/>
        <v>0</v>
      </c>
      <c r="AT25" s="7" t="s">
        <v>62</v>
      </c>
      <c r="AV25" s="7" t="s">
        <v>60</v>
      </c>
      <c r="AW25" s="7" t="s">
        <v>63</v>
      </c>
      <c r="BA25" s="7" t="s">
        <v>59</v>
      </c>
      <c r="BG25" s="55">
        <f t="shared" si="4"/>
        <v>0</v>
      </c>
      <c r="BH25" s="55">
        <f t="shared" si="5"/>
        <v>0</v>
      </c>
      <c r="BI25" s="55">
        <f t="shared" si="6"/>
        <v>0</v>
      </c>
      <c r="BJ25" s="55">
        <f t="shared" si="7"/>
        <v>0</v>
      </c>
      <c r="BK25" s="55">
        <f t="shared" si="8"/>
        <v>0</v>
      </c>
      <c r="BL25" s="7" t="s">
        <v>63</v>
      </c>
      <c r="BM25" s="55">
        <f t="shared" si="9"/>
        <v>0</v>
      </c>
      <c r="BN25" s="7" t="s">
        <v>62</v>
      </c>
      <c r="BO25" s="7" t="s">
        <v>94</v>
      </c>
    </row>
    <row r="26" spans="2:65" s="6" customFormat="1" ht="29.25" customHeight="1">
      <c r="B26" s="41"/>
      <c r="C26" s="112"/>
      <c r="D26" s="114" t="s">
        <v>42</v>
      </c>
      <c r="E26" s="114"/>
      <c r="F26" s="114"/>
      <c r="G26" s="114"/>
      <c r="H26" s="114"/>
      <c r="I26" s="114"/>
      <c r="J26" s="114"/>
      <c r="K26" s="114"/>
      <c r="L26" s="114"/>
      <c r="M26" s="114"/>
      <c r="N26" s="210">
        <f>ROUND(SUM(N27:Q36),2)</f>
        <v>0</v>
      </c>
      <c r="O26" s="211"/>
      <c r="P26" s="211"/>
      <c r="Q26" s="211"/>
      <c r="R26" s="102"/>
      <c r="S26" s="102"/>
      <c r="T26" s="43"/>
      <c r="V26" s="44"/>
      <c r="W26" s="42"/>
      <c r="X26" s="42"/>
      <c r="Y26" s="45">
        <f>Y27</f>
        <v>15.273599999999998</v>
      </c>
      <c r="Z26" s="42"/>
      <c r="AA26" s="45">
        <f>AA27</f>
        <v>1.16976</v>
      </c>
      <c r="AB26" s="42"/>
      <c r="AC26" s="46">
        <f>AC27</f>
        <v>0</v>
      </c>
      <c r="AT26" s="47" t="s">
        <v>29</v>
      </c>
      <c r="AV26" s="48" t="s">
        <v>22</v>
      </c>
      <c r="AW26" s="48" t="s">
        <v>29</v>
      </c>
      <c r="BA26" s="47" t="s">
        <v>59</v>
      </c>
      <c r="BM26" s="49">
        <f>BM27</f>
        <v>0</v>
      </c>
    </row>
    <row r="27" spans="2:67" s="1" customFormat="1" ht="31.5" customHeight="1">
      <c r="B27" s="50"/>
      <c r="C27" s="56" t="s">
        <v>88</v>
      </c>
      <c r="D27" s="56" t="s">
        <v>60</v>
      </c>
      <c r="E27" s="57" t="s">
        <v>138</v>
      </c>
      <c r="F27" s="209" t="s">
        <v>139</v>
      </c>
      <c r="G27" s="204"/>
      <c r="H27" s="204"/>
      <c r="I27" s="204"/>
      <c r="J27" s="58" t="s">
        <v>125</v>
      </c>
      <c r="K27" s="59">
        <v>24</v>
      </c>
      <c r="L27" s="203"/>
      <c r="M27" s="204"/>
      <c r="N27" s="203">
        <f>ROUND(K27*L27,2)</f>
        <v>0</v>
      </c>
      <c r="O27" s="204"/>
      <c r="P27" s="204"/>
      <c r="Q27" s="204"/>
      <c r="R27" s="179">
        <f t="shared" si="0"/>
        <v>0</v>
      </c>
      <c r="S27" s="58" t="s">
        <v>158</v>
      </c>
      <c r="T27" s="51"/>
      <c r="V27" s="52" t="s">
        <v>0</v>
      </c>
      <c r="W27" s="11" t="s">
        <v>3</v>
      </c>
      <c r="X27" s="53">
        <v>0.6364</v>
      </c>
      <c r="Y27" s="53">
        <f>X27*K27</f>
        <v>15.273599999999998</v>
      </c>
      <c r="Z27" s="53">
        <v>0.04874</v>
      </c>
      <c r="AA27" s="53">
        <f>Z27*K27</f>
        <v>1.16976</v>
      </c>
      <c r="AB27" s="53">
        <v>0</v>
      </c>
      <c r="AC27" s="54">
        <f>AB27*K27</f>
        <v>0</v>
      </c>
      <c r="AT27" s="7" t="s">
        <v>62</v>
      </c>
      <c r="AV27" s="7" t="s">
        <v>60</v>
      </c>
      <c r="AW27" s="7" t="s">
        <v>63</v>
      </c>
      <c r="BA27" s="7" t="s">
        <v>59</v>
      </c>
      <c r="BG27" s="55">
        <f>IF(W27="základná",N27,0)</f>
        <v>0</v>
      </c>
      <c r="BH27" s="55">
        <f>IF(W27="znížená",N27,0)</f>
        <v>0</v>
      </c>
      <c r="BI27" s="55">
        <f>IF(W27="zákl. prenesená",N27,0)</f>
        <v>0</v>
      </c>
      <c r="BJ27" s="55">
        <f>IF(W27="zníž. prenesená",N27,0)</f>
        <v>0</v>
      </c>
      <c r="BK27" s="55">
        <f>IF(W27="nulová",N27,0)</f>
        <v>0</v>
      </c>
      <c r="BL27" s="7" t="s">
        <v>63</v>
      </c>
      <c r="BM27" s="55">
        <f>ROUND(L27*K27,2)</f>
        <v>0</v>
      </c>
      <c r="BN27" s="7" t="s">
        <v>62</v>
      </c>
      <c r="BO27" s="7" t="s">
        <v>97</v>
      </c>
    </row>
    <row r="28" spans="2:65" s="6" customFormat="1" ht="29.25" customHeight="1">
      <c r="B28" s="41"/>
      <c r="C28" s="56" t="s">
        <v>90</v>
      </c>
      <c r="D28" s="56" t="s">
        <v>60</v>
      </c>
      <c r="E28" s="57" t="s">
        <v>187</v>
      </c>
      <c r="F28" s="209" t="s">
        <v>188</v>
      </c>
      <c r="G28" s="204"/>
      <c r="H28" s="204"/>
      <c r="I28" s="204"/>
      <c r="J28" s="58" t="s">
        <v>125</v>
      </c>
      <c r="K28" s="59">
        <v>24</v>
      </c>
      <c r="L28" s="203"/>
      <c r="M28" s="204"/>
      <c r="N28" s="203">
        <f aca="true" t="shared" si="10" ref="N28:N36">ROUND(K28*L28,2)</f>
        <v>0</v>
      </c>
      <c r="O28" s="204"/>
      <c r="P28" s="204"/>
      <c r="Q28" s="204"/>
      <c r="R28" s="179">
        <f t="shared" si="0"/>
        <v>0</v>
      </c>
      <c r="S28" s="121" t="s">
        <v>158</v>
      </c>
      <c r="T28" s="43"/>
      <c r="V28" s="44"/>
      <c r="W28" s="42"/>
      <c r="X28" s="42"/>
      <c r="Y28" s="45">
        <f>SUM(Y29:Y47)</f>
        <v>29.900907</v>
      </c>
      <c r="Z28" s="42"/>
      <c r="AA28" s="45">
        <f>SUM(AA29:AA47)</f>
        <v>1.1774732</v>
      </c>
      <c r="AB28" s="42"/>
      <c r="AC28" s="46">
        <f>SUM(AC29:AC47)</f>
        <v>0</v>
      </c>
      <c r="AT28" s="47" t="s">
        <v>29</v>
      </c>
      <c r="AV28" s="48" t="s">
        <v>22</v>
      </c>
      <c r="AW28" s="48" t="s">
        <v>29</v>
      </c>
      <c r="BA28" s="47" t="s">
        <v>59</v>
      </c>
      <c r="BM28" s="49">
        <f>SUM(BM29:BM47)</f>
        <v>0</v>
      </c>
    </row>
    <row r="29" spans="2:67" s="1" customFormat="1" ht="57" customHeight="1">
      <c r="B29" s="50"/>
      <c r="C29" s="56" t="s">
        <v>93</v>
      </c>
      <c r="D29" s="56" t="s">
        <v>60</v>
      </c>
      <c r="E29" s="57" t="s">
        <v>189</v>
      </c>
      <c r="F29" s="209" t="s">
        <v>190</v>
      </c>
      <c r="G29" s="204"/>
      <c r="H29" s="204"/>
      <c r="I29" s="204"/>
      <c r="J29" s="58" t="s">
        <v>125</v>
      </c>
      <c r="K29" s="59">
        <v>24</v>
      </c>
      <c r="L29" s="203"/>
      <c r="M29" s="204"/>
      <c r="N29" s="203">
        <f t="shared" si="10"/>
        <v>0</v>
      </c>
      <c r="O29" s="204"/>
      <c r="P29" s="204"/>
      <c r="Q29" s="204"/>
      <c r="R29" s="179">
        <f t="shared" si="0"/>
        <v>0</v>
      </c>
      <c r="S29" s="58" t="s">
        <v>158</v>
      </c>
      <c r="T29" s="51"/>
      <c r="V29" s="52" t="s">
        <v>0</v>
      </c>
      <c r="W29" s="11" t="s">
        <v>3</v>
      </c>
      <c r="X29" s="53">
        <v>0.321</v>
      </c>
      <c r="Y29" s="53">
        <f aca="true" t="shared" si="11" ref="Y29:Y47">X29*K29</f>
        <v>7.704000000000001</v>
      </c>
      <c r="Z29" s="53">
        <v>0.01261</v>
      </c>
      <c r="AA29" s="53">
        <f aca="true" t="shared" si="12" ref="AA29:AA47">Z29*K29</f>
        <v>0.30264</v>
      </c>
      <c r="AB29" s="53">
        <v>0</v>
      </c>
      <c r="AC29" s="54">
        <f aca="true" t="shared" si="13" ref="AC29:AC47">AB29*K29</f>
        <v>0</v>
      </c>
      <c r="AT29" s="7" t="s">
        <v>62</v>
      </c>
      <c r="AV29" s="7" t="s">
        <v>60</v>
      </c>
      <c r="AW29" s="7" t="s">
        <v>63</v>
      </c>
      <c r="BA29" s="7" t="s">
        <v>59</v>
      </c>
      <c r="BG29" s="55">
        <f aca="true" t="shared" si="14" ref="BG29:BG47">IF(W29="základná",N29,0)</f>
        <v>0</v>
      </c>
      <c r="BH29" s="55">
        <f aca="true" t="shared" si="15" ref="BH29:BH47">IF(W29="znížená",N29,0)</f>
        <v>0</v>
      </c>
      <c r="BI29" s="55">
        <f aca="true" t="shared" si="16" ref="BI29:BI47">IF(W29="zákl. prenesená",N29,0)</f>
        <v>0</v>
      </c>
      <c r="BJ29" s="55">
        <f aca="true" t="shared" si="17" ref="BJ29:BJ47">IF(W29="zníž. prenesená",N29,0)</f>
        <v>0</v>
      </c>
      <c r="BK29" s="55">
        <f aca="true" t="shared" si="18" ref="BK29:BK47">IF(W29="nulová",N29,0)</f>
        <v>0</v>
      </c>
      <c r="BL29" s="7" t="s">
        <v>63</v>
      </c>
      <c r="BM29" s="55">
        <f aca="true" t="shared" si="19" ref="BM29:BM47">ROUND(L29*K29,2)</f>
        <v>0</v>
      </c>
      <c r="BN29" s="7" t="s">
        <v>62</v>
      </c>
      <c r="BO29" s="7" t="s">
        <v>99</v>
      </c>
    </row>
    <row r="30" spans="2:67" s="1" customFormat="1" ht="44.25" customHeight="1">
      <c r="B30" s="50"/>
      <c r="C30" s="56" t="s">
        <v>95</v>
      </c>
      <c r="D30" s="56" t="s">
        <v>60</v>
      </c>
      <c r="E30" s="57" t="s">
        <v>191</v>
      </c>
      <c r="F30" s="209" t="s">
        <v>192</v>
      </c>
      <c r="G30" s="204"/>
      <c r="H30" s="204"/>
      <c r="I30" s="204"/>
      <c r="J30" s="58" t="s">
        <v>79</v>
      </c>
      <c r="K30" s="59">
        <v>1</v>
      </c>
      <c r="L30" s="203"/>
      <c r="M30" s="204"/>
      <c r="N30" s="203">
        <f t="shared" si="10"/>
        <v>0</v>
      </c>
      <c r="O30" s="204"/>
      <c r="P30" s="204"/>
      <c r="Q30" s="204"/>
      <c r="R30" s="179">
        <f t="shared" si="0"/>
        <v>0</v>
      </c>
      <c r="S30" s="58" t="s">
        <v>158</v>
      </c>
      <c r="T30" s="51"/>
      <c r="V30" s="52" t="s">
        <v>0</v>
      </c>
      <c r="W30" s="11" t="s">
        <v>3</v>
      </c>
      <c r="X30" s="53">
        <v>0.225</v>
      </c>
      <c r="Y30" s="53">
        <f t="shared" si="11"/>
        <v>0.225</v>
      </c>
      <c r="Z30" s="53">
        <v>0.01119</v>
      </c>
      <c r="AA30" s="53">
        <f t="shared" si="12"/>
        <v>0.01119</v>
      </c>
      <c r="AB30" s="53">
        <v>0</v>
      </c>
      <c r="AC30" s="54">
        <f t="shared" si="13"/>
        <v>0</v>
      </c>
      <c r="AT30" s="7" t="s">
        <v>62</v>
      </c>
      <c r="AV30" s="7" t="s">
        <v>60</v>
      </c>
      <c r="AW30" s="7" t="s">
        <v>63</v>
      </c>
      <c r="BA30" s="7" t="s">
        <v>59</v>
      </c>
      <c r="BG30" s="55">
        <f t="shared" si="14"/>
        <v>0</v>
      </c>
      <c r="BH30" s="55">
        <f t="shared" si="15"/>
        <v>0</v>
      </c>
      <c r="BI30" s="55">
        <f t="shared" si="16"/>
        <v>0</v>
      </c>
      <c r="BJ30" s="55">
        <f t="shared" si="17"/>
        <v>0</v>
      </c>
      <c r="BK30" s="55">
        <f t="shared" si="18"/>
        <v>0</v>
      </c>
      <c r="BL30" s="7" t="s">
        <v>63</v>
      </c>
      <c r="BM30" s="55">
        <f t="shared" si="19"/>
        <v>0</v>
      </c>
      <c r="BN30" s="7" t="s">
        <v>62</v>
      </c>
      <c r="BO30" s="7" t="s">
        <v>101</v>
      </c>
    </row>
    <row r="31" spans="2:67" s="1" customFormat="1" ht="22.5" customHeight="1">
      <c r="B31" s="50"/>
      <c r="C31" s="56" t="s">
        <v>98</v>
      </c>
      <c r="D31" s="56" t="s">
        <v>60</v>
      </c>
      <c r="E31" s="57" t="s">
        <v>193</v>
      </c>
      <c r="F31" s="209" t="s">
        <v>194</v>
      </c>
      <c r="G31" s="204"/>
      <c r="H31" s="204"/>
      <c r="I31" s="204"/>
      <c r="J31" s="58" t="s">
        <v>79</v>
      </c>
      <c r="K31" s="59">
        <v>1</v>
      </c>
      <c r="L31" s="203"/>
      <c r="M31" s="204"/>
      <c r="N31" s="203">
        <f t="shared" si="10"/>
        <v>0</v>
      </c>
      <c r="O31" s="204"/>
      <c r="P31" s="204"/>
      <c r="Q31" s="204"/>
      <c r="R31" s="179">
        <f t="shared" si="0"/>
        <v>0</v>
      </c>
      <c r="S31" s="58" t="s">
        <v>158</v>
      </c>
      <c r="T31" s="51"/>
      <c r="V31" s="52" t="s">
        <v>0</v>
      </c>
      <c r="W31" s="11" t="s">
        <v>3</v>
      </c>
      <c r="X31" s="53">
        <v>0.389</v>
      </c>
      <c r="Y31" s="53">
        <f t="shared" si="11"/>
        <v>0.389</v>
      </c>
      <c r="Z31" s="53">
        <v>0.01365</v>
      </c>
      <c r="AA31" s="53">
        <f t="shared" si="12"/>
        <v>0.01365</v>
      </c>
      <c r="AB31" s="53">
        <v>0</v>
      </c>
      <c r="AC31" s="54">
        <f t="shared" si="13"/>
        <v>0</v>
      </c>
      <c r="AT31" s="7" t="s">
        <v>62</v>
      </c>
      <c r="AV31" s="7" t="s">
        <v>60</v>
      </c>
      <c r="AW31" s="7" t="s">
        <v>63</v>
      </c>
      <c r="BA31" s="7" t="s">
        <v>59</v>
      </c>
      <c r="BG31" s="55">
        <f t="shared" si="14"/>
        <v>0</v>
      </c>
      <c r="BH31" s="55">
        <f t="shared" si="15"/>
        <v>0</v>
      </c>
      <c r="BI31" s="55">
        <f t="shared" si="16"/>
        <v>0</v>
      </c>
      <c r="BJ31" s="55">
        <f t="shared" si="17"/>
        <v>0</v>
      </c>
      <c r="BK31" s="55">
        <f t="shared" si="18"/>
        <v>0</v>
      </c>
      <c r="BL31" s="7" t="s">
        <v>63</v>
      </c>
      <c r="BM31" s="55">
        <f t="shared" si="19"/>
        <v>0</v>
      </c>
      <c r="BN31" s="7" t="s">
        <v>62</v>
      </c>
      <c r="BO31" s="7" t="s">
        <v>103</v>
      </c>
    </row>
    <row r="32" spans="2:67" s="1" customFormat="1" ht="39.75" customHeight="1">
      <c r="B32" s="50"/>
      <c r="C32" s="56" t="s">
        <v>100</v>
      </c>
      <c r="D32" s="56" t="s">
        <v>60</v>
      </c>
      <c r="E32" s="57" t="s">
        <v>195</v>
      </c>
      <c r="F32" s="209" t="s">
        <v>196</v>
      </c>
      <c r="G32" s="204"/>
      <c r="H32" s="204"/>
      <c r="I32" s="204"/>
      <c r="J32" s="58" t="s">
        <v>61</v>
      </c>
      <c r="K32" s="59">
        <v>2.45</v>
      </c>
      <c r="L32" s="203"/>
      <c r="M32" s="204"/>
      <c r="N32" s="203">
        <f t="shared" si="10"/>
        <v>0</v>
      </c>
      <c r="O32" s="204"/>
      <c r="P32" s="204"/>
      <c r="Q32" s="204"/>
      <c r="R32" s="179">
        <f t="shared" si="0"/>
        <v>0</v>
      </c>
      <c r="S32" s="58" t="s">
        <v>158</v>
      </c>
      <c r="T32" s="51"/>
      <c r="V32" s="52" t="s">
        <v>0</v>
      </c>
      <c r="W32" s="11" t="s">
        <v>3</v>
      </c>
      <c r="X32" s="53">
        <v>0.052</v>
      </c>
      <c r="Y32" s="53">
        <f t="shared" si="11"/>
        <v>0.1274</v>
      </c>
      <c r="Z32" s="53">
        <v>0.00042</v>
      </c>
      <c r="AA32" s="53">
        <f t="shared" si="12"/>
        <v>0.0010290000000000002</v>
      </c>
      <c r="AB32" s="53">
        <v>0</v>
      </c>
      <c r="AC32" s="54">
        <f t="shared" si="13"/>
        <v>0</v>
      </c>
      <c r="AT32" s="7" t="s">
        <v>62</v>
      </c>
      <c r="AV32" s="7" t="s">
        <v>60</v>
      </c>
      <c r="AW32" s="7" t="s">
        <v>63</v>
      </c>
      <c r="BA32" s="7" t="s">
        <v>59</v>
      </c>
      <c r="BG32" s="55">
        <f t="shared" si="14"/>
        <v>0</v>
      </c>
      <c r="BH32" s="55">
        <f t="shared" si="15"/>
        <v>0</v>
      </c>
      <c r="BI32" s="55">
        <f t="shared" si="16"/>
        <v>0</v>
      </c>
      <c r="BJ32" s="55">
        <f t="shared" si="17"/>
        <v>0</v>
      </c>
      <c r="BK32" s="55">
        <f t="shared" si="18"/>
        <v>0</v>
      </c>
      <c r="BL32" s="7" t="s">
        <v>63</v>
      </c>
      <c r="BM32" s="55">
        <f t="shared" si="19"/>
        <v>0</v>
      </c>
      <c r="BN32" s="7" t="s">
        <v>62</v>
      </c>
      <c r="BO32" s="7" t="s">
        <v>104</v>
      </c>
    </row>
    <row r="33" spans="2:67" s="1" customFormat="1" ht="31.5" customHeight="1">
      <c r="B33" s="50"/>
      <c r="C33" s="56" t="s">
        <v>102</v>
      </c>
      <c r="D33" s="56" t="s">
        <v>60</v>
      </c>
      <c r="E33" s="57" t="s">
        <v>145</v>
      </c>
      <c r="F33" s="209" t="s">
        <v>146</v>
      </c>
      <c r="G33" s="204"/>
      <c r="H33" s="204"/>
      <c r="I33" s="204"/>
      <c r="J33" s="58" t="s">
        <v>74</v>
      </c>
      <c r="K33" s="59">
        <v>5.39</v>
      </c>
      <c r="L33" s="203"/>
      <c r="M33" s="204"/>
      <c r="N33" s="203">
        <f t="shared" si="10"/>
        <v>0</v>
      </c>
      <c r="O33" s="204"/>
      <c r="P33" s="204"/>
      <c r="Q33" s="204"/>
      <c r="R33" s="179">
        <f t="shared" si="0"/>
        <v>0</v>
      </c>
      <c r="S33" s="58" t="s">
        <v>158</v>
      </c>
      <c r="T33" s="51"/>
      <c r="V33" s="52" t="s">
        <v>0</v>
      </c>
      <c r="W33" s="11" t="s">
        <v>3</v>
      </c>
      <c r="X33" s="53">
        <v>0.3887</v>
      </c>
      <c r="Y33" s="53">
        <f t="shared" si="11"/>
        <v>2.095093</v>
      </c>
      <c r="Z33" s="53">
        <v>0.01312</v>
      </c>
      <c r="AA33" s="53">
        <f t="shared" si="12"/>
        <v>0.0707168</v>
      </c>
      <c r="AB33" s="53">
        <v>0</v>
      </c>
      <c r="AC33" s="54">
        <f t="shared" si="13"/>
        <v>0</v>
      </c>
      <c r="AT33" s="7" t="s">
        <v>62</v>
      </c>
      <c r="AV33" s="7" t="s">
        <v>60</v>
      </c>
      <c r="AW33" s="7" t="s">
        <v>63</v>
      </c>
      <c r="BA33" s="7" t="s">
        <v>59</v>
      </c>
      <c r="BG33" s="55">
        <f t="shared" si="14"/>
        <v>0</v>
      </c>
      <c r="BH33" s="55">
        <f t="shared" si="15"/>
        <v>0</v>
      </c>
      <c r="BI33" s="55">
        <f t="shared" si="16"/>
        <v>0</v>
      </c>
      <c r="BJ33" s="55">
        <f t="shared" si="17"/>
        <v>0</v>
      </c>
      <c r="BK33" s="55">
        <f t="shared" si="18"/>
        <v>0</v>
      </c>
      <c r="BL33" s="7" t="s">
        <v>63</v>
      </c>
      <c r="BM33" s="55">
        <f t="shared" si="19"/>
        <v>0</v>
      </c>
      <c r="BN33" s="7" t="s">
        <v>62</v>
      </c>
      <c r="BO33" s="7" t="s">
        <v>106</v>
      </c>
    </row>
    <row r="34" spans="2:67" s="1" customFormat="1" ht="31.5" customHeight="1">
      <c r="B34" s="50"/>
      <c r="C34" s="56" t="s">
        <v>1</v>
      </c>
      <c r="D34" s="56" t="s">
        <v>60</v>
      </c>
      <c r="E34" s="57" t="s">
        <v>147</v>
      </c>
      <c r="F34" s="209" t="s">
        <v>148</v>
      </c>
      <c r="G34" s="204"/>
      <c r="H34" s="204"/>
      <c r="I34" s="204"/>
      <c r="J34" s="58" t="s">
        <v>74</v>
      </c>
      <c r="K34" s="59">
        <v>107.8</v>
      </c>
      <c r="L34" s="203"/>
      <c r="M34" s="204"/>
      <c r="N34" s="203">
        <f t="shared" si="10"/>
        <v>0</v>
      </c>
      <c r="O34" s="204"/>
      <c r="P34" s="204"/>
      <c r="Q34" s="204"/>
      <c r="R34" s="179">
        <f t="shared" si="0"/>
        <v>0</v>
      </c>
      <c r="S34" s="58" t="s">
        <v>158</v>
      </c>
      <c r="T34" s="51"/>
      <c r="V34" s="52" t="s">
        <v>0</v>
      </c>
      <c r="W34" s="11" t="s">
        <v>3</v>
      </c>
      <c r="X34" s="53">
        <v>0.11118</v>
      </c>
      <c r="Y34" s="53">
        <f t="shared" si="11"/>
        <v>11.985204</v>
      </c>
      <c r="Z34" s="53">
        <v>0.00576</v>
      </c>
      <c r="AA34" s="53">
        <f t="shared" si="12"/>
        <v>0.620928</v>
      </c>
      <c r="AB34" s="53">
        <v>0</v>
      </c>
      <c r="AC34" s="54">
        <f t="shared" si="13"/>
        <v>0</v>
      </c>
      <c r="AT34" s="7" t="s">
        <v>62</v>
      </c>
      <c r="AV34" s="7" t="s">
        <v>60</v>
      </c>
      <c r="AW34" s="7" t="s">
        <v>63</v>
      </c>
      <c r="BA34" s="7" t="s">
        <v>59</v>
      </c>
      <c r="BG34" s="55">
        <f t="shared" si="14"/>
        <v>0</v>
      </c>
      <c r="BH34" s="55">
        <f t="shared" si="15"/>
        <v>0</v>
      </c>
      <c r="BI34" s="55">
        <f t="shared" si="16"/>
        <v>0</v>
      </c>
      <c r="BJ34" s="55">
        <f t="shared" si="17"/>
        <v>0</v>
      </c>
      <c r="BK34" s="55">
        <f t="shared" si="18"/>
        <v>0</v>
      </c>
      <c r="BL34" s="7" t="s">
        <v>63</v>
      </c>
      <c r="BM34" s="55">
        <f t="shared" si="19"/>
        <v>0</v>
      </c>
      <c r="BN34" s="7" t="s">
        <v>62</v>
      </c>
      <c r="BO34" s="7" t="s">
        <v>108</v>
      </c>
    </row>
    <row r="35" spans="2:67" s="1" customFormat="1" ht="31.5" customHeight="1">
      <c r="B35" s="50"/>
      <c r="C35" s="56" t="s">
        <v>105</v>
      </c>
      <c r="D35" s="56" t="s">
        <v>60</v>
      </c>
      <c r="E35" s="57" t="s">
        <v>149</v>
      </c>
      <c r="F35" s="209" t="s">
        <v>150</v>
      </c>
      <c r="G35" s="204"/>
      <c r="H35" s="204"/>
      <c r="I35" s="204"/>
      <c r="J35" s="58" t="s">
        <v>74</v>
      </c>
      <c r="K35" s="59">
        <v>5.39</v>
      </c>
      <c r="L35" s="203"/>
      <c r="M35" s="204"/>
      <c r="N35" s="203">
        <f t="shared" si="10"/>
        <v>0</v>
      </c>
      <c r="O35" s="204"/>
      <c r="P35" s="204"/>
      <c r="Q35" s="204"/>
      <c r="R35" s="179">
        <f t="shared" si="0"/>
        <v>0</v>
      </c>
      <c r="S35" s="58" t="s">
        <v>158</v>
      </c>
      <c r="T35" s="51"/>
      <c r="V35" s="52" t="s">
        <v>0</v>
      </c>
      <c r="W35" s="11" t="s">
        <v>3</v>
      </c>
      <c r="X35" s="53">
        <v>0.26</v>
      </c>
      <c r="Y35" s="53">
        <f t="shared" si="11"/>
        <v>1.4014</v>
      </c>
      <c r="Z35" s="53">
        <v>0.00043</v>
      </c>
      <c r="AA35" s="53">
        <f t="shared" si="12"/>
        <v>0.0023177</v>
      </c>
      <c r="AB35" s="53">
        <v>0</v>
      </c>
      <c r="AC35" s="54">
        <f t="shared" si="13"/>
        <v>0</v>
      </c>
      <c r="AT35" s="7" t="s">
        <v>62</v>
      </c>
      <c r="AV35" s="7" t="s">
        <v>60</v>
      </c>
      <c r="AW35" s="7" t="s">
        <v>63</v>
      </c>
      <c r="BA35" s="7" t="s">
        <v>59</v>
      </c>
      <c r="BG35" s="55">
        <f t="shared" si="14"/>
        <v>0</v>
      </c>
      <c r="BH35" s="55">
        <f t="shared" si="15"/>
        <v>0</v>
      </c>
      <c r="BI35" s="55">
        <f t="shared" si="16"/>
        <v>0</v>
      </c>
      <c r="BJ35" s="55">
        <f t="shared" si="17"/>
        <v>0</v>
      </c>
      <c r="BK35" s="55">
        <f t="shared" si="18"/>
        <v>0</v>
      </c>
      <c r="BL35" s="7" t="s">
        <v>63</v>
      </c>
      <c r="BM35" s="55">
        <f t="shared" si="19"/>
        <v>0</v>
      </c>
      <c r="BN35" s="7" t="s">
        <v>62</v>
      </c>
      <c r="BO35" s="7" t="s">
        <v>110</v>
      </c>
    </row>
    <row r="36" spans="2:67" s="1" customFormat="1" ht="27" customHeight="1">
      <c r="B36" s="50"/>
      <c r="C36" s="56" t="s">
        <v>107</v>
      </c>
      <c r="D36" s="56" t="s">
        <v>60</v>
      </c>
      <c r="E36" s="57" t="s">
        <v>197</v>
      </c>
      <c r="F36" s="209" t="s">
        <v>198</v>
      </c>
      <c r="G36" s="204"/>
      <c r="H36" s="204"/>
      <c r="I36" s="204"/>
      <c r="J36" s="58" t="s">
        <v>74</v>
      </c>
      <c r="K36" s="59">
        <v>5.39</v>
      </c>
      <c r="L36" s="203"/>
      <c r="M36" s="204"/>
      <c r="N36" s="203">
        <f t="shared" si="10"/>
        <v>0</v>
      </c>
      <c r="O36" s="204"/>
      <c r="P36" s="204"/>
      <c r="Q36" s="204"/>
      <c r="R36" s="179">
        <f t="shared" si="0"/>
        <v>0</v>
      </c>
      <c r="S36" s="58" t="s">
        <v>158</v>
      </c>
      <c r="T36" s="51"/>
      <c r="V36" s="52" t="s">
        <v>0</v>
      </c>
      <c r="W36" s="11" t="s">
        <v>3</v>
      </c>
      <c r="X36" s="53">
        <v>0.26</v>
      </c>
      <c r="Y36" s="53">
        <f t="shared" si="11"/>
        <v>1.4014</v>
      </c>
      <c r="Z36" s="53">
        <v>0.00043</v>
      </c>
      <c r="AA36" s="53">
        <f t="shared" si="12"/>
        <v>0.0023177</v>
      </c>
      <c r="AB36" s="53">
        <v>0</v>
      </c>
      <c r="AC36" s="54">
        <f t="shared" si="13"/>
        <v>0</v>
      </c>
      <c r="AT36" s="7" t="s">
        <v>62</v>
      </c>
      <c r="AV36" s="7" t="s">
        <v>60</v>
      </c>
      <c r="AW36" s="7" t="s">
        <v>63</v>
      </c>
      <c r="BA36" s="7" t="s">
        <v>59</v>
      </c>
      <c r="BG36" s="55">
        <f t="shared" si="14"/>
        <v>0</v>
      </c>
      <c r="BH36" s="55">
        <f t="shared" si="15"/>
        <v>0</v>
      </c>
      <c r="BI36" s="55">
        <f t="shared" si="16"/>
        <v>0</v>
      </c>
      <c r="BJ36" s="55">
        <f t="shared" si="17"/>
        <v>0</v>
      </c>
      <c r="BK36" s="55">
        <f t="shared" si="18"/>
        <v>0</v>
      </c>
      <c r="BL36" s="7" t="s">
        <v>63</v>
      </c>
      <c r="BM36" s="55">
        <f t="shared" si="19"/>
        <v>0</v>
      </c>
      <c r="BN36" s="7" t="s">
        <v>62</v>
      </c>
      <c r="BO36" s="7" t="s">
        <v>112</v>
      </c>
    </row>
    <row r="37" spans="2:67" s="1" customFormat="1" ht="31.5" customHeight="1">
      <c r="B37" s="50"/>
      <c r="C37" s="112"/>
      <c r="D37" s="113" t="s">
        <v>43</v>
      </c>
      <c r="E37" s="113"/>
      <c r="F37" s="113"/>
      <c r="G37" s="113"/>
      <c r="H37" s="113"/>
      <c r="I37" s="113"/>
      <c r="J37" s="113"/>
      <c r="K37" s="113"/>
      <c r="L37" s="113"/>
      <c r="M37" s="113"/>
      <c r="N37" s="214">
        <f>ROUND((N38+N40+N47),2)</f>
        <v>0</v>
      </c>
      <c r="O37" s="215"/>
      <c r="P37" s="215"/>
      <c r="Q37" s="215"/>
      <c r="R37" s="113"/>
      <c r="S37" s="113"/>
      <c r="T37" s="51"/>
      <c r="V37" s="52" t="s">
        <v>0</v>
      </c>
      <c r="W37" s="11" t="s">
        <v>3</v>
      </c>
      <c r="X37" s="53">
        <v>3.163</v>
      </c>
      <c r="Y37" s="53">
        <f t="shared" si="11"/>
        <v>0</v>
      </c>
      <c r="Z37" s="53">
        <v>2.23957</v>
      </c>
      <c r="AA37" s="53">
        <f t="shared" si="12"/>
        <v>0</v>
      </c>
      <c r="AB37" s="53">
        <v>0</v>
      </c>
      <c r="AC37" s="54">
        <f t="shared" si="13"/>
        <v>0</v>
      </c>
      <c r="AT37" s="7" t="s">
        <v>62</v>
      </c>
      <c r="AV37" s="7" t="s">
        <v>60</v>
      </c>
      <c r="AW37" s="7" t="s">
        <v>63</v>
      </c>
      <c r="BA37" s="7" t="s">
        <v>59</v>
      </c>
      <c r="BG37" s="55">
        <f t="shared" si="14"/>
        <v>0</v>
      </c>
      <c r="BH37" s="55">
        <f t="shared" si="15"/>
        <v>0</v>
      </c>
      <c r="BI37" s="55">
        <f t="shared" si="16"/>
        <v>0</v>
      </c>
      <c r="BJ37" s="55">
        <f t="shared" si="17"/>
        <v>0</v>
      </c>
      <c r="BK37" s="55">
        <f t="shared" si="18"/>
        <v>0</v>
      </c>
      <c r="BL37" s="7" t="s">
        <v>63</v>
      </c>
      <c r="BM37" s="55">
        <f t="shared" si="19"/>
        <v>0</v>
      </c>
      <c r="BN37" s="7" t="s">
        <v>62</v>
      </c>
      <c r="BO37" s="7" t="s">
        <v>114</v>
      </c>
    </row>
    <row r="38" spans="2:67" s="1" customFormat="1" ht="44.25" customHeight="1">
      <c r="B38" s="50"/>
      <c r="C38" s="112"/>
      <c r="D38" s="114" t="s">
        <v>44</v>
      </c>
      <c r="E38" s="114"/>
      <c r="F38" s="114"/>
      <c r="G38" s="114"/>
      <c r="H38" s="114"/>
      <c r="I38" s="114"/>
      <c r="J38" s="114"/>
      <c r="K38" s="114"/>
      <c r="L38" s="114"/>
      <c r="M38" s="114"/>
      <c r="N38" s="201">
        <f>ROUND(SUM(N39),2)</f>
        <v>0</v>
      </c>
      <c r="O38" s="202"/>
      <c r="P38" s="202"/>
      <c r="Q38" s="202"/>
      <c r="R38" s="113"/>
      <c r="S38" s="113"/>
      <c r="T38" s="51"/>
      <c r="V38" s="52" t="s">
        <v>0</v>
      </c>
      <c r="W38" s="11" t="s">
        <v>3</v>
      </c>
      <c r="X38" s="53">
        <v>0.343</v>
      </c>
      <c r="Y38" s="53">
        <f t="shared" si="11"/>
        <v>0</v>
      </c>
      <c r="Z38" s="53">
        <v>0.00044</v>
      </c>
      <c r="AA38" s="53">
        <f t="shared" si="12"/>
        <v>0</v>
      </c>
      <c r="AB38" s="53">
        <v>0</v>
      </c>
      <c r="AC38" s="54">
        <f t="shared" si="13"/>
        <v>0</v>
      </c>
      <c r="AT38" s="7" t="s">
        <v>62</v>
      </c>
      <c r="AV38" s="7" t="s">
        <v>60</v>
      </c>
      <c r="AW38" s="7" t="s">
        <v>63</v>
      </c>
      <c r="BA38" s="7" t="s">
        <v>59</v>
      </c>
      <c r="BG38" s="55">
        <f t="shared" si="14"/>
        <v>0</v>
      </c>
      <c r="BH38" s="55">
        <f t="shared" si="15"/>
        <v>0</v>
      </c>
      <c r="BI38" s="55">
        <f t="shared" si="16"/>
        <v>0</v>
      </c>
      <c r="BJ38" s="55">
        <f t="shared" si="17"/>
        <v>0</v>
      </c>
      <c r="BK38" s="55">
        <f t="shared" si="18"/>
        <v>0</v>
      </c>
      <c r="BL38" s="7" t="s">
        <v>63</v>
      </c>
      <c r="BM38" s="55">
        <f t="shared" si="19"/>
        <v>0</v>
      </c>
      <c r="BN38" s="7" t="s">
        <v>62</v>
      </c>
      <c r="BO38" s="7" t="s">
        <v>116</v>
      </c>
    </row>
    <row r="39" spans="2:67" s="1" customFormat="1" ht="24.75" customHeight="1">
      <c r="B39" s="50"/>
      <c r="C39" s="56" t="s">
        <v>109</v>
      </c>
      <c r="D39" s="56" t="s">
        <v>60</v>
      </c>
      <c r="E39" s="57" t="s">
        <v>199</v>
      </c>
      <c r="F39" s="209" t="s">
        <v>200</v>
      </c>
      <c r="G39" s="204"/>
      <c r="H39" s="204"/>
      <c r="I39" s="204"/>
      <c r="J39" s="58" t="s">
        <v>91</v>
      </c>
      <c r="K39" s="59">
        <v>0.96</v>
      </c>
      <c r="L39" s="203"/>
      <c r="M39" s="204"/>
      <c r="N39" s="203">
        <f>ROUND(K39*L39,2)</f>
        <v>0</v>
      </c>
      <c r="O39" s="204"/>
      <c r="P39" s="204"/>
      <c r="Q39" s="204"/>
      <c r="R39" s="179">
        <f aca="true" t="shared" si="20" ref="R39:R45">ROUND((N39*1.2),2)</f>
        <v>0</v>
      </c>
      <c r="S39" s="58" t="s">
        <v>158</v>
      </c>
      <c r="T39" s="51"/>
      <c r="V39" s="52" t="s">
        <v>0</v>
      </c>
      <c r="W39" s="11" t="s">
        <v>3</v>
      </c>
      <c r="X39" s="53">
        <v>0</v>
      </c>
      <c r="Y39" s="53">
        <f t="shared" si="11"/>
        <v>0</v>
      </c>
      <c r="Z39" s="53">
        <v>0.0134</v>
      </c>
      <c r="AA39" s="53">
        <f t="shared" si="12"/>
        <v>0.012864</v>
      </c>
      <c r="AB39" s="53">
        <v>0</v>
      </c>
      <c r="AC39" s="54">
        <f t="shared" si="13"/>
        <v>0</v>
      </c>
      <c r="AT39" s="7" t="s">
        <v>78</v>
      </c>
      <c r="AV39" s="7" t="s">
        <v>118</v>
      </c>
      <c r="AW39" s="7" t="s">
        <v>63</v>
      </c>
      <c r="BA39" s="7" t="s">
        <v>59</v>
      </c>
      <c r="BG39" s="55">
        <f t="shared" si="14"/>
        <v>0</v>
      </c>
      <c r="BH39" s="55">
        <f t="shared" si="15"/>
        <v>0</v>
      </c>
      <c r="BI39" s="55">
        <f t="shared" si="16"/>
        <v>0</v>
      </c>
      <c r="BJ39" s="55">
        <f t="shared" si="17"/>
        <v>0</v>
      </c>
      <c r="BK39" s="55">
        <f t="shared" si="18"/>
        <v>0</v>
      </c>
      <c r="BL39" s="7" t="s">
        <v>63</v>
      </c>
      <c r="BM39" s="55">
        <f t="shared" si="19"/>
        <v>0</v>
      </c>
      <c r="BN39" s="7" t="s">
        <v>62</v>
      </c>
      <c r="BO39" s="7" t="s">
        <v>119</v>
      </c>
    </row>
    <row r="40" spans="2:67" s="1" customFormat="1" ht="22.5" customHeight="1">
      <c r="B40" s="50"/>
      <c r="C40" s="112"/>
      <c r="D40" s="114" t="s">
        <v>45</v>
      </c>
      <c r="E40" s="114"/>
      <c r="F40" s="114"/>
      <c r="G40" s="114"/>
      <c r="H40" s="114"/>
      <c r="I40" s="114"/>
      <c r="J40" s="114"/>
      <c r="K40" s="114"/>
      <c r="L40" s="114"/>
      <c r="M40" s="114"/>
      <c r="N40" s="210"/>
      <c r="O40" s="211"/>
      <c r="P40" s="211"/>
      <c r="Q40" s="211"/>
      <c r="R40" s="58"/>
      <c r="S40" s="58"/>
      <c r="T40" s="51"/>
      <c r="V40" s="52" t="s">
        <v>0</v>
      </c>
      <c r="W40" s="11" t="s">
        <v>3</v>
      </c>
      <c r="X40" s="53">
        <v>0.64441</v>
      </c>
      <c r="Y40" s="53">
        <f t="shared" si="11"/>
        <v>0</v>
      </c>
      <c r="Z40" s="53">
        <v>0.01545</v>
      </c>
      <c r="AA40" s="53">
        <f t="shared" si="12"/>
        <v>0</v>
      </c>
      <c r="AB40" s="53">
        <v>0</v>
      </c>
      <c r="AC40" s="54">
        <f t="shared" si="13"/>
        <v>0</v>
      </c>
      <c r="AT40" s="7" t="s">
        <v>62</v>
      </c>
      <c r="AV40" s="7" t="s">
        <v>60</v>
      </c>
      <c r="AW40" s="7" t="s">
        <v>63</v>
      </c>
      <c r="BA40" s="7" t="s">
        <v>59</v>
      </c>
      <c r="BG40" s="55">
        <f t="shared" si="14"/>
        <v>0</v>
      </c>
      <c r="BH40" s="55">
        <f t="shared" si="15"/>
        <v>0</v>
      </c>
      <c r="BI40" s="55">
        <f t="shared" si="16"/>
        <v>0</v>
      </c>
      <c r="BJ40" s="55">
        <f t="shared" si="17"/>
        <v>0</v>
      </c>
      <c r="BK40" s="55">
        <f t="shared" si="18"/>
        <v>0</v>
      </c>
      <c r="BL40" s="7" t="s">
        <v>63</v>
      </c>
      <c r="BM40" s="55">
        <f t="shared" si="19"/>
        <v>0</v>
      </c>
      <c r="BN40" s="7" t="s">
        <v>62</v>
      </c>
      <c r="BO40" s="7" t="s">
        <v>121</v>
      </c>
    </row>
    <row r="41" spans="2:67" s="1" customFormat="1" ht="31.5" customHeight="1">
      <c r="B41" s="50"/>
      <c r="C41" s="56" t="s">
        <v>111</v>
      </c>
      <c r="D41" s="56" t="s">
        <v>60</v>
      </c>
      <c r="E41" s="57" t="s">
        <v>201</v>
      </c>
      <c r="F41" s="209" t="s">
        <v>202</v>
      </c>
      <c r="G41" s="204"/>
      <c r="H41" s="204"/>
      <c r="I41" s="204"/>
      <c r="J41" s="58" t="s">
        <v>79</v>
      </c>
      <c r="K41" s="59">
        <v>1</v>
      </c>
      <c r="L41" s="203"/>
      <c r="M41" s="204"/>
      <c r="N41" s="203">
        <f>ROUND(K41*L41,2)</f>
        <v>0</v>
      </c>
      <c r="O41" s="204"/>
      <c r="P41" s="204"/>
      <c r="Q41" s="204"/>
      <c r="R41" s="179">
        <f t="shared" si="20"/>
        <v>0</v>
      </c>
      <c r="S41" s="58" t="s">
        <v>158</v>
      </c>
      <c r="T41" s="51"/>
      <c r="V41" s="52" t="s">
        <v>0</v>
      </c>
      <c r="W41" s="11" t="s">
        <v>3</v>
      </c>
      <c r="X41" s="53">
        <v>0.67566</v>
      </c>
      <c r="Y41" s="53">
        <f t="shared" si="11"/>
        <v>0.67566</v>
      </c>
      <c r="Z41" s="53">
        <v>0.03502</v>
      </c>
      <c r="AA41" s="53">
        <f t="shared" si="12"/>
        <v>0.03502</v>
      </c>
      <c r="AB41" s="53">
        <v>0</v>
      </c>
      <c r="AC41" s="54">
        <f t="shared" si="13"/>
        <v>0</v>
      </c>
      <c r="AT41" s="7" t="s">
        <v>62</v>
      </c>
      <c r="AV41" s="7" t="s">
        <v>60</v>
      </c>
      <c r="AW41" s="7" t="s">
        <v>63</v>
      </c>
      <c r="BA41" s="7" t="s">
        <v>59</v>
      </c>
      <c r="BG41" s="55">
        <f t="shared" si="14"/>
        <v>0</v>
      </c>
      <c r="BH41" s="55">
        <f t="shared" si="15"/>
        <v>0</v>
      </c>
      <c r="BI41" s="55">
        <f t="shared" si="16"/>
        <v>0</v>
      </c>
      <c r="BJ41" s="55">
        <f t="shared" si="17"/>
        <v>0</v>
      </c>
      <c r="BK41" s="55">
        <f t="shared" si="18"/>
        <v>0</v>
      </c>
      <c r="BL41" s="7" t="s">
        <v>63</v>
      </c>
      <c r="BM41" s="55">
        <f t="shared" si="19"/>
        <v>0</v>
      </c>
      <c r="BN41" s="7" t="s">
        <v>62</v>
      </c>
      <c r="BO41" s="7" t="s">
        <v>123</v>
      </c>
    </row>
    <row r="42" spans="2:67" s="1" customFormat="1" ht="142.5" customHeight="1">
      <c r="B42" s="50"/>
      <c r="C42" s="111"/>
      <c r="D42" s="111"/>
      <c r="E42" s="111"/>
      <c r="F42" s="212" t="s">
        <v>203</v>
      </c>
      <c r="G42" s="213"/>
      <c r="H42" s="213"/>
      <c r="I42" s="213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51"/>
      <c r="V42" s="52" t="s">
        <v>0</v>
      </c>
      <c r="W42" s="11" t="s">
        <v>3</v>
      </c>
      <c r="X42" s="53">
        <v>0.21</v>
      </c>
      <c r="Y42" s="53">
        <f t="shared" si="11"/>
        <v>0</v>
      </c>
      <c r="Z42" s="53">
        <v>0.00032</v>
      </c>
      <c r="AA42" s="53">
        <f t="shared" si="12"/>
        <v>0</v>
      </c>
      <c r="AB42" s="53">
        <v>0</v>
      </c>
      <c r="AC42" s="54">
        <f t="shared" si="13"/>
        <v>0</v>
      </c>
      <c r="AT42" s="7" t="s">
        <v>62</v>
      </c>
      <c r="AV42" s="7" t="s">
        <v>60</v>
      </c>
      <c r="AW42" s="7" t="s">
        <v>63</v>
      </c>
      <c r="BA42" s="7" t="s">
        <v>59</v>
      </c>
      <c r="BG42" s="55">
        <f t="shared" si="14"/>
        <v>0</v>
      </c>
      <c r="BH42" s="55">
        <f t="shared" si="15"/>
        <v>0</v>
      </c>
      <c r="BI42" s="55">
        <f t="shared" si="16"/>
        <v>0</v>
      </c>
      <c r="BJ42" s="55">
        <f t="shared" si="17"/>
        <v>0</v>
      </c>
      <c r="BK42" s="55">
        <f t="shared" si="18"/>
        <v>0</v>
      </c>
      <c r="BL42" s="7" t="s">
        <v>63</v>
      </c>
      <c r="BM42" s="55">
        <f t="shared" si="19"/>
        <v>0</v>
      </c>
      <c r="BN42" s="7" t="s">
        <v>62</v>
      </c>
      <c r="BO42" s="7" t="s">
        <v>126</v>
      </c>
    </row>
    <row r="43" spans="2:67" s="1" customFormat="1" ht="65.25" customHeight="1">
      <c r="B43" s="50"/>
      <c r="C43" s="56" t="s">
        <v>113</v>
      </c>
      <c r="D43" s="56" t="s">
        <v>60</v>
      </c>
      <c r="E43" s="57" t="s">
        <v>204</v>
      </c>
      <c r="F43" s="209" t="s">
        <v>205</v>
      </c>
      <c r="G43" s="204"/>
      <c r="H43" s="204"/>
      <c r="I43" s="204"/>
      <c r="J43" s="58" t="s">
        <v>79</v>
      </c>
      <c r="K43" s="59">
        <v>5</v>
      </c>
      <c r="L43" s="203"/>
      <c r="M43" s="204"/>
      <c r="N43" s="203">
        <f>ROUND(K43*L43,2)</f>
        <v>0</v>
      </c>
      <c r="O43" s="204"/>
      <c r="P43" s="204"/>
      <c r="Q43" s="204"/>
      <c r="R43" s="179">
        <f t="shared" si="20"/>
        <v>0</v>
      </c>
      <c r="S43" s="58" t="s">
        <v>158</v>
      </c>
      <c r="T43" s="51"/>
      <c r="V43" s="52" t="s">
        <v>0</v>
      </c>
      <c r="W43" s="11" t="s">
        <v>3</v>
      </c>
      <c r="X43" s="53">
        <v>0.77935</v>
      </c>
      <c r="Y43" s="53">
        <f t="shared" si="11"/>
        <v>3.89675</v>
      </c>
      <c r="Z43" s="53">
        <v>0.0175</v>
      </c>
      <c r="AA43" s="53">
        <f t="shared" si="12"/>
        <v>0.08750000000000001</v>
      </c>
      <c r="AB43" s="53">
        <v>0</v>
      </c>
      <c r="AC43" s="54">
        <f t="shared" si="13"/>
        <v>0</v>
      </c>
      <c r="AT43" s="7" t="s">
        <v>62</v>
      </c>
      <c r="AV43" s="7" t="s">
        <v>60</v>
      </c>
      <c r="AW43" s="7" t="s">
        <v>63</v>
      </c>
      <c r="BA43" s="7" t="s">
        <v>59</v>
      </c>
      <c r="BG43" s="55">
        <f t="shared" si="14"/>
        <v>0</v>
      </c>
      <c r="BH43" s="55">
        <f t="shared" si="15"/>
        <v>0</v>
      </c>
      <c r="BI43" s="55">
        <f t="shared" si="16"/>
        <v>0</v>
      </c>
      <c r="BJ43" s="55">
        <f t="shared" si="17"/>
        <v>0</v>
      </c>
      <c r="BK43" s="55">
        <f t="shared" si="18"/>
        <v>0</v>
      </c>
      <c r="BL43" s="7" t="s">
        <v>63</v>
      </c>
      <c r="BM43" s="55">
        <f t="shared" si="19"/>
        <v>0</v>
      </c>
      <c r="BN43" s="7" t="s">
        <v>62</v>
      </c>
      <c r="BO43" s="7" t="s">
        <v>128</v>
      </c>
    </row>
    <row r="44" spans="2:67" s="1" customFormat="1" ht="30.75" customHeight="1">
      <c r="B44" s="50"/>
      <c r="C44" s="56" t="s">
        <v>115</v>
      </c>
      <c r="D44" s="56" t="s">
        <v>60</v>
      </c>
      <c r="E44" s="57" t="s">
        <v>206</v>
      </c>
      <c r="F44" s="209" t="s">
        <v>207</v>
      </c>
      <c r="G44" s="204"/>
      <c r="H44" s="204"/>
      <c r="I44" s="204"/>
      <c r="J44" s="58" t="s">
        <v>96</v>
      </c>
      <c r="K44" s="59">
        <v>1</v>
      </c>
      <c r="L44" s="203"/>
      <c r="M44" s="204"/>
      <c r="N44" s="203">
        <f>ROUND(K44*L44,2)</f>
        <v>0</v>
      </c>
      <c r="O44" s="204"/>
      <c r="P44" s="204"/>
      <c r="Q44" s="204"/>
      <c r="R44" s="179">
        <f t="shared" si="20"/>
        <v>0</v>
      </c>
      <c r="S44" s="58" t="s">
        <v>158</v>
      </c>
      <c r="T44" s="51"/>
      <c r="V44" s="52" t="s">
        <v>0</v>
      </c>
      <c r="W44" s="11" t="s">
        <v>3</v>
      </c>
      <c r="X44" s="53">
        <v>0</v>
      </c>
      <c r="Y44" s="53">
        <f t="shared" si="11"/>
        <v>0</v>
      </c>
      <c r="Z44" s="53">
        <v>0.0085</v>
      </c>
      <c r="AA44" s="53">
        <f t="shared" si="12"/>
        <v>0.0085</v>
      </c>
      <c r="AB44" s="53">
        <v>0</v>
      </c>
      <c r="AC44" s="54">
        <f t="shared" si="13"/>
        <v>0</v>
      </c>
      <c r="AT44" s="7" t="s">
        <v>78</v>
      </c>
      <c r="AV44" s="7" t="s">
        <v>118</v>
      </c>
      <c r="AW44" s="7" t="s">
        <v>63</v>
      </c>
      <c r="BA44" s="7" t="s">
        <v>59</v>
      </c>
      <c r="BG44" s="55">
        <f t="shared" si="14"/>
        <v>0</v>
      </c>
      <c r="BH44" s="55">
        <f t="shared" si="15"/>
        <v>0</v>
      </c>
      <c r="BI44" s="55">
        <f t="shared" si="16"/>
        <v>0</v>
      </c>
      <c r="BJ44" s="55">
        <f t="shared" si="17"/>
        <v>0</v>
      </c>
      <c r="BK44" s="55">
        <f t="shared" si="18"/>
        <v>0</v>
      </c>
      <c r="BL44" s="7" t="s">
        <v>63</v>
      </c>
      <c r="BM44" s="55">
        <f t="shared" si="19"/>
        <v>0</v>
      </c>
      <c r="BN44" s="7" t="s">
        <v>62</v>
      </c>
      <c r="BO44" s="7" t="s">
        <v>130</v>
      </c>
    </row>
    <row r="45" spans="2:67" s="1" customFormat="1" ht="22.5" customHeight="1">
      <c r="B45" s="50"/>
      <c r="C45" s="56" t="s">
        <v>117</v>
      </c>
      <c r="D45" s="56" t="s">
        <v>60</v>
      </c>
      <c r="E45" s="57" t="s">
        <v>208</v>
      </c>
      <c r="F45" s="209" t="s">
        <v>209</v>
      </c>
      <c r="G45" s="204"/>
      <c r="H45" s="204"/>
      <c r="I45" s="204"/>
      <c r="J45" s="58" t="s">
        <v>79</v>
      </c>
      <c r="K45" s="59">
        <v>1</v>
      </c>
      <c r="L45" s="203"/>
      <c r="M45" s="204"/>
      <c r="N45" s="203">
        <f>ROUND(K45*L45,2)</f>
        <v>0</v>
      </c>
      <c r="O45" s="204"/>
      <c r="P45" s="204"/>
      <c r="Q45" s="204"/>
      <c r="R45" s="179">
        <f t="shared" si="20"/>
        <v>0</v>
      </c>
      <c r="S45" s="58" t="s">
        <v>158</v>
      </c>
      <c r="T45" s="51"/>
      <c r="V45" s="52" t="s">
        <v>0</v>
      </c>
      <c r="W45" s="11" t="s">
        <v>3</v>
      </c>
      <c r="X45" s="53">
        <v>0</v>
      </c>
      <c r="Y45" s="53">
        <f t="shared" si="11"/>
        <v>0</v>
      </c>
      <c r="Z45" s="53">
        <v>0.0088</v>
      </c>
      <c r="AA45" s="53">
        <f t="shared" si="12"/>
        <v>0.0088</v>
      </c>
      <c r="AB45" s="53">
        <v>0</v>
      </c>
      <c r="AC45" s="54">
        <f t="shared" si="13"/>
        <v>0</v>
      </c>
      <c r="AT45" s="7" t="s">
        <v>78</v>
      </c>
      <c r="AV45" s="7" t="s">
        <v>118</v>
      </c>
      <c r="AW45" s="7" t="s">
        <v>63</v>
      </c>
      <c r="BA45" s="7" t="s">
        <v>59</v>
      </c>
      <c r="BG45" s="55">
        <f t="shared" si="14"/>
        <v>0</v>
      </c>
      <c r="BH45" s="55">
        <f t="shared" si="15"/>
        <v>0</v>
      </c>
      <c r="BI45" s="55">
        <f t="shared" si="16"/>
        <v>0</v>
      </c>
      <c r="BJ45" s="55">
        <f t="shared" si="17"/>
        <v>0</v>
      </c>
      <c r="BK45" s="55">
        <f t="shared" si="18"/>
        <v>0</v>
      </c>
      <c r="BL45" s="7" t="s">
        <v>63</v>
      </c>
      <c r="BM45" s="55">
        <f t="shared" si="19"/>
        <v>0</v>
      </c>
      <c r="BN45" s="7" t="s">
        <v>62</v>
      </c>
      <c r="BO45" s="7" t="s">
        <v>132</v>
      </c>
    </row>
    <row r="46" spans="2:67" s="1" customFormat="1" ht="225" customHeight="1">
      <c r="B46" s="50"/>
      <c r="C46" s="111"/>
      <c r="D46" s="111"/>
      <c r="E46" s="111"/>
      <c r="F46" s="207" t="s">
        <v>210</v>
      </c>
      <c r="G46" s="208"/>
      <c r="H46" s="208"/>
      <c r="I46" s="208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51"/>
      <c r="V46" s="52" t="s">
        <v>0</v>
      </c>
      <c r="W46" s="11" t="s">
        <v>3</v>
      </c>
      <c r="X46" s="53">
        <v>0</v>
      </c>
      <c r="Y46" s="53">
        <f t="shared" si="11"/>
        <v>0</v>
      </c>
      <c r="Z46" s="53">
        <v>0.009</v>
      </c>
      <c r="AA46" s="53">
        <f t="shared" si="12"/>
        <v>0</v>
      </c>
      <c r="AB46" s="53">
        <v>0</v>
      </c>
      <c r="AC46" s="54">
        <f t="shared" si="13"/>
        <v>0</v>
      </c>
      <c r="AT46" s="7" t="s">
        <v>78</v>
      </c>
      <c r="AV46" s="7" t="s">
        <v>118</v>
      </c>
      <c r="AW46" s="7" t="s">
        <v>63</v>
      </c>
      <c r="BA46" s="7" t="s">
        <v>59</v>
      </c>
      <c r="BG46" s="55">
        <f t="shared" si="14"/>
        <v>0</v>
      </c>
      <c r="BH46" s="55">
        <f t="shared" si="15"/>
        <v>0</v>
      </c>
      <c r="BI46" s="55">
        <f t="shared" si="16"/>
        <v>0</v>
      </c>
      <c r="BJ46" s="55">
        <f t="shared" si="17"/>
        <v>0</v>
      </c>
      <c r="BK46" s="55">
        <f t="shared" si="18"/>
        <v>0</v>
      </c>
      <c r="BL46" s="7" t="s">
        <v>63</v>
      </c>
      <c r="BM46" s="55">
        <f t="shared" si="19"/>
        <v>0</v>
      </c>
      <c r="BN46" s="7" t="s">
        <v>62</v>
      </c>
      <c r="BO46" s="7" t="s">
        <v>134</v>
      </c>
    </row>
    <row r="47" spans="2:67" s="1" customFormat="1" ht="22.5" customHeight="1">
      <c r="B47" s="50"/>
      <c r="C47" s="112"/>
      <c r="D47" s="114" t="s">
        <v>211</v>
      </c>
      <c r="E47" s="114"/>
      <c r="F47" s="114"/>
      <c r="G47" s="114"/>
      <c r="H47" s="114"/>
      <c r="I47" s="114"/>
      <c r="J47" s="114"/>
      <c r="K47" s="114"/>
      <c r="L47" s="114"/>
      <c r="M47" s="114"/>
      <c r="N47" s="201">
        <f>ROUND(SUM(N48:Q50),2)</f>
        <v>0</v>
      </c>
      <c r="O47" s="202"/>
      <c r="P47" s="202"/>
      <c r="Q47" s="202"/>
      <c r="R47" s="111"/>
      <c r="S47" s="111"/>
      <c r="T47" s="51"/>
      <c r="V47" s="52" t="s">
        <v>0</v>
      </c>
      <c r="W47" s="11" t="s">
        <v>3</v>
      </c>
      <c r="X47" s="53">
        <v>0</v>
      </c>
      <c r="Y47" s="53">
        <f t="shared" si="11"/>
        <v>0</v>
      </c>
      <c r="Z47" s="53">
        <v>0.0093</v>
      </c>
      <c r="AA47" s="53">
        <f t="shared" si="12"/>
        <v>0</v>
      </c>
      <c r="AB47" s="53">
        <v>0</v>
      </c>
      <c r="AC47" s="54">
        <f t="shared" si="13"/>
        <v>0</v>
      </c>
      <c r="AT47" s="7" t="s">
        <v>78</v>
      </c>
      <c r="AV47" s="7" t="s">
        <v>118</v>
      </c>
      <c r="AW47" s="7" t="s">
        <v>63</v>
      </c>
      <c r="BA47" s="7" t="s">
        <v>59</v>
      </c>
      <c r="BG47" s="55">
        <f t="shared" si="14"/>
        <v>0</v>
      </c>
      <c r="BH47" s="55">
        <f t="shared" si="15"/>
        <v>0</v>
      </c>
      <c r="BI47" s="55">
        <f t="shared" si="16"/>
        <v>0</v>
      </c>
      <c r="BJ47" s="55">
        <f t="shared" si="17"/>
        <v>0</v>
      </c>
      <c r="BK47" s="55">
        <f t="shared" si="18"/>
        <v>0</v>
      </c>
      <c r="BL47" s="7" t="s">
        <v>63</v>
      </c>
      <c r="BM47" s="55">
        <f t="shared" si="19"/>
        <v>0</v>
      </c>
      <c r="BN47" s="7" t="s">
        <v>62</v>
      </c>
      <c r="BO47" s="7" t="s">
        <v>136</v>
      </c>
    </row>
    <row r="48" spans="2:65" s="6" customFormat="1" ht="29.25" customHeight="1">
      <c r="B48" s="41"/>
      <c r="C48" s="56" t="s">
        <v>120</v>
      </c>
      <c r="D48" s="56" t="s">
        <v>60</v>
      </c>
      <c r="E48" s="57" t="s">
        <v>212</v>
      </c>
      <c r="F48" s="209" t="s">
        <v>213</v>
      </c>
      <c r="G48" s="204"/>
      <c r="H48" s="204"/>
      <c r="I48" s="204"/>
      <c r="J48" s="58" t="s">
        <v>96</v>
      </c>
      <c r="K48" s="59">
        <v>1</v>
      </c>
      <c r="L48" s="203"/>
      <c r="M48" s="204"/>
      <c r="N48" s="203">
        <f>ROUND(K48*L48,2)</f>
        <v>0</v>
      </c>
      <c r="O48" s="204"/>
      <c r="P48" s="204"/>
      <c r="Q48" s="204"/>
      <c r="R48" s="179">
        <f>ROUND((N48*1.2),2)</f>
        <v>0</v>
      </c>
      <c r="S48" s="58" t="s">
        <v>158</v>
      </c>
      <c r="T48" s="43"/>
      <c r="V48" s="44"/>
      <c r="W48" s="42"/>
      <c r="X48" s="42"/>
      <c r="Y48" s="45">
        <f>SUM(Y49:Y50)</f>
        <v>0.20903</v>
      </c>
      <c r="Z48" s="42"/>
      <c r="AA48" s="45">
        <f>SUM(AA49:AA50)</f>
        <v>0.02575</v>
      </c>
      <c r="AB48" s="42"/>
      <c r="AC48" s="46">
        <f>SUM(AC49:AC50)</f>
        <v>0</v>
      </c>
      <c r="AT48" s="47" t="s">
        <v>29</v>
      </c>
      <c r="AV48" s="48" t="s">
        <v>22</v>
      </c>
      <c r="AW48" s="48" t="s">
        <v>29</v>
      </c>
      <c r="BA48" s="47" t="s">
        <v>59</v>
      </c>
      <c r="BM48" s="49">
        <f>SUM(BM49:BM50)</f>
        <v>0</v>
      </c>
    </row>
    <row r="49" spans="2:67" s="1" customFormat="1" ht="31.5" customHeight="1">
      <c r="B49" s="50"/>
      <c r="C49" s="56" t="s">
        <v>122</v>
      </c>
      <c r="D49" s="56" t="s">
        <v>60</v>
      </c>
      <c r="E49" s="57" t="s">
        <v>214</v>
      </c>
      <c r="F49" s="209" t="s">
        <v>215</v>
      </c>
      <c r="G49" s="204"/>
      <c r="H49" s="204"/>
      <c r="I49" s="204"/>
      <c r="J49" s="58" t="s">
        <v>216</v>
      </c>
      <c r="K49" s="59">
        <v>1</v>
      </c>
      <c r="L49" s="203"/>
      <c r="M49" s="204"/>
      <c r="N49" s="203">
        <f>ROUND(K49*L49,2)</f>
        <v>0</v>
      </c>
      <c r="O49" s="204"/>
      <c r="P49" s="204"/>
      <c r="Q49" s="204"/>
      <c r="R49" s="179">
        <f>ROUND((N49*1.2),2)</f>
        <v>0</v>
      </c>
      <c r="S49" s="58" t="s">
        <v>158</v>
      </c>
      <c r="T49" s="51"/>
      <c r="V49" s="52" t="s">
        <v>0</v>
      </c>
      <c r="W49" s="11" t="s">
        <v>3</v>
      </c>
      <c r="X49" s="53">
        <v>0.07703</v>
      </c>
      <c r="Y49" s="53">
        <f>X49*K49</f>
        <v>0.07703</v>
      </c>
      <c r="Z49" s="53">
        <v>3E-05</v>
      </c>
      <c r="AA49" s="53">
        <f>Z49*K49</f>
        <v>3E-05</v>
      </c>
      <c r="AB49" s="53">
        <v>0</v>
      </c>
      <c r="AC49" s="54">
        <f>AB49*K49</f>
        <v>0</v>
      </c>
      <c r="AT49" s="7" t="s">
        <v>62</v>
      </c>
      <c r="AV49" s="7" t="s">
        <v>60</v>
      </c>
      <c r="AW49" s="7" t="s">
        <v>63</v>
      </c>
      <c r="BA49" s="7" t="s">
        <v>59</v>
      </c>
      <c r="BG49" s="55">
        <f>IF(W49="základná",N49,0)</f>
        <v>0</v>
      </c>
      <c r="BH49" s="55">
        <f>IF(W49="znížená",N49,0)</f>
        <v>0</v>
      </c>
      <c r="BI49" s="55">
        <f>IF(W49="zákl. prenesená",N49,0)</f>
        <v>0</v>
      </c>
      <c r="BJ49" s="55">
        <f>IF(W49="zníž. prenesená",N49,0)</f>
        <v>0</v>
      </c>
      <c r="BK49" s="55">
        <f>IF(W49="nulová",N49,0)</f>
        <v>0</v>
      </c>
      <c r="BL49" s="7" t="s">
        <v>63</v>
      </c>
      <c r="BM49" s="55">
        <f>ROUND(L49*K49,2)</f>
        <v>0</v>
      </c>
      <c r="BN49" s="7" t="s">
        <v>62</v>
      </c>
      <c r="BO49" s="7" t="s">
        <v>140</v>
      </c>
    </row>
    <row r="50" spans="2:67" s="1" customFormat="1" ht="31.5" customHeight="1">
      <c r="B50" s="50"/>
      <c r="C50" s="56" t="s">
        <v>124</v>
      </c>
      <c r="D50" s="56" t="s">
        <v>60</v>
      </c>
      <c r="E50" s="57" t="s">
        <v>217</v>
      </c>
      <c r="F50" s="209" t="s">
        <v>218</v>
      </c>
      <c r="G50" s="204"/>
      <c r="H50" s="204"/>
      <c r="I50" s="204"/>
      <c r="J50" s="58" t="s">
        <v>216</v>
      </c>
      <c r="K50" s="59">
        <v>1</v>
      </c>
      <c r="L50" s="203"/>
      <c r="M50" s="204"/>
      <c r="N50" s="203">
        <f>ROUND(K50*L50,2)</f>
        <v>0</v>
      </c>
      <c r="O50" s="204"/>
      <c r="P50" s="204"/>
      <c r="Q50" s="204"/>
      <c r="R50" s="179">
        <f>ROUND((N50*1.2),2)</f>
        <v>0</v>
      </c>
      <c r="S50" s="58" t="s">
        <v>158</v>
      </c>
      <c r="T50" s="51"/>
      <c r="V50" s="52" t="s">
        <v>0</v>
      </c>
      <c r="W50" s="11" t="s">
        <v>3</v>
      </c>
      <c r="X50" s="53">
        <v>0.132</v>
      </c>
      <c r="Y50" s="53">
        <f>X50*K50</f>
        <v>0.132</v>
      </c>
      <c r="Z50" s="53">
        <v>0.02572</v>
      </c>
      <c r="AA50" s="53">
        <f>Z50*K50</f>
        <v>0.02572</v>
      </c>
      <c r="AB50" s="53">
        <v>0</v>
      </c>
      <c r="AC50" s="54">
        <f>AB50*K50</f>
        <v>0</v>
      </c>
      <c r="AT50" s="7" t="s">
        <v>62</v>
      </c>
      <c r="AV50" s="7" t="s">
        <v>60</v>
      </c>
      <c r="AW50" s="7" t="s">
        <v>63</v>
      </c>
      <c r="BA50" s="7" t="s">
        <v>59</v>
      </c>
      <c r="BG50" s="55">
        <f>IF(W50="základná",N50,0)</f>
        <v>0</v>
      </c>
      <c r="BH50" s="55">
        <f>IF(W50="znížená",N50,0)</f>
        <v>0</v>
      </c>
      <c r="BI50" s="55">
        <f>IF(W50="zákl. prenesená",N50,0)</f>
        <v>0</v>
      </c>
      <c r="BJ50" s="55">
        <f>IF(W50="zníž. prenesená",N50,0)</f>
        <v>0</v>
      </c>
      <c r="BK50" s="55">
        <f>IF(W50="nulová",N50,0)</f>
        <v>0</v>
      </c>
      <c r="BL50" s="7" t="s">
        <v>63</v>
      </c>
      <c r="BM50" s="55">
        <f>ROUND(L50*K50,2)</f>
        <v>0</v>
      </c>
      <c r="BN50" s="7" t="s">
        <v>62</v>
      </c>
      <c r="BO50" s="7" t="s">
        <v>142</v>
      </c>
    </row>
    <row r="51" ht="14.25" thickBot="1"/>
    <row r="52" spans="6:19" ht="18.75" thickBot="1">
      <c r="F52" s="91" t="s">
        <v>156</v>
      </c>
      <c r="G52" s="92"/>
      <c r="H52" s="92"/>
      <c r="I52" s="92"/>
      <c r="J52" s="92"/>
      <c r="K52" s="220">
        <f>ROUND(N9,2)</f>
        <v>0</v>
      </c>
      <c r="L52" s="221"/>
      <c r="M52" s="221"/>
      <c r="N52" s="221"/>
      <c r="O52" s="221"/>
      <c r="P52" s="221"/>
      <c r="Q52" s="222"/>
      <c r="R52" s="175"/>
      <c r="S52" s="99" t="s">
        <v>158</v>
      </c>
    </row>
    <row r="53" spans="6:19" ht="18.75" thickBot="1">
      <c r="F53" s="205" t="s">
        <v>2</v>
      </c>
      <c r="G53" s="206"/>
      <c r="H53" s="206"/>
      <c r="I53" s="206"/>
      <c r="J53" s="206"/>
      <c r="K53" s="220">
        <f>ROUND((K54-K52),2)</f>
        <v>0</v>
      </c>
      <c r="L53" s="221"/>
      <c r="M53" s="221"/>
      <c r="N53" s="221"/>
      <c r="O53" s="221"/>
      <c r="P53" s="221"/>
      <c r="Q53" s="222"/>
      <c r="R53" s="177"/>
      <c r="S53" s="100" t="s">
        <v>158</v>
      </c>
    </row>
    <row r="54" spans="6:19" ht="18.75" thickBot="1">
      <c r="F54" s="93" t="s">
        <v>157</v>
      </c>
      <c r="G54" s="94"/>
      <c r="H54" s="94"/>
      <c r="I54" s="94"/>
      <c r="J54" s="94"/>
      <c r="K54" s="220">
        <f>ROUND((K52*1.2),2)</f>
        <v>0</v>
      </c>
      <c r="L54" s="221"/>
      <c r="M54" s="221"/>
      <c r="N54" s="221"/>
      <c r="O54" s="221"/>
      <c r="P54" s="221"/>
      <c r="Q54" s="222"/>
      <c r="R54" s="176"/>
      <c r="S54" s="101" t="s">
        <v>158</v>
      </c>
    </row>
  </sheetData>
  <sheetProtection/>
  <mergeCells count="117">
    <mergeCell ref="K52:Q52"/>
    <mergeCell ref="K53:Q53"/>
    <mergeCell ref="K54:Q54"/>
    <mergeCell ref="C6:T6"/>
    <mergeCell ref="F14:I14"/>
    <mergeCell ref="N16:Q16"/>
    <mergeCell ref="F13:I13"/>
    <mergeCell ref="L13:M13"/>
    <mergeCell ref="F18:I18"/>
    <mergeCell ref="L18:M18"/>
    <mergeCell ref="C4:AI4"/>
    <mergeCell ref="C1:AI1"/>
    <mergeCell ref="C2:AH2"/>
    <mergeCell ref="F8:I8"/>
    <mergeCell ref="L8:M8"/>
    <mergeCell ref="N8:Q8"/>
    <mergeCell ref="C3:AN3"/>
    <mergeCell ref="L19:M19"/>
    <mergeCell ref="N18:Q18"/>
    <mergeCell ref="L14:M14"/>
    <mergeCell ref="N14:Q14"/>
    <mergeCell ref="F15:I15"/>
    <mergeCell ref="L15:M15"/>
    <mergeCell ref="N15:Q15"/>
    <mergeCell ref="F16:I16"/>
    <mergeCell ref="L16:M16"/>
    <mergeCell ref="F29:I29"/>
    <mergeCell ref="L29:M29"/>
    <mergeCell ref="N29:Q29"/>
    <mergeCell ref="N28:Q28"/>
    <mergeCell ref="F24:I24"/>
    <mergeCell ref="L24:M24"/>
    <mergeCell ref="N24:Q24"/>
    <mergeCell ref="F25:I25"/>
    <mergeCell ref="L25:M25"/>
    <mergeCell ref="N25:Q25"/>
    <mergeCell ref="F30:I30"/>
    <mergeCell ref="L30:M30"/>
    <mergeCell ref="N30:Q30"/>
    <mergeCell ref="F31:I31"/>
    <mergeCell ref="L31:M31"/>
    <mergeCell ref="N31:Q31"/>
    <mergeCell ref="F32:I32"/>
    <mergeCell ref="L32:M32"/>
    <mergeCell ref="N32:Q32"/>
    <mergeCell ref="F33:I33"/>
    <mergeCell ref="L33:M33"/>
    <mergeCell ref="N33:Q33"/>
    <mergeCell ref="F34:I34"/>
    <mergeCell ref="L34:M34"/>
    <mergeCell ref="N34:Q34"/>
    <mergeCell ref="F35:I35"/>
    <mergeCell ref="L35:M35"/>
    <mergeCell ref="N35:Q35"/>
    <mergeCell ref="F39:I39"/>
    <mergeCell ref="L39:M39"/>
    <mergeCell ref="N39:Q39"/>
    <mergeCell ref="F36:I36"/>
    <mergeCell ref="L36:M36"/>
    <mergeCell ref="N36:Q36"/>
    <mergeCell ref="N37:Q37"/>
    <mergeCell ref="F42:I42"/>
    <mergeCell ref="F43:I43"/>
    <mergeCell ref="L43:M43"/>
    <mergeCell ref="N43:Q43"/>
    <mergeCell ref="N40:Q40"/>
    <mergeCell ref="F41:I41"/>
    <mergeCell ref="L41:M41"/>
    <mergeCell ref="N41:Q41"/>
    <mergeCell ref="L49:M49"/>
    <mergeCell ref="F44:I44"/>
    <mergeCell ref="L44:M44"/>
    <mergeCell ref="N44:Q44"/>
    <mergeCell ref="F45:I45"/>
    <mergeCell ref="L45:M45"/>
    <mergeCell ref="N45:Q45"/>
    <mergeCell ref="N49:Q49"/>
    <mergeCell ref="N26:Q26"/>
    <mergeCell ref="N12:Q12"/>
    <mergeCell ref="N13:Q13"/>
    <mergeCell ref="N22:Q22"/>
    <mergeCell ref="N23:Q23"/>
    <mergeCell ref="L48:M48"/>
    <mergeCell ref="N38:Q38"/>
    <mergeCell ref="L20:M20"/>
    <mergeCell ref="N20:Q20"/>
    <mergeCell ref="N21:Q21"/>
    <mergeCell ref="L22:M22"/>
    <mergeCell ref="F23:I23"/>
    <mergeCell ref="L23:M23"/>
    <mergeCell ref="N9:Q9"/>
    <mergeCell ref="N10:Q10"/>
    <mergeCell ref="N11:Q11"/>
    <mergeCell ref="N17:Q17"/>
    <mergeCell ref="N19:Q19"/>
    <mergeCell ref="F20:I20"/>
    <mergeCell ref="F19:I19"/>
    <mergeCell ref="L50:M50"/>
    <mergeCell ref="N50:Q50"/>
    <mergeCell ref="F48:I48"/>
    <mergeCell ref="L12:M12"/>
    <mergeCell ref="F12:I12"/>
    <mergeCell ref="F28:I28"/>
    <mergeCell ref="L28:M28"/>
    <mergeCell ref="F27:I27"/>
    <mergeCell ref="L27:M27"/>
    <mergeCell ref="F22:I22"/>
    <mergeCell ref="R9:U9"/>
    <mergeCell ref="R10:U10"/>
    <mergeCell ref="R11:U11"/>
    <mergeCell ref="N27:Q27"/>
    <mergeCell ref="F53:J53"/>
    <mergeCell ref="F46:I46"/>
    <mergeCell ref="N47:Q47"/>
    <mergeCell ref="F49:I49"/>
    <mergeCell ref="N48:Q48"/>
    <mergeCell ref="F50:I50"/>
  </mergeCells>
  <printOptions horizontalCentered="1"/>
  <pageMargins left="0.2362204724409449" right="0.2362204724409449" top="0.7480314960629921" bottom="0.7480314960629921" header="0.31496062992125984" footer="0.31496062992125984"/>
  <pageSetup blackAndWhite="1" errors="blank" fitToHeight="0" fitToWidth="1" horizontalDpi="600" verticalDpi="600" orientation="portrait" paperSize="9" scale="82" r:id="rId1"/>
  <ignoredErrors>
    <ignoredError sqref="N13:Q16 N18:Q20 N12 R12:R13 R14:R16 R18:R20 N22:Q25 R22:R25 N27:Q36 R27 R28:R36 N39:Q41 R39:R41 N43:Q45 R43:R45 N48:Q50 R48:R50" unlockedFormula="1"/>
    <ignoredError sqref="N17 N21 N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52"/>
  <sheetViews>
    <sheetView zoomScalePageLayoutView="0" workbookViewId="0" topLeftCell="C1">
      <selection activeCell="C3" sqref="C3:AN3"/>
    </sheetView>
  </sheetViews>
  <sheetFormatPr defaultColWidth="9.33203125" defaultRowHeight="13.5"/>
  <cols>
    <col min="1" max="1" width="8.33203125" style="0" hidden="1" customWidth="1"/>
    <col min="2" max="2" width="1.66796875" style="0" hidden="1" customWidth="1"/>
    <col min="3" max="3" width="4.6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6.83203125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" style="0" customWidth="1"/>
    <col min="17" max="17" width="1.171875" style="0" hidden="1" customWidth="1"/>
    <col min="18" max="18" width="16.5" style="0" customWidth="1"/>
    <col min="19" max="19" width="10.33203125" style="0" customWidth="1"/>
    <col min="20" max="20" width="1.66796875" style="0" hidden="1" customWidth="1"/>
    <col min="21" max="21" width="8.16015625" style="0" hidden="1" customWidth="1"/>
    <col min="22" max="22" width="29.66015625" style="0" hidden="1" customWidth="1"/>
    <col min="23" max="23" width="16.33203125" style="0" hidden="1" customWidth="1"/>
    <col min="24" max="24" width="12.33203125" style="0" hidden="1" customWidth="1"/>
    <col min="25" max="25" width="16.33203125" style="0" hidden="1" customWidth="1"/>
    <col min="26" max="26" width="12.16015625" style="0" hidden="1" customWidth="1"/>
    <col min="27" max="27" width="15" style="0" hidden="1" customWidth="1"/>
    <col min="28" max="28" width="11" style="0" hidden="1" customWidth="1"/>
    <col min="29" max="29" width="15" style="0" hidden="1" customWidth="1"/>
    <col min="30" max="30" width="16.33203125" style="0" hidden="1" customWidth="1"/>
    <col min="31" max="31" width="11" style="0" hidden="1" customWidth="1"/>
    <col min="32" max="32" width="15" style="0" hidden="1" customWidth="1"/>
    <col min="33" max="33" width="16.33203125" style="0" hidden="1" customWidth="1"/>
    <col min="34" max="45" width="0" style="0" hidden="1" customWidth="1"/>
    <col min="46" max="66" width="9.33203125" style="0" hidden="1" customWidth="1"/>
    <col min="67" max="67" width="0" style="0" hidden="1" customWidth="1"/>
  </cols>
  <sheetData>
    <row r="1" spans="2:35" s="1" customFormat="1" ht="36.75" customHeight="1">
      <c r="B1" s="9"/>
      <c r="C1" s="216" t="s">
        <v>159</v>
      </c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</row>
    <row r="2" spans="2:34" s="1" customFormat="1" ht="16.5">
      <c r="B2" s="9"/>
      <c r="C2" s="195" t="s">
        <v>160</v>
      </c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</row>
    <row r="3" spans="2:40" s="1" customFormat="1" ht="16.5">
      <c r="B3" s="9"/>
      <c r="C3" s="187" t="s">
        <v>273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  <c r="AI3" s="187"/>
      <c r="AJ3" s="187"/>
      <c r="AK3" s="187"/>
      <c r="AL3" s="187"/>
      <c r="AM3" s="187"/>
      <c r="AN3" s="187"/>
    </row>
    <row r="4" spans="2:35" s="1" customFormat="1" ht="16.5">
      <c r="B4" s="9"/>
      <c r="C4" s="187" t="s">
        <v>161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</row>
    <row r="5" spans="2:34" s="1" customFormat="1" ht="16.5">
      <c r="B5" s="9"/>
      <c r="C5" s="73" t="s">
        <v>266</v>
      </c>
      <c r="D5" s="73"/>
      <c r="E5" s="73"/>
      <c r="F5" s="108"/>
      <c r="G5" s="73"/>
      <c r="H5" s="73"/>
      <c r="I5" s="73"/>
      <c r="J5" s="73"/>
      <c r="K5" s="73"/>
      <c r="L5" s="73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</row>
    <row r="6" spans="2:33" s="1" customFormat="1" ht="32.25" customHeight="1">
      <c r="B6" s="9"/>
      <c r="C6" s="223" t="s">
        <v>267</v>
      </c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AC6" s="70"/>
      <c r="AG6" s="2"/>
    </row>
    <row r="7" spans="2:20" s="1" customFormat="1" ht="9.75" customHeight="1">
      <c r="B7" s="9"/>
      <c r="T7" s="10"/>
    </row>
    <row r="8" spans="2:29" s="5" customFormat="1" ht="50.25" customHeight="1">
      <c r="B8" s="36"/>
      <c r="C8" s="141" t="s">
        <v>46</v>
      </c>
      <c r="D8" s="142" t="s">
        <v>47</v>
      </c>
      <c r="E8" s="142" t="s">
        <v>5</v>
      </c>
      <c r="F8" s="217" t="s">
        <v>48</v>
      </c>
      <c r="G8" s="218"/>
      <c r="H8" s="218"/>
      <c r="I8" s="218"/>
      <c r="J8" s="142" t="s">
        <v>49</v>
      </c>
      <c r="K8" s="142" t="s">
        <v>50</v>
      </c>
      <c r="L8" s="219" t="s">
        <v>51</v>
      </c>
      <c r="M8" s="218"/>
      <c r="N8" s="217" t="s">
        <v>271</v>
      </c>
      <c r="O8" s="218"/>
      <c r="P8" s="218"/>
      <c r="Q8" s="218"/>
      <c r="R8" s="143" t="s">
        <v>272</v>
      </c>
      <c r="S8" s="144" t="s">
        <v>154</v>
      </c>
      <c r="T8" s="37"/>
      <c r="V8" s="17" t="s">
        <v>52</v>
      </c>
      <c r="W8" s="18" t="s">
        <v>2</v>
      </c>
      <c r="X8" s="18" t="s">
        <v>53</v>
      </c>
      <c r="Y8" s="18" t="s">
        <v>54</v>
      </c>
      <c r="Z8" s="18" t="s">
        <v>55</v>
      </c>
      <c r="AA8" s="18" t="s">
        <v>56</v>
      </c>
      <c r="AB8" s="18" t="s">
        <v>57</v>
      </c>
      <c r="AC8" s="19" t="s">
        <v>58</v>
      </c>
    </row>
    <row r="9" spans="2:65" s="1" customFormat="1" ht="29.25" customHeight="1">
      <c r="B9" s="9"/>
      <c r="C9" s="110" t="s">
        <v>37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97">
        <f>ROUND((N10+N35),2)</f>
        <v>0</v>
      </c>
      <c r="O9" s="198"/>
      <c r="P9" s="198"/>
      <c r="Q9" s="198"/>
      <c r="R9" s="197">
        <f>ROUND((R10+R35),2)</f>
        <v>0</v>
      </c>
      <c r="S9" s="198"/>
      <c r="T9" s="198"/>
      <c r="U9" s="198"/>
      <c r="V9" s="20"/>
      <c r="W9" s="68"/>
      <c r="X9" s="68"/>
      <c r="Y9" s="38" t="e">
        <f>Y10+#REF!+#REF!</f>
        <v>#REF!</v>
      </c>
      <c r="Z9" s="68"/>
      <c r="AA9" s="38" t="e">
        <f>AA10+#REF!+#REF!</f>
        <v>#REF!</v>
      </c>
      <c r="AB9" s="68"/>
      <c r="AC9" s="39" t="e">
        <f>AC10+#REF!+#REF!</f>
        <v>#REF!</v>
      </c>
      <c r="AV9" s="7" t="s">
        <v>22</v>
      </c>
      <c r="AW9" s="7" t="s">
        <v>38</v>
      </c>
      <c r="BM9" s="40" t="e">
        <f>BM10+#REF!+#REF!</f>
        <v>#REF!</v>
      </c>
    </row>
    <row r="10" spans="2:65" s="81" customFormat="1" ht="36.75" customHeight="1">
      <c r="B10" s="41"/>
      <c r="C10" s="112"/>
      <c r="D10" s="113" t="s">
        <v>39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99">
        <f>ROUND((N11+N17+N21+N26),2)</f>
        <v>0</v>
      </c>
      <c r="O10" s="200"/>
      <c r="P10" s="200"/>
      <c r="Q10" s="200"/>
      <c r="R10" s="199">
        <f>ROUND((R11+R17+R21+R26),2)</f>
        <v>0</v>
      </c>
      <c r="S10" s="200"/>
      <c r="T10" s="200"/>
      <c r="U10" s="200"/>
      <c r="V10" s="44"/>
      <c r="Y10" s="82" t="e">
        <f>Y11+Y17+Y19+Y26+Y28+Y48+#REF!</f>
        <v>#REF!</v>
      </c>
      <c r="AA10" s="82" t="e">
        <f>AA11+AA17+AA19+AA26+AA28+AA48+#REF!</f>
        <v>#REF!</v>
      </c>
      <c r="AC10" s="83" t="e">
        <f>AC11+AC17+AC19+AC26+AC28+AC48+#REF!</f>
        <v>#REF!</v>
      </c>
      <c r="AT10" s="47" t="s">
        <v>29</v>
      </c>
      <c r="AV10" s="48" t="s">
        <v>22</v>
      </c>
      <c r="AW10" s="48" t="s">
        <v>23</v>
      </c>
      <c r="BA10" s="47" t="s">
        <v>59</v>
      </c>
      <c r="BM10" s="49" t="e">
        <f>BM11+BM17+BM19+BM26+BM28+BM48+#REF!</f>
        <v>#REF!</v>
      </c>
    </row>
    <row r="11" spans="2:65" s="81" customFormat="1" ht="19.5" customHeight="1">
      <c r="B11" s="41"/>
      <c r="C11" s="112"/>
      <c r="D11" s="114" t="s">
        <v>40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201">
        <f>ROUND(SUM(N12:Q16),2)</f>
        <v>0</v>
      </c>
      <c r="O11" s="202"/>
      <c r="P11" s="202"/>
      <c r="Q11" s="202"/>
      <c r="R11" s="201">
        <f>ROUND(SUM(R12:U16),2)</f>
        <v>0</v>
      </c>
      <c r="S11" s="202"/>
      <c r="T11" s="202"/>
      <c r="U11" s="202"/>
      <c r="V11" s="44"/>
      <c r="Y11" s="82">
        <f>SUM(Y12:Y16)</f>
        <v>39.153042</v>
      </c>
      <c r="AA11" s="82">
        <f>SUM(AA12:AA16)</f>
        <v>0</v>
      </c>
      <c r="AC11" s="83">
        <f>SUM(AC12:AC16)</f>
        <v>0</v>
      </c>
      <c r="AT11" s="47" t="s">
        <v>29</v>
      </c>
      <c r="AV11" s="48" t="s">
        <v>22</v>
      </c>
      <c r="AW11" s="48" t="s">
        <v>29</v>
      </c>
      <c r="BA11" s="47" t="s">
        <v>59</v>
      </c>
      <c r="BM11" s="49">
        <f>SUM(BM12:BM16)</f>
        <v>0</v>
      </c>
    </row>
    <row r="12" spans="2:67" s="1" customFormat="1" ht="22.5" customHeight="1">
      <c r="B12" s="50"/>
      <c r="C12" s="56" t="s">
        <v>29</v>
      </c>
      <c r="D12" s="56" t="s">
        <v>60</v>
      </c>
      <c r="E12" s="57" t="s">
        <v>164</v>
      </c>
      <c r="F12" s="209" t="s">
        <v>165</v>
      </c>
      <c r="G12" s="204"/>
      <c r="H12" s="204"/>
      <c r="I12" s="204"/>
      <c r="J12" s="58" t="s">
        <v>61</v>
      </c>
      <c r="K12" s="59">
        <v>11.828</v>
      </c>
      <c r="L12" s="203"/>
      <c r="M12" s="204"/>
      <c r="N12" s="203">
        <f>ROUND((K12*L12),2)</f>
        <v>0</v>
      </c>
      <c r="O12" s="204"/>
      <c r="P12" s="204"/>
      <c r="Q12" s="204"/>
      <c r="R12" s="179">
        <f>ROUND((N12*1.2),2)</f>
        <v>0</v>
      </c>
      <c r="S12" s="58" t="s">
        <v>158</v>
      </c>
      <c r="T12" s="51"/>
      <c r="V12" s="52" t="s">
        <v>0</v>
      </c>
      <c r="W12" s="11" t="s">
        <v>3</v>
      </c>
      <c r="X12" s="88">
        <v>2.221</v>
      </c>
      <c r="Y12" s="88">
        <f>X12*K12</f>
        <v>26.269988</v>
      </c>
      <c r="Z12" s="88">
        <v>0</v>
      </c>
      <c r="AA12" s="88">
        <f>Z12*K12</f>
        <v>0</v>
      </c>
      <c r="AB12" s="88">
        <v>0</v>
      </c>
      <c r="AC12" s="54">
        <f>AB12*K12</f>
        <v>0</v>
      </c>
      <c r="AT12" s="7" t="s">
        <v>62</v>
      </c>
      <c r="AV12" s="7" t="s">
        <v>60</v>
      </c>
      <c r="AW12" s="7" t="s">
        <v>63</v>
      </c>
      <c r="BA12" s="7" t="s">
        <v>59</v>
      </c>
      <c r="BG12" s="55">
        <f>IF(W12="základná",N12,0)</f>
        <v>0</v>
      </c>
      <c r="BH12" s="55">
        <f>IF(W12="znížená",N12,0)</f>
        <v>0</v>
      </c>
      <c r="BI12" s="55">
        <f>IF(W12="zákl. prenesená",N12,0)</f>
        <v>0</v>
      </c>
      <c r="BJ12" s="55">
        <f>IF(W12="zníž. prenesená",N12,0)</f>
        <v>0</v>
      </c>
      <c r="BK12" s="55">
        <f>IF(W12="nulová",N12,0)</f>
        <v>0</v>
      </c>
      <c r="BL12" s="7" t="s">
        <v>63</v>
      </c>
      <c r="BM12" s="55">
        <f>ROUND(L12*K12,2)</f>
        <v>0</v>
      </c>
      <c r="BN12" s="7" t="s">
        <v>62</v>
      </c>
      <c r="BO12" s="7" t="s">
        <v>64</v>
      </c>
    </row>
    <row r="13" spans="2:67" s="1" customFormat="1" ht="44.25" customHeight="1">
      <c r="B13" s="50"/>
      <c r="C13" s="56" t="s">
        <v>63</v>
      </c>
      <c r="D13" s="56" t="s">
        <v>60</v>
      </c>
      <c r="E13" s="57" t="s">
        <v>166</v>
      </c>
      <c r="F13" s="209" t="s">
        <v>167</v>
      </c>
      <c r="G13" s="204"/>
      <c r="H13" s="204"/>
      <c r="I13" s="204"/>
      <c r="J13" s="58" t="s">
        <v>61</v>
      </c>
      <c r="K13" s="59">
        <v>11.828</v>
      </c>
      <c r="L13" s="203"/>
      <c r="M13" s="204"/>
      <c r="N13" s="203">
        <f>ROUND((K13*L13),2)</f>
        <v>0</v>
      </c>
      <c r="O13" s="204"/>
      <c r="P13" s="204"/>
      <c r="Q13" s="204"/>
      <c r="R13" s="179">
        <f aca="true" t="shared" si="0" ref="R13:R19">ROUND((N13*1.2),2)</f>
        <v>0</v>
      </c>
      <c r="S13" s="58" t="s">
        <v>158</v>
      </c>
      <c r="T13" s="51"/>
      <c r="V13" s="52" t="s">
        <v>0</v>
      </c>
      <c r="W13" s="11" t="s">
        <v>3</v>
      </c>
      <c r="X13" s="88">
        <v>0.231</v>
      </c>
      <c r="Y13" s="88">
        <f>X13*K13</f>
        <v>2.732268</v>
      </c>
      <c r="Z13" s="88">
        <v>0</v>
      </c>
      <c r="AA13" s="88">
        <f>Z13*K13</f>
        <v>0</v>
      </c>
      <c r="AB13" s="88">
        <v>0</v>
      </c>
      <c r="AC13" s="54">
        <f>AB13*K13</f>
        <v>0</v>
      </c>
      <c r="AT13" s="7" t="s">
        <v>62</v>
      </c>
      <c r="AV13" s="7" t="s">
        <v>60</v>
      </c>
      <c r="AW13" s="7" t="s">
        <v>63</v>
      </c>
      <c r="BA13" s="7" t="s">
        <v>59</v>
      </c>
      <c r="BG13" s="55">
        <f>IF(W13="základná",N13,0)</f>
        <v>0</v>
      </c>
      <c r="BH13" s="55">
        <f>IF(W13="znížená",N13,0)</f>
        <v>0</v>
      </c>
      <c r="BI13" s="55">
        <f>IF(W13="zákl. prenesená",N13,0)</f>
        <v>0</v>
      </c>
      <c r="BJ13" s="55">
        <f>IF(W13="zníž. prenesená",N13,0)</f>
        <v>0</v>
      </c>
      <c r="BK13" s="55">
        <f>IF(W13="nulová",N13,0)</f>
        <v>0</v>
      </c>
      <c r="BL13" s="7" t="s">
        <v>63</v>
      </c>
      <c r="BM13" s="55">
        <f>ROUND(L13*K13,2)</f>
        <v>0</v>
      </c>
      <c r="BN13" s="7" t="s">
        <v>62</v>
      </c>
      <c r="BO13" s="7" t="s">
        <v>65</v>
      </c>
    </row>
    <row r="14" spans="2:67" s="1" customFormat="1" ht="44.25" customHeight="1">
      <c r="B14" s="50"/>
      <c r="C14" s="56" t="s">
        <v>66</v>
      </c>
      <c r="D14" s="56" t="s">
        <v>60</v>
      </c>
      <c r="E14" s="57" t="s">
        <v>168</v>
      </c>
      <c r="F14" s="209" t="s">
        <v>169</v>
      </c>
      <c r="G14" s="204"/>
      <c r="H14" s="204"/>
      <c r="I14" s="204"/>
      <c r="J14" s="58" t="s">
        <v>61</v>
      </c>
      <c r="K14" s="59">
        <v>177.42</v>
      </c>
      <c r="L14" s="203"/>
      <c r="M14" s="204"/>
      <c r="N14" s="203">
        <f>ROUND((K14*L14),2)</f>
        <v>0</v>
      </c>
      <c r="O14" s="204"/>
      <c r="P14" s="204"/>
      <c r="Q14" s="204"/>
      <c r="R14" s="179">
        <f t="shared" si="0"/>
        <v>0</v>
      </c>
      <c r="S14" s="58" t="s">
        <v>158</v>
      </c>
      <c r="T14" s="51"/>
      <c r="V14" s="52" t="s">
        <v>0</v>
      </c>
      <c r="W14" s="11" t="s">
        <v>3</v>
      </c>
      <c r="X14" s="88">
        <v>0.015</v>
      </c>
      <c r="Y14" s="88">
        <f>X14*K14</f>
        <v>2.6612999999999998</v>
      </c>
      <c r="Z14" s="88">
        <v>0</v>
      </c>
      <c r="AA14" s="88">
        <f>Z14*K14</f>
        <v>0</v>
      </c>
      <c r="AB14" s="88">
        <v>0</v>
      </c>
      <c r="AC14" s="54">
        <f>AB14*K14</f>
        <v>0</v>
      </c>
      <c r="AT14" s="7" t="s">
        <v>62</v>
      </c>
      <c r="AV14" s="7" t="s">
        <v>60</v>
      </c>
      <c r="AW14" s="7" t="s">
        <v>63</v>
      </c>
      <c r="BA14" s="7" t="s">
        <v>59</v>
      </c>
      <c r="BG14" s="55">
        <f>IF(W14="základná",N14,0)</f>
        <v>0</v>
      </c>
      <c r="BH14" s="55">
        <f>IF(W14="znížená",N14,0)</f>
        <v>0</v>
      </c>
      <c r="BI14" s="55">
        <f>IF(W14="zákl. prenesená",N14,0)</f>
        <v>0</v>
      </c>
      <c r="BJ14" s="55">
        <f>IF(W14="zníž. prenesená",N14,0)</f>
        <v>0</v>
      </c>
      <c r="BK14" s="55">
        <f>IF(W14="nulová",N14,0)</f>
        <v>0</v>
      </c>
      <c r="BL14" s="7" t="s">
        <v>63</v>
      </c>
      <c r="BM14" s="55">
        <f>ROUND(L14*K14,2)</f>
        <v>0</v>
      </c>
      <c r="BN14" s="7" t="s">
        <v>62</v>
      </c>
      <c r="BO14" s="7" t="s">
        <v>67</v>
      </c>
    </row>
    <row r="15" spans="2:67" s="1" customFormat="1" ht="31.5" customHeight="1">
      <c r="B15" s="50"/>
      <c r="C15" s="56" t="s">
        <v>62</v>
      </c>
      <c r="D15" s="56" t="s">
        <v>60</v>
      </c>
      <c r="E15" s="57" t="s">
        <v>170</v>
      </c>
      <c r="F15" s="209" t="s">
        <v>171</v>
      </c>
      <c r="G15" s="204"/>
      <c r="H15" s="204"/>
      <c r="I15" s="204"/>
      <c r="J15" s="58" t="s">
        <v>61</v>
      </c>
      <c r="K15" s="59">
        <v>11.828</v>
      </c>
      <c r="L15" s="203"/>
      <c r="M15" s="204"/>
      <c r="N15" s="203">
        <f>ROUND((K15*L15),2)</f>
        <v>0</v>
      </c>
      <c r="O15" s="204"/>
      <c r="P15" s="204"/>
      <c r="Q15" s="204"/>
      <c r="R15" s="179">
        <f t="shared" si="0"/>
        <v>0</v>
      </c>
      <c r="S15" s="58" t="s">
        <v>158</v>
      </c>
      <c r="T15" s="51"/>
      <c r="V15" s="52" t="s">
        <v>0</v>
      </c>
      <c r="W15" s="11" t="s">
        <v>3</v>
      </c>
      <c r="X15" s="88">
        <v>0.617</v>
      </c>
      <c r="Y15" s="88">
        <f>X15*K15</f>
        <v>7.297876</v>
      </c>
      <c r="Z15" s="88">
        <v>0</v>
      </c>
      <c r="AA15" s="88">
        <f>Z15*K15</f>
        <v>0</v>
      </c>
      <c r="AB15" s="88">
        <v>0</v>
      </c>
      <c r="AC15" s="54">
        <f>AB15*K15</f>
        <v>0</v>
      </c>
      <c r="AT15" s="7" t="s">
        <v>62</v>
      </c>
      <c r="AV15" s="7" t="s">
        <v>60</v>
      </c>
      <c r="AW15" s="7" t="s">
        <v>63</v>
      </c>
      <c r="BA15" s="7" t="s">
        <v>59</v>
      </c>
      <c r="BG15" s="55">
        <f>IF(W15="základná",N15,0)</f>
        <v>0</v>
      </c>
      <c r="BH15" s="55">
        <f>IF(W15="znížená",N15,0)</f>
        <v>0</v>
      </c>
      <c r="BI15" s="55">
        <f>IF(W15="zákl. prenesená",N15,0)</f>
        <v>0</v>
      </c>
      <c r="BJ15" s="55">
        <f>IF(W15="zníž. prenesená",N15,0)</f>
        <v>0</v>
      </c>
      <c r="BK15" s="55">
        <f>IF(W15="nulová",N15,0)</f>
        <v>0</v>
      </c>
      <c r="BL15" s="7" t="s">
        <v>63</v>
      </c>
      <c r="BM15" s="55">
        <f>ROUND(L15*K15,2)</f>
        <v>0</v>
      </c>
      <c r="BN15" s="7" t="s">
        <v>62</v>
      </c>
      <c r="BO15" s="7" t="s">
        <v>68</v>
      </c>
    </row>
    <row r="16" spans="2:67" s="1" customFormat="1" ht="26.25" customHeight="1">
      <c r="B16" s="50"/>
      <c r="C16" s="56" t="s">
        <v>69</v>
      </c>
      <c r="D16" s="56" t="s">
        <v>60</v>
      </c>
      <c r="E16" s="57" t="s">
        <v>72</v>
      </c>
      <c r="F16" s="209" t="s">
        <v>73</v>
      </c>
      <c r="G16" s="204"/>
      <c r="H16" s="204"/>
      <c r="I16" s="204"/>
      <c r="J16" s="58" t="s">
        <v>74</v>
      </c>
      <c r="K16" s="59">
        <v>21.29</v>
      </c>
      <c r="L16" s="203"/>
      <c r="M16" s="204"/>
      <c r="N16" s="203">
        <f>ROUND((K16*L16),2)</f>
        <v>0</v>
      </c>
      <c r="O16" s="204"/>
      <c r="P16" s="204"/>
      <c r="Q16" s="204"/>
      <c r="R16" s="179">
        <f t="shared" si="0"/>
        <v>0</v>
      </c>
      <c r="S16" s="58" t="s">
        <v>158</v>
      </c>
      <c r="T16" s="51"/>
      <c r="V16" s="52" t="s">
        <v>0</v>
      </c>
      <c r="W16" s="11" t="s">
        <v>3</v>
      </c>
      <c r="X16" s="88">
        <v>0.009</v>
      </c>
      <c r="Y16" s="88">
        <f>X16*K16</f>
        <v>0.19160999999999997</v>
      </c>
      <c r="Z16" s="88">
        <v>0</v>
      </c>
      <c r="AA16" s="88">
        <f>Z16*K16</f>
        <v>0</v>
      </c>
      <c r="AB16" s="88">
        <v>0</v>
      </c>
      <c r="AC16" s="54">
        <f>AB16*K16</f>
        <v>0</v>
      </c>
      <c r="AT16" s="7" t="s">
        <v>62</v>
      </c>
      <c r="AV16" s="7" t="s">
        <v>60</v>
      </c>
      <c r="AW16" s="7" t="s">
        <v>63</v>
      </c>
      <c r="BA16" s="7" t="s">
        <v>59</v>
      </c>
      <c r="BG16" s="55">
        <f>IF(W16="základná",N16,0)</f>
        <v>0</v>
      </c>
      <c r="BH16" s="55">
        <f>IF(W16="znížená",N16,0)</f>
        <v>0</v>
      </c>
      <c r="BI16" s="55">
        <f>IF(W16="zákl. prenesená",N16,0)</f>
        <v>0</v>
      </c>
      <c r="BJ16" s="55">
        <f>IF(W16="zníž. prenesená",N16,0)</f>
        <v>0</v>
      </c>
      <c r="BK16" s="55">
        <f>IF(W16="nulová",N16,0)</f>
        <v>0</v>
      </c>
      <c r="BL16" s="7" t="s">
        <v>63</v>
      </c>
      <c r="BM16" s="55">
        <f>ROUND(L16*K16,2)</f>
        <v>0</v>
      </c>
      <c r="BN16" s="7" t="s">
        <v>62</v>
      </c>
      <c r="BO16" s="7" t="s">
        <v>70</v>
      </c>
    </row>
    <row r="17" spans="2:65" s="81" customFormat="1" ht="29.25" customHeight="1">
      <c r="B17" s="41"/>
      <c r="C17" s="112"/>
      <c r="D17" s="114" t="s">
        <v>41</v>
      </c>
      <c r="E17" s="114"/>
      <c r="F17" s="114"/>
      <c r="G17" s="114"/>
      <c r="H17" s="114"/>
      <c r="I17" s="114"/>
      <c r="J17" s="114"/>
      <c r="K17" s="114"/>
      <c r="L17" s="114"/>
      <c r="M17" s="114"/>
      <c r="N17" s="210">
        <f>ROUND(SUM(N18:Q20),2)</f>
        <v>0</v>
      </c>
      <c r="O17" s="211"/>
      <c r="P17" s="211"/>
      <c r="Q17" s="211"/>
      <c r="R17" s="107"/>
      <c r="S17" s="107"/>
      <c r="T17" s="43"/>
      <c r="V17" s="44"/>
      <c r="Y17" s="82">
        <f>Y18</f>
        <v>3.83441668</v>
      </c>
      <c r="AA17" s="82">
        <f>AA18</f>
        <v>14.052200699999998</v>
      </c>
      <c r="AC17" s="83">
        <f>AC18</f>
        <v>0</v>
      </c>
      <c r="AT17" s="47" t="s">
        <v>29</v>
      </c>
      <c r="AV17" s="48" t="s">
        <v>22</v>
      </c>
      <c r="AW17" s="48" t="s">
        <v>29</v>
      </c>
      <c r="BA17" s="47" t="s">
        <v>59</v>
      </c>
      <c r="BM17" s="49">
        <f>BM18</f>
        <v>0</v>
      </c>
    </row>
    <row r="18" spans="2:67" s="1" customFormat="1" ht="31.5" customHeight="1">
      <c r="B18" s="50"/>
      <c r="C18" s="56" t="s">
        <v>71</v>
      </c>
      <c r="D18" s="56" t="s">
        <v>60</v>
      </c>
      <c r="E18" s="57" t="s">
        <v>172</v>
      </c>
      <c r="F18" s="209" t="s">
        <v>173</v>
      </c>
      <c r="G18" s="204"/>
      <c r="H18" s="204"/>
      <c r="I18" s="204"/>
      <c r="J18" s="58" t="s">
        <v>61</v>
      </c>
      <c r="K18" s="59">
        <v>6.353</v>
      </c>
      <c r="L18" s="203"/>
      <c r="M18" s="204"/>
      <c r="N18" s="203">
        <f>ROUND((K18*L18),2)</f>
        <v>0</v>
      </c>
      <c r="O18" s="204"/>
      <c r="P18" s="204"/>
      <c r="Q18" s="204"/>
      <c r="R18" s="179">
        <f>ROUND((N18*1.2),2)</f>
        <v>0</v>
      </c>
      <c r="S18" s="58" t="s">
        <v>158</v>
      </c>
      <c r="T18" s="51"/>
      <c r="V18" s="52" t="s">
        <v>0</v>
      </c>
      <c r="W18" s="11" t="s">
        <v>3</v>
      </c>
      <c r="X18" s="88">
        <v>0.60356</v>
      </c>
      <c r="Y18" s="88">
        <f>X18*K18</f>
        <v>3.83441668</v>
      </c>
      <c r="Z18" s="88">
        <v>2.2119</v>
      </c>
      <c r="AA18" s="88">
        <f>Z18*K18</f>
        <v>14.052200699999998</v>
      </c>
      <c r="AB18" s="88">
        <v>0</v>
      </c>
      <c r="AC18" s="54">
        <f>AB18*K18</f>
        <v>0</v>
      </c>
      <c r="AT18" s="7" t="s">
        <v>62</v>
      </c>
      <c r="AV18" s="7" t="s">
        <v>60</v>
      </c>
      <c r="AW18" s="7" t="s">
        <v>63</v>
      </c>
      <c r="BA18" s="7" t="s">
        <v>59</v>
      </c>
      <c r="BG18" s="55">
        <f>IF(W18="základná",N18,0)</f>
        <v>0</v>
      </c>
      <c r="BH18" s="55">
        <f>IF(W18="znížená",N18,0)</f>
        <v>0</v>
      </c>
      <c r="BI18" s="55">
        <f>IF(W18="zákl. prenesená",N18,0)</f>
        <v>0</v>
      </c>
      <c r="BJ18" s="55">
        <f>IF(W18="zníž. prenesená",N18,0)</f>
        <v>0</v>
      </c>
      <c r="BK18" s="55">
        <f>IF(W18="nulová",N18,0)</f>
        <v>0</v>
      </c>
      <c r="BL18" s="7" t="s">
        <v>63</v>
      </c>
      <c r="BM18" s="55">
        <f>ROUND(L18*K18,2)</f>
        <v>0</v>
      </c>
      <c r="BN18" s="7" t="s">
        <v>62</v>
      </c>
      <c r="BO18" s="7" t="s">
        <v>81</v>
      </c>
    </row>
    <row r="19" spans="2:65" s="81" customFormat="1" ht="29.25" customHeight="1">
      <c r="B19" s="41"/>
      <c r="C19" s="56" t="s">
        <v>75</v>
      </c>
      <c r="D19" s="56" t="s">
        <v>60</v>
      </c>
      <c r="E19" s="57" t="s">
        <v>174</v>
      </c>
      <c r="F19" s="209" t="s">
        <v>175</v>
      </c>
      <c r="G19" s="204"/>
      <c r="H19" s="204"/>
      <c r="I19" s="204"/>
      <c r="J19" s="58" t="s">
        <v>91</v>
      </c>
      <c r="K19" s="59">
        <v>73.32</v>
      </c>
      <c r="L19" s="203"/>
      <c r="M19" s="204"/>
      <c r="N19" s="203">
        <f>ROUND((K19*L19),2)</f>
        <v>0</v>
      </c>
      <c r="O19" s="204"/>
      <c r="P19" s="204"/>
      <c r="Q19" s="204"/>
      <c r="R19" s="179">
        <f t="shared" si="0"/>
        <v>0</v>
      </c>
      <c r="S19" s="58"/>
      <c r="T19" s="43"/>
      <c r="V19" s="44"/>
      <c r="Y19" s="82">
        <f>SUM(Y20:Y25)</f>
        <v>47.37786984</v>
      </c>
      <c r="AA19" s="82">
        <f>SUM(AA20:AA25)</f>
        <v>9.35194856</v>
      </c>
      <c r="AC19" s="83">
        <f>SUM(AC20:AC25)</f>
        <v>0</v>
      </c>
      <c r="AT19" s="47" t="s">
        <v>29</v>
      </c>
      <c r="AV19" s="48" t="s">
        <v>22</v>
      </c>
      <c r="AW19" s="48" t="s">
        <v>29</v>
      </c>
      <c r="BA19" s="47" t="s">
        <v>59</v>
      </c>
      <c r="BM19" s="49">
        <f>SUM(BM20:BM25)</f>
        <v>0</v>
      </c>
    </row>
    <row r="20" spans="2:67" s="1" customFormat="1" ht="19.5" customHeight="1">
      <c r="B20" s="50"/>
      <c r="C20" s="56" t="s">
        <v>78</v>
      </c>
      <c r="D20" s="56" t="s">
        <v>60</v>
      </c>
      <c r="E20" s="57" t="s">
        <v>176</v>
      </c>
      <c r="F20" s="209" t="s">
        <v>177</v>
      </c>
      <c r="G20" s="204"/>
      <c r="H20" s="204"/>
      <c r="I20" s="204"/>
      <c r="J20" s="58" t="s">
        <v>61</v>
      </c>
      <c r="K20" s="59">
        <v>0.288</v>
      </c>
      <c r="L20" s="203"/>
      <c r="M20" s="204"/>
      <c r="N20" s="203">
        <f>ROUND((K20*L20),2)</f>
        <v>0</v>
      </c>
      <c r="O20" s="204"/>
      <c r="P20" s="204"/>
      <c r="Q20" s="204"/>
      <c r="R20" s="179">
        <f>ROUND((N20*1.2),2)</f>
        <v>0</v>
      </c>
      <c r="S20" s="58" t="s">
        <v>158</v>
      </c>
      <c r="T20" s="51"/>
      <c r="V20" s="52" t="s">
        <v>0</v>
      </c>
      <c r="W20" s="11" t="s">
        <v>3</v>
      </c>
      <c r="X20" s="88">
        <v>4.18618</v>
      </c>
      <c r="Y20" s="88">
        <f aca="true" t="shared" si="1" ref="Y20:Y25">X20*K20</f>
        <v>1.20561984</v>
      </c>
      <c r="Z20" s="88">
        <v>1.87187</v>
      </c>
      <c r="AA20" s="88">
        <f aca="true" t="shared" si="2" ref="AA20:AA25">Z20*K20</f>
        <v>0.5390985599999999</v>
      </c>
      <c r="AB20" s="88">
        <v>0</v>
      </c>
      <c r="AC20" s="54">
        <f aca="true" t="shared" si="3" ref="AC20:AC25">AB20*K20</f>
        <v>0</v>
      </c>
      <c r="AT20" s="7" t="s">
        <v>62</v>
      </c>
      <c r="AV20" s="7" t="s">
        <v>60</v>
      </c>
      <c r="AW20" s="7" t="s">
        <v>63</v>
      </c>
      <c r="BA20" s="7" t="s">
        <v>59</v>
      </c>
      <c r="BG20" s="55">
        <f aca="true" t="shared" si="4" ref="BG20:BG25">IF(W20="základná",N20,0)</f>
        <v>0</v>
      </c>
      <c r="BH20" s="55">
        <f aca="true" t="shared" si="5" ref="BH20:BH25">IF(W20="znížená",N20,0)</f>
        <v>0</v>
      </c>
      <c r="BI20" s="55">
        <f aca="true" t="shared" si="6" ref="BI20:BI25">IF(W20="zákl. prenesená",N20,0)</f>
        <v>0</v>
      </c>
      <c r="BJ20" s="55">
        <f aca="true" t="shared" si="7" ref="BJ20:BJ25">IF(W20="zníž. prenesená",N20,0)</f>
        <v>0</v>
      </c>
      <c r="BK20" s="55">
        <f aca="true" t="shared" si="8" ref="BK20:BK25">IF(W20="nulová",N20,0)</f>
        <v>0</v>
      </c>
      <c r="BL20" s="7" t="s">
        <v>63</v>
      </c>
      <c r="BM20" s="55">
        <f aca="true" t="shared" si="9" ref="BM20:BM25">ROUND(L20*K20,2)</f>
        <v>0</v>
      </c>
      <c r="BN20" s="7" t="s">
        <v>62</v>
      </c>
      <c r="BO20" s="7" t="s">
        <v>83</v>
      </c>
    </row>
    <row r="21" spans="2:67" s="1" customFormat="1" ht="31.5" customHeight="1">
      <c r="B21" s="50"/>
      <c r="C21" s="112"/>
      <c r="D21" s="114" t="s">
        <v>178</v>
      </c>
      <c r="E21" s="114"/>
      <c r="F21" s="114"/>
      <c r="G21" s="114"/>
      <c r="H21" s="114"/>
      <c r="I21" s="114"/>
      <c r="J21" s="114"/>
      <c r="K21" s="114"/>
      <c r="L21" s="114"/>
      <c r="M21" s="114"/>
      <c r="N21" s="210">
        <f>ROUND(SUM(N22:Q25),2)</f>
        <v>0</v>
      </c>
      <c r="O21" s="211"/>
      <c r="P21" s="211"/>
      <c r="Q21" s="211"/>
      <c r="R21" s="114"/>
      <c r="S21" s="114"/>
      <c r="T21" s="51"/>
      <c r="V21" s="52" t="s">
        <v>0</v>
      </c>
      <c r="W21" s="11" t="s">
        <v>3</v>
      </c>
      <c r="X21" s="88">
        <v>0.14823</v>
      </c>
      <c r="Y21" s="88">
        <f t="shared" si="1"/>
        <v>0</v>
      </c>
      <c r="Z21" s="88">
        <v>0.01665</v>
      </c>
      <c r="AA21" s="88">
        <f t="shared" si="2"/>
        <v>0</v>
      </c>
      <c r="AB21" s="88">
        <v>0</v>
      </c>
      <c r="AC21" s="54">
        <f t="shared" si="3"/>
        <v>0</v>
      </c>
      <c r="AT21" s="7" t="s">
        <v>62</v>
      </c>
      <c r="AV21" s="7" t="s">
        <v>60</v>
      </c>
      <c r="AW21" s="7" t="s">
        <v>63</v>
      </c>
      <c r="BA21" s="7" t="s">
        <v>59</v>
      </c>
      <c r="BG21" s="55">
        <f t="shared" si="4"/>
        <v>0</v>
      </c>
      <c r="BH21" s="55">
        <f t="shared" si="5"/>
        <v>0</v>
      </c>
      <c r="BI21" s="55">
        <f t="shared" si="6"/>
        <v>0</v>
      </c>
      <c r="BJ21" s="55">
        <f t="shared" si="7"/>
        <v>0</v>
      </c>
      <c r="BK21" s="55">
        <f t="shared" si="8"/>
        <v>0</v>
      </c>
      <c r="BL21" s="7" t="s">
        <v>63</v>
      </c>
      <c r="BM21" s="55">
        <f t="shared" si="9"/>
        <v>0</v>
      </c>
      <c r="BN21" s="7" t="s">
        <v>62</v>
      </c>
      <c r="BO21" s="7" t="s">
        <v>85</v>
      </c>
    </row>
    <row r="22" spans="2:67" s="1" customFormat="1" ht="45.75" customHeight="1">
      <c r="B22" s="50"/>
      <c r="C22" s="56" t="s">
        <v>80</v>
      </c>
      <c r="D22" s="56" t="s">
        <v>60</v>
      </c>
      <c r="E22" s="57" t="s">
        <v>179</v>
      </c>
      <c r="F22" s="209" t="s">
        <v>180</v>
      </c>
      <c r="G22" s="204"/>
      <c r="H22" s="204"/>
      <c r="I22" s="204"/>
      <c r="J22" s="58" t="s">
        <v>91</v>
      </c>
      <c r="K22" s="59">
        <v>25</v>
      </c>
      <c r="L22" s="203"/>
      <c r="M22" s="204"/>
      <c r="N22" s="203">
        <f>ROUND((K22*L22),2)</f>
        <v>0</v>
      </c>
      <c r="O22" s="204"/>
      <c r="P22" s="204"/>
      <c r="Q22" s="204"/>
      <c r="R22" s="179">
        <f>ROUND((N22*1.2),2)</f>
        <v>0</v>
      </c>
      <c r="S22" s="58" t="s">
        <v>158</v>
      </c>
      <c r="T22" s="51"/>
      <c r="V22" s="52" t="s">
        <v>0</v>
      </c>
      <c r="W22" s="11" t="s">
        <v>3</v>
      </c>
      <c r="X22" s="88">
        <v>0.17471</v>
      </c>
      <c r="Y22" s="88">
        <f t="shared" si="1"/>
        <v>4.36775</v>
      </c>
      <c r="Z22" s="88">
        <v>0.02024</v>
      </c>
      <c r="AA22" s="88">
        <f t="shared" si="2"/>
        <v>0.506</v>
      </c>
      <c r="AB22" s="88">
        <v>0</v>
      </c>
      <c r="AC22" s="54">
        <f t="shared" si="3"/>
        <v>0</v>
      </c>
      <c r="AT22" s="7" t="s">
        <v>62</v>
      </c>
      <c r="AV22" s="7" t="s">
        <v>60</v>
      </c>
      <c r="AW22" s="7" t="s">
        <v>63</v>
      </c>
      <c r="BA22" s="7" t="s">
        <v>59</v>
      </c>
      <c r="BG22" s="55">
        <f t="shared" si="4"/>
        <v>0</v>
      </c>
      <c r="BH22" s="55">
        <f t="shared" si="5"/>
        <v>0</v>
      </c>
      <c r="BI22" s="55">
        <f t="shared" si="6"/>
        <v>0</v>
      </c>
      <c r="BJ22" s="55">
        <f t="shared" si="7"/>
        <v>0</v>
      </c>
      <c r="BK22" s="55">
        <f t="shared" si="8"/>
        <v>0</v>
      </c>
      <c r="BL22" s="7" t="s">
        <v>63</v>
      </c>
      <c r="BM22" s="55">
        <f t="shared" si="9"/>
        <v>0</v>
      </c>
      <c r="BN22" s="7" t="s">
        <v>62</v>
      </c>
      <c r="BO22" s="7" t="s">
        <v>87</v>
      </c>
    </row>
    <row r="23" spans="2:67" s="1" customFormat="1" ht="39.75" customHeight="1">
      <c r="B23" s="50"/>
      <c r="C23" s="56" t="s">
        <v>82</v>
      </c>
      <c r="D23" s="56" t="s">
        <v>60</v>
      </c>
      <c r="E23" s="57" t="s">
        <v>181</v>
      </c>
      <c r="F23" s="209" t="s">
        <v>182</v>
      </c>
      <c r="G23" s="204"/>
      <c r="H23" s="204"/>
      <c r="I23" s="204"/>
      <c r="J23" s="58" t="s">
        <v>91</v>
      </c>
      <c r="K23" s="59">
        <v>60</v>
      </c>
      <c r="L23" s="203"/>
      <c r="M23" s="204"/>
      <c r="N23" s="203">
        <f>ROUND((K23*L23),2)</f>
        <v>0</v>
      </c>
      <c r="O23" s="204"/>
      <c r="P23" s="204"/>
      <c r="Q23" s="204"/>
      <c r="R23" s="179">
        <f aca="true" t="shared" si="10" ref="R23:R34">ROUND((N23*1.2),2)</f>
        <v>0</v>
      </c>
      <c r="S23" s="58" t="s">
        <v>158</v>
      </c>
      <c r="T23" s="51"/>
      <c r="V23" s="52" t="s">
        <v>0</v>
      </c>
      <c r="W23" s="11" t="s">
        <v>3</v>
      </c>
      <c r="X23" s="88">
        <v>0.259</v>
      </c>
      <c r="Y23" s="88">
        <f t="shared" si="1"/>
        <v>15.540000000000001</v>
      </c>
      <c r="Z23" s="88">
        <v>0.03857</v>
      </c>
      <c r="AA23" s="88">
        <f t="shared" si="2"/>
        <v>2.3142</v>
      </c>
      <c r="AB23" s="88">
        <v>0</v>
      </c>
      <c r="AC23" s="54">
        <f t="shared" si="3"/>
        <v>0</v>
      </c>
      <c r="AT23" s="7" t="s">
        <v>62</v>
      </c>
      <c r="AV23" s="7" t="s">
        <v>60</v>
      </c>
      <c r="AW23" s="7" t="s">
        <v>63</v>
      </c>
      <c r="BA23" s="7" t="s">
        <v>59</v>
      </c>
      <c r="BG23" s="55">
        <f t="shared" si="4"/>
        <v>0</v>
      </c>
      <c r="BH23" s="55">
        <f t="shared" si="5"/>
        <v>0</v>
      </c>
      <c r="BI23" s="55">
        <f t="shared" si="6"/>
        <v>0</v>
      </c>
      <c r="BJ23" s="55">
        <f t="shared" si="7"/>
        <v>0</v>
      </c>
      <c r="BK23" s="55">
        <f t="shared" si="8"/>
        <v>0</v>
      </c>
      <c r="BL23" s="7" t="s">
        <v>63</v>
      </c>
      <c r="BM23" s="55">
        <f t="shared" si="9"/>
        <v>0</v>
      </c>
      <c r="BN23" s="7" t="s">
        <v>62</v>
      </c>
      <c r="BO23" s="7" t="s">
        <v>89</v>
      </c>
    </row>
    <row r="24" spans="2:67" s="1" customFormat="1" ht="39.75" customHeight="1">
      <c r="B24" s="50"/>
      <c r="C24" s="56" t="s">
        <v>84</v>
      </c>
      <c r="D24" s="56" t="s">
        <v>60</v>
      </c>
      <c r="E24" s="57" t="s">
        <v>183</v>
      </c>
      <c r="F24" s="209" t="s">
        <v>184</v>
      </c>
      <c r="G24" s="204"/>
      <c r="H24" s="204"/>
      <c r="I24" s="204"/>
      <c r="J24" s="58" t="s">
        <v>91</v>
      </c>
      <c r="K24" s="59">
        <v>35</v>
      </c>
      <c r="L24" s="203"/>
      <c r="M24" s="204"/>
      <c r="N24" s="203">
        <f>ROUND((K24*L24),2)</f>
        <v>0</v>
      </c>
      <c r="O24" s="204"/>
      <c r="P24" s="204"/>
      <c r="Q24" s="204"/>
      <c r="R24" s="179">
        <f>ROUND((N24*1.2),2)</f>
        <v>0</v>
      </c>
      <c r="S24" s="58" t="s">
        <v>158</v>
      </c>
      <c r="T24" s="51"/>
      <c r="V24" s="52" t="s">
        <v>0</v>
      </c>
      <c r="W24" s="11" t="s">
        <v>3</v>
      </c>
      <c r="X24" s="88">
        <v>0.4409</v>
      </c>
      <c r="Y24" s="88">
        <f t="shared" si="1"/>
        <v>15.4315</v>
      </c>
      <c r="Z24" s="88">
        <v>0.10484</v>
      </c>
      <c r="AA24" s="88">
        <f t="shared" si="2"/>
        <v>3.6694</v>
      </c>
      <c r="AB24" s="88">
        <v>0</v>
      </c>
      <c r="AC24" s="54">
        <f t="shared" si="3"/>
        <v>0</v>
      </c>
      <c r="AT24" s="7" t="s">
        <v>62</v>
      </c>
      <c r="AV24" s="7" t="s">
        <v>60</v>
      </c>
      <c r="AW24" s="7" t="s">
        <v>63</v>
      </c>
      <c r="BA24" s="7" t="s">
        <v>59</v>
      </c>
      <c r="BG24" s="55">
        <f t="shared" si="4"/>
        <v>0</v>
      </c>
      <c r="BH24" s="55">
        <f t="shared" si="5"/>
        <v>0</v>
      </c>
      <c r="BI24" s="55">
        <f t="shared" si="6"/>
        <v>0</v>
      </c>
      <c r="BJ24" s="55">
        <f t="shared" si="7"/>
        <v>0</v>
      </c>
      <c r="BK24" s="55">
        <f t="shared" si="8"/>
        <v>0</v>
      </c>
      <c r="BL24" s="7" t="s">
        <v>63</v>
      </c>
      <c r="BM24" s="55">
        <f t="shared" si="9"/>
        <v>0</v>
      </c>
      <c r="BN24" s="7" t="s">
        <v>62</v>
      </c>
      <c r="BO24" s="7" t="s">
        <v>92</v>
      </c>
    </row>
    <row r="25" spans="2:67" s="1" customFormat="1" ht="45" customHeight="1">
      <c r="B25" s="50"/>
      <c r="C25" s="56" t="s">
        <v>86</v>
      </c>
      <c r="D25" s="56" t="s">
        <v>60</v>
      </c>
      <c r="E25" s="57" t="s">
        <v>185</v>
      </c>
      <c r="F25" s="209" t="s">
        <v>186</v>
      </c>
      <c r="G25" s="204"/>
      <c r="H25" s="204"/>
      <c r="I25" s="204"/>
      <c r="J25" s="58" t="s">
        <v>91</v>
      </c>
      <c r="K25" s="59">
        <v>25</v>
      </c>
      <c r="L25" s="203"/>
      <c r="M25" s="204"/>
      <c r="N25" s="203">
        <f>ROUND((K25*L25),2)</f>
        <v>0</v>
      </c>
      <c r="O25" s="204"/>
      <c r="P25" s="204"/>
      <c r="Q25" s="204"/>
      <c r="R25" s="179">
        <f t="shared" si="10"/>
        <v>0</v>
      </c>
      <c r="S25" s="58" t="s">
        <v>158</v>
      </c>
      <c r="T25" s="51"/>
      <c r="V25" s="52" t="s">
        <v>0</v>
      </c>
      <c r="W25" s="11" t="s">
        <v>3</v>
      </c>
      <c r="X25" s="88">
        <v>0.43332</v>
      </c>
      <c r="Y25" s="88">
        <f t="shared" si="1"/>
        <v>10.833</v>
      </c>
      <c r="Z25" s="88">
        <v>0.09293</v>
      </c>
      <c r="AA25" s="88">
        <f t="shared" si="2"/>
        <v>2.32325</v>
      </c>
      <c r="AB25" s="88">
        <v>0</v>
      </c>
      <c r="AC25" s="54">
        <f t="shared" si="3"/>
        <v>0</v>
      </c>
      <c r="AT25" s="7" t="s">
        <v>62</v>
      </c>
      <c r="AV25" s="7" t="s">
        <v>60</v>
      </c>
      <c r="AW25" s="7" t="s">
        <v>63</v>
      </c>
      <c r="BA25" s="7" t="s">
        <v>59</v>
      </c>
      <c r="BG25" s="55">
        <f t="shared" si="4"/>
        <v>0</v>
      </c>
      <c r="BH25" s="55">
        <f t="shared" si="5"/>
        <v>0</v>
      </c>
      <c r="BI25" s="55">
        <f t="shared" si="6"/>
        <v>0</v>
      </c>
      <c r="BJ25" s="55">
        <f t="shared" si="7"/>
        <v>0</v>
      </c>
      <c r="BK25" s="55">
        <f t="shared" si="8"/>
        <v>0</v>
      </c>
      <c r="BL25" s="7" t="s">
        <v>63</v>
      </c>
      <c r="BM25" s="55">
        <f t="shared" si="9"/>
        <v>0</v>
      </c>
      <c r="BN25" s="7" t="s">
        <v>62</v>
      </c>
      <c r="BO25" s="7" t="s">
        <v>94</v>
      </c>
    </row>
    <row r="26" spans="2:65" s="81" customFormat="1" ht="29.25" customHeight="1">
      <c r="B26" s="41"/>
      <c r="C26" s="112"/>
      <c r="D26" s="114" t="s">
        <v>42</v>
      </c>
      <c r="E26" s="114"/>
      <c r="F26" s="114"/>
      <c r="G26" s="114"/>
      <c r="H26" s="114"/>
      <c r="I26" s="114"/>
      <c r="J26" s="114"/>
      <c r="K26" s="114"/>
      <c r="L26" s="114"/>
      <c r="M26" s="114"/>
      <c r="N26" s="210">
        <f>ROUND(SUM(N27:Q34),2)</f>
        <v>0</v>
      </c>
      <c r="O26" s="211"/>
      <c r="P26" s="211"/>
      <c r="Q26" s="211"/>
      <c r="R26" s="107"/>
      <c r="S26" s="107"/>
      <c r="T26" s="43"/>
      <c r="V26" s="44"/>
      <c r="Y26" s="82">
        <f>Y27</f>
        <v>28.637999999999998</v>
      </c>
      <c r="AA26" s="82">
        <f>AA27</f>
        <v>2.1933</v>
      </c>
      <c r="AC26" s="83">
        <f>AC27</f>
        <v>0</v>
      </c>
      <c r="AT26" s="47" t="s">
        <v>29</v>
      </c>
      <c r="AV26" s="48" t="s">
        <v>22</v>
      </c>
      <c r="AW26" s="48" t="s">
        <v>29</v>
      </c>
      <c r="BA26" s="47" t="s">
        <v>59</v>
      </c>
      <c r="BM26" s="49">
        <f>BM27</f>
        <v>0</v>
      </c>
    </row>
    <row r="27" spans="2:67" s="1" customFormat="1" ht="33" customHeight="1">
      <c r="B27" s="50"/>
      <c r="C27" s="56" t="s">
        <v>88</v>
      </c>
      <c r="D27" s="56" t="s">
        <v>60</v>
      </c>
      <c r="E27" s="57" t="s">
        <v>138</v>
      </c>
      <c r="F27" s="209" t="s">
        <v>139</v>
      </c>
      <c r="G27" s="204"/>
      <c r="H27" s="204"/>
      <c r="I27" s="204"/>
      <c r="J27" s="58" t="s">
        <v>125</v>
      </c>
      <c r="K27" s="59">
        <v>45</v>
      </c>
      <c r="L27" s="203"/>
      <c r="M27" s="204"/>
      <c r="N27" s="203">
        <f aca="true" t="shared" si="11" ref="N27:N34">ROUND((K27*L27),2)</f>
        <v>0</v>
      </c>
      <c r="O27" s="204"/>
      <c r="P27" s="204"/>
      <c r="Q27" s="204"/>
      <c r="R27" s="179">
        <f t="shared" si="10"/>
        <v>0</v>
      </c>
      <c r="S27" s="58" t="s">
        <v>158</v>
      </c>
      <c r="T27" s="51"/>
      <c r="V27" s="52" t="s">
        <v>0</v>
      </c>
      <c r="W27" s="11" t="s">
        <v>3</v>
      </c>
      <c r="X27" s="88">
        <v>0.6364</v>
      </c>
      <c r="Y27" s="88">
        <f>X27*K27</f>
        <v>28.637999999999998</v>
      </c>
      <c r="Z27" s="88">
        <v>0.04874</v>
      </c>
      <c r="AA27" s="88">
        <f>Z27*K27</f>
        <v>2.1933</v>
      </c>
      <c r="AB27" s="88">
        <v>0</v>
      </c>
      <c r="AC27" s="54">
        <f>AB27*K27</f>
        <v>0</v>
      </c>
      <c r="AT27" s="7" t="s">
        <v>62</v>
      </c>
      <c r="AV27" s="7" t="s">
        <v>60</v>
      </c>
      <c r="AW27" s="7" t="s">
        <v>63</v>
      </c>
      <c r="BA27" s="7" t="s">
        <v>59</v>
      </c>
      <c r="BG27" s="55">
        <f>IF(W27="základná",N27,0)</f>
        <v>0</v>
      </c>
      <c r="BH27" s="55">
        <f>IF(W27="znížená",N27,0)</f>
        <v>0</v>
      </c>
      <c r="BI27" s="55">
        <f>IF(W27="zákl. prenesená",N27,0)</f>
        <v>0</v>
      </c>
      <c r="BJ27" s="55">
        <f>IF(W27="zníž. prenesená",N27,0)</f>
        <v>0</v>
      </c>
      <c r="BK27" s="55">
        <f>IF(W27="nulová",N27,0)</f>
        <v>0</v>
      </c>
      <c r="BL27" s="7" t="s">
        <v>63</v>
      </c>
      <c r="BM27" s="55">
        <f>ROUND(L27*K27,2)</f>
        <v>0</v>
      </c>
      <c r="BN27" s="7" t="s">
        <v>62</v>
      </c>
      <c r="BO27" s="7" t="s">
        <v>97</v>
      </c>
    </row>
    <row r="28" spans="2:65" s="81" customFormat="1" ht="18" customHeight="1">
      <c r="B28" s="41"/>
      <c r="C28" s="56" t="s">
        <v>90</v>
      </c>
      <c r="D28" s="56" t="s">
        <v>60</v>
      </c>
      <c r="E28" s="57" t="s">
        <v>187</v>
      </c>
      <c r="F28" s="209" t="s">
        <v>188</v>
      </c>
      <c r="G28" s="204"/>
      <c r="H28" s="204"/>
      <c r="I28" s="204"/>
      <c r="J28" s="58" t="s">
        <v>125</v>
      </c>
      <c r="K28" s="59">
        <v>45</v>
      </c>
      <c r="L28" s="203"/>
      <c r="M28" s="204"/>
      <c r="N28" s="203">
        <f t="shared" si="11"/>
        <v>0</v>
      </c>
      <c r="O28" s="204"/>
      <c r="P28" s="204"/>
      <c r="Q28" s="204"/>
      <c r="R28" s="179">
        <f t="shared" si="10"/>
        <v>0</v>
      </c>
      <c r="S28" s="58" t="s">
        <v>254</v>
      </c>
      <c r="T28" s="43"/>
      <c r="V28" s="44"/>
      <c r="Y28" s="82">
        <f>SUM(Y29:Y47)</f>
        <v>50.7034648</v>
      </c>
      <c r="AA28" s="82">
        <f>SUM(AA29:AA47)</f>
        <v>3.714037</v>
      </c>
      <c r="AC28" s="83">
        <f>SUM(AC29:AC47)</f>
        <v>0</v>
      </c>
      <c r="AT28" s="47" t="s">
        <v>29</v>
      </c>
      <c r="AV28" s="48" t="s">
        <v>22</v>
      </c>
      <c r="AW28" s="48" t="s">
        <v>29</v>
      </c>
      <c r="BA28" s="47" t="s">
        <v>59</v>
      </c>
      <c r="BM28" s="49">
        <f>SUM(BM29:BM47)</f>
        <v>0</v>
      </c>
    </row>
    <row r="29" spans="2:67" s="1" customFormat="1" ht="38.25" customHeight="1">
      <c r="B29" s="50"/>
      <c r="C29" s="56" t="s">
        <v>93</v>
      </c>
      <c r="D29" s="56" t="s">
        <v>60</v>
      </c>
      <c r="E29" s="57" t="s">
        <v>189</v>
      </c>
      <c r="F29" s="209" t="s">
        <v>190</v>
      </c>
      <c r="G29" s="204"/>
      <c r="H29" s="204"/>
      <c r="I29" s="204"/>
      <c r="J29" s="58" t="s">
        <v>125</v>
      </c>
      <c r="K29" s="59">
        <v>45</v>
      </c>
      <c r="L29" s="203"/>
      <c r="M29" s="204"/>
      <c r="N29" s="203">
        <f t="shared" si="11"/>
        <v>0</v>
      </c>
      <c r="O29" s="204"/>
      <c r="P29" s="204"/>
      <c r="Q29" s="204"/>
      <c r="R29" s="179">
        <f t="shared" si="10"/>
        <v>0</v>
      </c>
      <c r="S29" s="58" t="s">
        <v>158</v>
      </c>
      <c r="T29" s="51"/>
      <c r="V29" s="52" t="s">
        <v>0</v>
      </c>
      <c r="W29" s="11" t="s">
        <v>3</v>
      </c>
      <c r="X29" s="88">
        <v>0.321</v>
      </c>
      <c r="Y29" s="88">
        <f aca="true" t="shared" si="12" ref="Y29:Y47">X29*K29</f>
        <v>14.445</v>
      </c>
      <c r="Z29" s="88">
        <v>0.01261</v>
      </c>
      <c r="AA29" s="88">
        <f aca="true" t="shared" si="13" ref="AA29:AA47">Z29*K29</f>
        <v>0.56745</v>
      </c>
      <c r="AB29" s="88">
        <v>0</v>
      </c>
      <c r="AC29" s="54">
        <f aca="true" t="shared" si="14" ref="AC29:AC47">AB29*K29</f>
        <v>0</v>
      </c>
      <c r="AT29" s="7" t="s">
        <v>62</v>
      </c>
      <c r="AV29" s="7" t="s">
        <v>60</v>
      </c>
      <c r="AW29" s="7" t="s">
        <v>63</v>
      </c>
      <c r="BA29" s="7" t="s">
        <v>59</v>
      </c>
      <c r="BG29" s="55">
        <f aca="true" t="shared" si="15" ref="BG29:BG47">IF(W29="základná",N29,0)</f>
        <v>0</v>
      </c>
      <c r="BH29" s="55">
        <f aca="true" t="shared" si="16" ref="BH29:BH47">IF(W29="znížená",N29,0)</f>
        <v>0</v>
      </c>
      <c r="BI29" s="55">
        <f aca="true" t="shared" si="17" ref="BI29:BI47">IF(W29="zákl. prenesená",N29,0)</f>
        <v>0</v>
      </c>
      <c r="BJ29" s="55">
        <f aca="true" t="shared" si="18" ref="BJ29:BJ47">IF(W29="zníž. prenesená",N29,0)</f>
        <v>0</v>
      </c>
      <c r="BK29" s="55">
        <f aca="true" t="shared" si="19" ref="BK29:BK47">IF(W29="nulová",N29,0)</f>
        <v>0</v>
      </c>
      <c r="BL29" s="7" t="s">
        <v>63</v>
      </c>
      <c r="BM29" s="55">
        <f aca="true" t="shared" si="20" ref="BM29:BM47">ROUND(L29*K29,2)</f>
        <v>0</v>
      </c>
      <c r="BN29" s="7" t="s">
        <v>62</v>
      </c>
      <c r="BO29" s="7" t="s">
        <v>99</v>
      </c>
    </row>
    <row r="30" spans="2:67" s="1" customFormat="1" ht="44.25" customHeight="1">
      <c r="B30" s="50"/>
      <c r="C30" s="56" t="s">
        <v>95</v>
      </c>
      <c r="D30" s="56" t="s">
        <v>60</v>
      </c>
      <c r="E30" s="57" t="s">
        <v>195</v>
      </c>
      <c r="F30" s="209" t="s">
        <v>196</v>
      </c>
      <c r="G30" s="204"/>
      <c r="H30" s="204"/>
      <c r="I30" s="204"/>
      <c r="J30" s="58" t="s">
        <v>61</v>
      </c>
      <c r="K30" s="59">
        <v>5.55</v>
      </c>
      <c r="L30" s="203"/>
      <c r="M30" s="204"/>
      <c r="N30" s="203">
        <f t="shared" si="11"/>
        <v>0</v>
      </c>
      <c r="O30" s="204"/>
      <c r="P30" s="204"/>
      <c r="Q30" s="204"/>
      <c r="R30" s="179">
        <f t="shared" si="10"/>
        <v>0</v>
      </c>
      <c r="S30" s="58" t="s">
        <v>158</v>
      </c>
      <c r="T30" s="51"/>
      <c r="V30" s="52" t="s">
        <v>0</v>
      </c>
      <c r="W30" s="11" t="s">
        <v>3</v>
      </c>
      <c r="X30" s="88">
        <v>0.225</v>
      </c>
      <c r="Y30" s="88">
        <f t="shared" si="12"/>
        <v>1.24875</v>
      </c>
      <c r="Z30" s="88">
        <v>0.01119</v>
      </c>
      <c r="AA30" s="88">
        <f t="shared" si="13"/>
        <v>0.0621045</v>
      </c>
      <c r="AB30" s="88">
        <v>0</v>
      </c>
      <c r="AC30" s="54">
        <f t="shared" si="14"/>
        <v>0</v>
      </c>
      <c r="AT30" s="7" t="s">
        <v>62</v>
      </c>
      <c r="AV30" s="7" t="s">
        <v>60</v>
      </c>
      <c r="AW30" s="7" t="s">
        <v>63</v>
      </c>
      <c r="BA30" s="7" t="s">
        <v>59</v>
      </c>
      <c r="BG30" s="55">
        <f t="shared" si="15"/>
        <v>0</v>
      </c>
      <c r="BH30" s="55">
        <f t="shared" si="16"/>
        <v>0</v>
      </c>
      <c r="BI30" s="55">
        <f t="shared" si="17"/>
        <v>0</v>
      </c>
      <c r="BJ30" s="55">
        <f t="shared" si="18"/>
        <v>0</v>
      </c>
      <c r="BK30" s="55">
        <f t="shared" si="19"/>
        <v>0</v>
      </c>
      <c r="BL30" s="7" t="s">
        <v>63</v>
      </c>
      <c r="BM30" s="55">
        <f t="shared" si="20"/>
        <v>0</v>
      </c>
      <c r="BN30" s="7" t="s">
        <v>62</v>
      </c>
      <c r="BO30" s="7" t="s">
        <v>101</v>
      </c>
    </row>
    <row r="31" spans="2:67" s="1" customFormat="1" ht="25.5" customHeight="1">
      <c r="B31" s="50"/>
      <c r="C31" s="56" t="s">
        <v>98</v>
      </c>
      <c r="D31" s="56" t="s">
        <v>60</v>
      </c>
      <c r="E31" s="57" t="s">
        <v>145</v>
      </c>
      <c r="F31" s="209" t="s">
        <v>146</v>
      </c>
      <c r="G31" s="204"/>
      <c r="H31" s="204"/>
      <c r="I31" s="204"/>
      <c r="J31" s="58" t="s">
        <v>74</v>
      </c>
      <c r="K31" s="59">
        <v>12.21</v>
      </c>
      <c r="L31" s="203"/>
      <c r="M31" s="204"/>
      <c r="N31" s="203">
        <f t="shared" si="11"/>
        <v>0</v>
      </c>
      <c r="O31" s="204"/>
      <c r="P31" s="204"/>
      <c r="Q31" s="204"/>
      <c r="R31" s="179">
        <f t="shared" si="10"/>
        <v>0</v>
      </c>
      <c r="S31" s="58" t="s">
        <v>158</v>
      </c>
      <c r="T31" s="51"/>
      <c r="V31" s="52" t="s">
        <v>0</v>
      </c>
      <c r="W31" s="11" t="s">
        <v>3</v>
      </c>
      <c r="X31" s="88">
        <v>0.389</v>
      </c>
      <c r="Y31" s="88">
        <f t="shared" si="12"/>
        <v>4.74969</v>
      </c>
      <c r="Z31" s="88">
        <v>0.01365</v>
      </c>
      <c r="AA31" s="88">
        <f t="shared" si="13"/>
        <v>0.16666650000000002</v>
      </c>
      <c r="AB31" s="88">
        <v>0</v>
      </c>
      <c r="AC31" s="54">
        <f t="shared" si="14"/>
        <v>0</v>
      </c>
      <c r="AT31" s="7" t="s">
        <v>62</v>
      </c>
      <c r="AV31" s="7" t="s">
        <v>60</v>
      </c>
      <c r="AW31" s="7" t="s">
        <v>63</v>
      </c>
      <c r="BA31" s="7" t="s">
        <v>59</v>
      </c>
      <c r="BG31" s="55">
        <f t="shared" si="15"/>
        <v>0</v>
      </c>
      <c r="BH31" s="55">
        <f t="shared" si="16"/>
        <v>0</v>
      </c>
      <c r="BI31" s="55">
        <f t="shared" si="17"/>
        <v>0</v>
      </c>
      <c r="BJ31" s="55">
        <f t="shared" si="18"/>
        <v>0</v>
      </c>
      <c r="BK31" s="55">
        <f t="shared" si="19"/>
        <v>0</v>
      </c>
      <c r="BL31" s="7" t="s">
        <v>63</v>
      </c>
      <c r="BM31" s="55">
        <f t="shared" si="20"/>
        <v>0</v>
      </c>
      <c r="BN31" s="7" t="s">
        <v>62</v>
      </c>
      <c r="BO31" s="7" t="s">
        <v>103</v>
      </c>
    </row>
    <row r="32" spans="2:67" s="1" customFormat="1" ht="31.5" customHeight="1">
      <c r="B32" s="50"/>
      <c r="C32" s="56" t="s">
        <v>100</v>
      </c>
      <c r="D32" s="56" t="s">
        <v>60</v>
      </c>
      <c r="E32" s="57" t="s">
        <v>147</v>
      </c>
      <c r="F32" s="209" t="s">
        <v>148</v>
      </c>
      <c r="G32" s="204"/>
      <c r="H32" s="204"/>
      <c r="I32" s="204"/>
      <c r="J32" s="58" t="s">
        <v>74</v>
      </c>
      <c r="K32" s="59">
        <v>244.2</v>
      </c>
      <c r="L32" s="203"/>
      <c r="M32" s="204"/>
      <c r="N32" s="203">
        <f t="shared" si="11"/>
        <v>0</v>
      </c>
      <c r="O32" s="204"/>
      <c r="P32" s="204"/>
      <c r="Q32" s="204"/>
      <c r="R32" s="179">
        <f t="shared" si="10"/>
        <v>0</v>
      </c>
      <c r="S32" s="58" t="s">
        <v>158</v>
      </c>
      <c r="T32" s="51"/>
      <c r="V32" s="52" t="s">
        <v>0</v>
      </c>
      <c r="W32" s="11" t="s">
        <v>3</v>
      </c>
      <c r="X32" s="88">
        <v>0.052</v>
      </c>
      <c r="Y32" s="88">
        <f t="shared" si="12"/>
        <v>12.6984</v>
      </c>
      <c r="Z32" s="88">
        <v>0.00042</v>
      </c>
      <c r="AA32" s="88">
        <f t="shared" si="13"/>
        <v>0.102564</v>
      </c>
      <c r="AB32" s="88">
        <v>0</v>
      </c>
      <c r="AC32" s="54">
        <f t="shared" si="14"/>
        <v>0</v>
      </c>
      <c r="AT32" s="7" t="s">
        <v>62</v>
      </c>
      <c r="AV32" s="7" t="s">
        <v>60</v>
      </c>
      <c r="AW32" s="7" t="s">
        <v>63</v>
      </c>
      <c r="BA32" s="7" t="s">
        <v>59</v>
      </c>
      <c r="BG32" s="55">
        <f t="shared" si="15"/>
        <v>0</v>
      </c>
      <c r="BH32" s="55">
        <f t="shared" si="16"/>
        <v>0</v>
      </c>
      <c r="BI32" s="55">
        <f t="shared" si="17"/>
        <v>0</v>
      </c>
      <c r="BJ32" s="55">
        <f t="shared" si="18"/>
        <v>0</v>
      </c>
      <c r="BK32" s="55">
        <f t="shared" si="19"/>
        <v>0</v>
      </c>
      <c r="BL32" s="7" t="s">
        <v>63</v>
      </c>
      <c r="BM32" s="55">
        <f t="shared" si="20"/>
        <v>0</v>
      </c>
      <c r="BN32" s="7" t="s">
        <v>62</v>
      </c>
      <c r="BO32" s="7" t="s">
        <v>104</v>
      </c>
    </row>
    <row r="33" spans="2:67" s="1" customFormat="1" ht="31.5" customHeight="1">
      <c r="B33" s="50"/>
      <c r="C33" s="56" t="s">
        <v>102</v>
      </c>
      <c r="D33" s="56" t="s">
        <v>60</v>
      </c>
      <c r="E33" s="57" t="s">
        <v>149</v>
      </c>
      <c r="F33" s="209" t="s">
        <v>150</v>
      </c>
      <c r="G33" s="204"/>
      <c r="H33" s="204"/>
      <c r="I33" s="204"/>
      <c r="J33" s="58" t="s">
        <v>74</v>
      </c>
      <c r="K33" s="59">
        <v>12.21</v>
      </c>
      <c r="L33" s="203"/>
      <c r="M33" s="204"/>
      <c r="N33" s="203">
        <f t="shared" si="11"/>
        <v>0</v>
      </c>
      <c r="O33" s="204"/>
      <c r="P33" s="204"/>
      <c r="Q33" s="204"/>
      <c r="R33" s="179">
        <f t="shared" si="10"/>
        <v>0</v>
      </c>
      <c r="S33" s="58" t="s">
        <v>158</v>
      </c>
      <c r="T33" s="51"/>
      <c r="V33" s="52" t="s">
        <v>0</v>
      </c>
      <c r="W33" s="11" t="s">
        <v>3</v>
      </c>
      <c r="X33" s="88">
        <v>0.3887</v>
      </c>
      <c r="Y33" s="88">
        <f t="shared" si="12"/>
        <v>4.746027</v>
      </c>
      <c r="Z33" s="88">
        <v>0.01312</v>
      </c>
      <c r="AA33" s="88">
        <f t="shared" si="13"/>
        <v>0.1601952</v>
      </c>
      <c r="AB33" s="88">
        <v>0</v>
      </c>
      <c r="AC33" s="54">
        <f t="shared" si="14"/>
        <v>0</v>
      </c>
      <c r="AT33" s="7" t="s">
        <v>62</v>
      </c>
      <c r="AV33" s="7" t="s">
        <v>60</v>
      </c>
      <c r="AW33" s="7" t="s">
        <v>63</v>
      </c>
      <c r="BA33" s="7" t="s">
        <v>59</v>
      </c>
      <c r="BG33" s="55">
        <f t="shared" si="15"/>
        <v>0</v>
      </c>
      <c r="BH33" s="55">
        <f t="shared" si="16"/>
        <v>0</v>
      </c>
      <c r="BI33" s="55">
        <f t="shared" si="17"/>
        <v>0</v>
      </c>
      <c r="BJ33" s="55">
        <f t="shared" si="18"/>
        <v>0</v>
      </c>
      <c r="BK33" s="55">
        <f t="shared" si="19"/>
        <v>0</v>
      </c>
      <c r="BL33" s="7" t="s">
        <v>63</v>
      </c>
      <c r="BM33" s="55">
        <f t="shared" si="20"/>
        <v>0</v>
      </c>
      <c r="BN33" s="7" t="s">
        <v>62</v>
      </c>
      <c r="BO33" s="7" t="s">
        <v>106</v>
      </c>
    </row>
    <row r="34" spans="2:67" s="1" customFormat="1" ht="42" customHeight="1">
      <c r="B34" s="50"/>
      <c r="C34" s="56" t="s">
        <v>1</v>
      </c>
      <c r="D34" s="56" t="s">
        <v>60</v>
      </c>
      <c r="E34" s="57" t="s">
        <v>197</v>
      </c>
      <c r="F34" s="209" t="s">
        <v>198</v>
      </c>
      <c r="G34" s="204"/>
      <c r="H34" s="204"/>
      <c r="I34" s="204"/>
      <c r="J34" s="58" t="s">
        <v>74</v>
      </c>
      <c r="K34" s="59">
        <v>12.21</v>
      </c>
      <c r="L34" s="203"/>
      <c r="M34" s="204"/>
      <c r="N34" s="203">
        <f t="shared" si="11"/>
        <v>0</v>
      </c>
      <c r="O34" s="204"/>
      <c r="P34" s="204"/>
      <c r="Q34" s="204"/>
      <c r="R34" s="179">
        <f t="shared" si="10"/>
        <v>0</v>
      </c>
      <c r="S34" s="58" t="s">
        <v>158</v>
      </c>
      <c r="T34" s="51"/>
      <c r="V34" s="52" t="s">
        <v>0</v>
      </c>
      <c r="W34" s="11" t="s">
        <v>3</v>
      </c>
      <c r="X34" s="88">
        <v>0.11118</v>
      </c>
      <c r="Y34" s="88">
        <f t="shared" si="12"/>
        <v>1.3575078</v>
      </c>
      <c r="Z34" s="88">
        <v>0.00576</v>
      </c>
      <c r="AA34" s="88">
        <f t="shared" si="13"/>
        <v>0.0703296</v>
      </c>
      <c r="AB34" s="88">
        <v>0</v>
      </c>
      <c r="AC34" s="54">
        <f t="shared" si="14"/>
        <v>0</v>
      </c>
      <c r="AT34" s="7" t="s">
        <v>62</v>
      </c>
      <c r="AV34" s="7" t="s">
        <v>60</v>
      </c>
      <c r="AW34" s="7" t="s">
        <v>63</v>
      </c>
      <c r="BA34" s="7" t="s">
        <v>59</v>
      </c>
      <c r="BG34" s="55">
        <f t="shared" si="15"/>
        <v>0</v>
      </c>
      <c r="BH34" s="55">
        <f t="shared" si="16"/>
        <v>0</v>
      </c>
      <c r="BI34" s="55">
        <f t="shared" si="17"/>
        <v>0</v>
      </c>
      <c r="BJ34" s="55">
        <f t="shared" si="18"/>
        <v>0</v>
      </c>
      <c r="BK34" s="55">
        <f t="shared" si="19"/>
        <v>0</v>
      </c>
      <c r="BL34" s="7" t="s">
        <v>63</v>
      </c>
      <c r="BM34" s="55">
        <f t="shared" si="20"/>
        <v>0</v>
      </c>
      <c r="BN34" s="7" t="s">
        <v>62</v>
      </c>
      <c r="BO34" s="7" t="s">
        <v>108</v>
      </c>
    </row>
    <row r="35" spans="2:67" s="1" customFormat="1" ht="31.5" customHeight="1">
      <c r="B35" s="50"/>
      <c r="C35" s="112"/>
      <c r="D35" s="113" t="s">
        <v>43</v>
      </c>
      <c r="E35" s="113"/>
      <c r="F35" s="113"/>
      <c r="G35" s="113"/>
      <c r="H35" s="113"/>
      <c r="I35" s="113"/>
      <c r="J35" s="113"/>
      <c r="K35" s="113"/>
      <c r="L35" s="113"/>
      <c r="M35" s="113"/>
      <c r="N35" s="224">
        <f>ROUND(SUM(N36+N38+N45),2)</f>
        <v>0</v>
      </c>
      <c r="O35" s="225"/>
      <c r="P35" s="225"/>
      <c r="Q35" s="225"/>
      <c r="R35" s="113"/>
      <c r="S35" s="113"/>
      <c r="T35" s="51"/>
      <c r="V35" s="52" t="s">
        <v>0</v>
      </c>
      <c r="W35" s="11" t="s">
        <v>3</v>
      </c>
      <c r="X35" s="88">
        <v>0.26</v>
      </c>
      <c r="Y35" s="88">
        <f t="shared" si="12"/>
        <v>0</v>
      </c>
      <c r="Z35" s="88">
        <v>0.00043</v>
      </c>
      <c r="AA35" s="88">
        <f t="shared" si="13"/>
        <v>0</v>
      </c>
      <c r="AB35" s="88">
        <v>0</v>
      </c>
      <c r="AC35" s="54">
        <f t="shared" si="14"/>
        <v>0</v>
      </c>
      <c r="AT35" s="7" t="s">
        <v>62</v>
      </c>
      <c r="AV35" s="7" t="s">
        <v>60</v>
      </c>
      <c r="AW35" s="7" t="s">
        <v>63</v>
      </c>
      <c r="BA35" s="7" t="s">
        <v>59</v>
      </c>
      <c r="BG35" s="55">
        <f t="shared" si="15"/>
        <v>0</v>
      </c>
      <c r="BH35" s="55">
        <f t="shared" si="16"/>
        <v>0</v>
      </c>
      <c r="BI35" s="55">
        <f t="shared" si="17"/>
        <v>0</v>
      </c>
      <c r="BJ35" s="55">
        <f t="shared" si="18"/>
        <v>0</v>
      </c>
      <c r="BK35" s="55">
        <f t="shared" si="19"/>
        <v>0</v>
      </c>
      <c r="BL35" s="7" t="s">
        <v>63</v>
      </c>
      <c r="BM35" s="55">
        <f t="shared" si="20"/>
        <v>0</v>
      </c>
      <c r="BN35" s="7" t="s">
        <v>62</v>
      </c>
      <c r="BO35" s="7" t="s">
        <v>110</v>
      </c>
    </row>
    <row r="36" spans="2:67" s="1" customFormat="1" ht="22.5" customHeight="1">
      <c r="B36" s="50"/>
      <c r="C36" s="112"/>
      <c r="D36" s="114" t="s">
        <v>44</v>
      </c>
      <c r="E36" s="114"/>
      <c r="F36" s="114"/>
      <c r="G36" s="114"/>
      <c r="H36" s="114"/>
      <c r="I36" s="114"/>
      <c r="J36" s="114"/>
      <c r="K36" s="114"/>
      <c r="L36" s="114"/>
      <c r="M36" s="114"/>
      <c r="N36" s="226">
        <f>ROUND(SUM(N37),2)</f>
        <v>0</v>
      </c>
      <c r="O36" s="227"/>
      <c r="P36" s="227"/>
      <c r="Q36" s="227"/>
      <c r="R36" s="113"/>
      <c r="S36" s="113"/>
      <c r="T36" s="51"/>
      <c r="V36" s="52" t="s">
        <v>0</v>
      </c>
      <c r="W36" s="11" t="s">
        <v>3</v>
      </c>
      <c r="X36" s="88">
        <v>0.26</v>
      </c>
      <c r="Y36" s="88">
        <f t="shared" si="12"/>
        <v>0</v>
      </c>
      <c r="Z36" s="88">
        <v>0.00043</v>
      </c>
      <c r="AA36" s="88">
        <f t="shared" si="13"/>
        <v>0</v>
      </c>
      <c r="AB36" s="88">
        <v>0</v>
      </c>
      <c r="AC36" s="54">
        <f t="shared" si="14"/>
        <v>0</v>
      </c>
      <c r="AT36" s="7" t="s">
        <v>62</v>
      </c>
      <c r="AV36" s="7" t="s">
        <v>60</v>
      </c>
      <c r="AW36" s="7" t="s">
        <v>63</v>
      </c>
      <c r="BA36" s="7" t="s">
        <v>59</v>
      </c>
      <c r="BG36" s="55">
        <f t="shared" si="15"/>
        <v>0</v>
      </c>
      <c r="BH36" s="55">
        <f t="shared" si="16"/>
        <v>0</v>
      </c>
      <c r="BI36" s="55">
        <f t="shared" si="17"/>
        <v>0</v>
      </c>
      <c r="BJ36" s="55">
        <f t="shared" si="18"/>
        <v>0</v>
      </c>
      <c r="BK36" s="55">
        <f t="shared" si="19"/>
        <v>0</v>
      </c>
      <c r="BL36" s="7" t="s">
        <v>63</v>
      </c>
      <c r="BM36" s="55">
        <f t="shared" si="20"/>
        <v>0</v>
      </c>
      <c r="BN36" s="7" t="s">
        <v>62</v>
      </c>
      <c r="BO36" s="7" t="s">
        <v>112</v>
      </c>
    </row>
    <row r="37" spans="2:67" s="1" customFormat="1" ht="31.5" customHeight="1">
      <c r="B37" s="50"/>
      <c r="C37" s="56" t="s">
        <v>105</v>
      </c>
      <c r="D37" s="56" t="s">
        <v>60</v>
      </c>
      <c r="E37" s="57" t="s">
        <v>199</v>
      </c>
      <c r="F37" s="209" t="s">
        <v>200</v>
      </c>
      <c r="G37" s="204"/>
      <c r="H37" s="204"/>
      <c r="I37" s="204"/>
      <c r="J37" s="58" t="s">
        <v>91</v>
      </c>
      <c r="K37" s="59">
        <v>0.96</v>
      </c>
      <c r="L37" s="203"/>
      <c r="M37" s="204"/>
      <c r="N37" s="203">
        <f>ROUND((K37*L37),2)</f>
        <v>0</v>
      </c>
      <c r="O37" s="204"/>
      <c r="P37" s="204"/>
      <c r="Q37" s="204"/>
      <c r="R37" s="179">
        <f aca="true" t="shared" si="21" ref="R37:R43">ROUND((N37*1.2),2)</f>
        <v>0</v>
      </c>
      <c r="S37" s="58" t="s">
        <v>158</v>
      </c>
      <c r="T37" s="51"/>
      <c r="V37" s="52" t="s">
        <v>0</v>
      </c>
      <c r="W37" s="11" t="s">
        <v>3</v>
      </c>
      <c r="X37" s="88">
        <v>3.163</v>
      </c>
      <c r="Y37" s="88">
        <f t="shared" si="12"/>
        <v>3.0364799999999996</v>
      </c>
      <c r="Z37" s="88">
        <v>2.23957</v>
      </c>
      <c r="AA37" s="88">
        <f t="shared" si="13"/>
        <v>2.1499872</v>
      </c>
      <c r="AB37" s="88">
        <v>0</v>
      </c>
      <c r="AC37" s="54">
        <f t="shared" si="14"/>
        <v>0</v>
      </c>
      <c r="AT37" s="7" t="s">
        <v>62</v>
      </c>
      <c r="AV37" s="7" t="s">
        <v>60</v>
      </c>
      <c r="AW37" s="7" t="s">
        <v>63</v>
      </c>
      <c r="BA37" s="7" t="s">
        <v>59</v>
      </c>
      <c r="BG37" s="55">
        <f t="shared" si="15"/>
        <v>0</v>
      </c>
      <c r="BH37" s="55">
        <f t="shared" si="16"/>
        <v>0</v>
      </c>
      <c r="BI37" s="55">
        <f t="shared" si="17"/>
        <v>0</v>
      </c>
      <c r="BJ37" s="55">
        <f t="shared" si="18"/>
        <v>0</v>
      </c>
      <c r="BK37" s="55">
        <f t="shared" si="19"/>
        <v>0</v>
      </c>
      <c r="BL37" s="7" t="s">
        <v>63</v>
      </c>
      <c r="BM37" s="55">
        <f t="shared" si="20"/>
        <v>0</v>
      </c>
      <c r="BN37" s="7" t="s">
        <v>62</v>
      </c>
      <c r="BO37" s="7" t="s">
        <v>114</v>
      </c>
    </row>
    <row r="38" spans="2:67" s="1" customFormat="1" ht="44.25" customHeight="1">
      <c r="B38" s="50"/>
      <c r="C38" s="112"/>
      <c r="D38" s="114" t="s">
        <v>45</v>
      </c>
      <c r="E38" s="114"/>
      <c r="F38" s="114"/>
      <c r="G38" s="114"/>
      <c r="H38" s="114"/>
      <c r="I38" s="114"/>
      <c r="J38" s="114"/>
      <c r="K38" s="114"/>
      <c r="L38" s="114"/>
      <c r="M38" s="114"/>
      <c r="N38" s="201">
        <f>ROUND(SUM(N39:Q44),2)</f>
        <v>0</v>
      </c>
      <c r="O38" s="202"/>
      <c r="P38" s="202"/>
      <c r="Q38" s="202"/>
      <c r="R38" s="114"/>
      <c r="S38" s="114"/>
      <c r="T38" s="51"/>
      <c r="V38" s="52" t="s">
        <v>0</v>
      </c>
      <c r="W38" s="11" t="s">
        <v>3</v>
      </c>
      <c r="X38" s="88">
        <v>0.343</v>
      </c>
      <c r="Y38" s="88">
        <f t="shared" si="12"/>
        <v>0</v>
      </c>
      <c r="Z38" s="88">
        <v>0.00044</v>
      </c>
      <c r="AA38" s="88">
        <f t="shared" si="13"/>
        <v>0</v>
      </c>
      <c r="AB38" s="88">
        <v>0</v>
      </c>
      <c r="AC38" s="54">
        <f t="shared" si="14"/>
        <v>0</v>
      </c>
      <c r="AT38" s="7" t="s">
        <v>62</v>
      </c>
      <c r="AV38" s="7" t="s">
        <v>60</v>
      </c>
      <c r="AW38" s="7" t="s">
        <v>63</v>
      </c>
      <c r="BA38" s="7" t="s">
        <v>59</v>
      </c>
      <c r="BG38" s="55">
        <f t="shared" si="15"/>
        <v>0</v>
      </c>
      <c r="BH38" s="55">
        <f t="shared" si="16"/>
        <v>0</v>
      </c>
      <c r="BI38" s="55">
        <f t="shared" si="17"/>
        <v>0</v>
      </c>
      <c r="BJ38" s="55">
        <f t="shared" si="18"/>
        <v>0</v>
      </c>
      <c r="BK38" s="55">
        <f t="shared" si="19"/>
        <v>0</v>
      </c>
      <c r="BL38" s="7" t="s">
        <v>63</v>
      </c>
      <c r="BM38" s="55">
        <f t="shared" si="20"/>
        <v>0</v>
      </c>
      <c r="BN38" s="7" t="s">
        <v>62</v>
      </c>
      <c r="BO38" s="7" t="s">
        <v>116</v>
      </c>
    </row>
    <row r="39" spans="2:67" s="1" customFormat="1" ht="22.5" customHeight="1">
      <c r="B39" s="50"/>
      <c r="C39" s="56" t="s">
        <v>107</v>
      </c>
      <c r="D39" s="56" t="s">
        <v>60</v>
      </c>
      <c r="E39" s="57" t="s">
        <v>201</v>
      </c>
      <c r="F39" s="209" t="s">
        <v>255</v>
      </c>
      <c r="G39" s="204"/>
      <c r="H39" s="204"/>
      <c r="I39" s="204"/>
      <c r="J39" s="58" t="s">
        <v>79</v>
      </c>
      <c r="K39" s="59">
        <v>1</v>
      </c>
      <c r="L39" s="203"/>
      <c r="M39" s="204"/>
      <c r="N39" s="203">
        <f>ROUND((K39*L39),2)</f>
        <v>0</v>
      </c>
      <c r="O39" s="204"/>
      <c r="P39" s="204"/>
      <c r="Q39" s="204"/>
      <c r="R39" s="179">
        <f t="shared" si="21"/>
        <v>0</v>
      </c>
      <c r="S39" s="58" t="s">
        <v>158</v>
      </c>
      <c r="T39" s="51"/>
      <c r="V39" s="52" t="s">
        <v>0</v>
      </c>
      <c r="W39" s="11" t="s">
        <v>3</v>
      </c>
      <c r="X39" s="88">
        <v>0</v>
      </c>
      <c r="Y39" s="88">
        <f t="shared" si="12"/>
        <v>0</v>
      </c>
      <c r="Z39" s="88">
        <v>0.0134</v>
      </c>
      <c r="AA39" s="88">
        <f t="shared" si="13"/>
        <v>0.0134</v>
      </c>
      <c r="AB39" s="88">
        <v>0</v>
      </c>
      <c r="AC39" s="54">
        <f t="shared" si="14"/>
        <v>0</v>
      </c>
      <c r="AT39" s="7" t="s">
        <v>78</v>
      </c>
      <c r="AV39" s="7" t="s">
        <v>118</v>
      </c>
      <c r="AW39" s="7" t="s">
        <v>63</v>
      </c>
      <c r="BA39" s="7" t="s">
        <v>59</v>
      </c>
      <c r="BG39" s="55">
        <f t="shared" si="15"/>
        <v>0</v>
      </c>
      <c r="BH39" s="55">
        <f t="shared" si="16"/>
        <v>0</v>
      </c>
      <c r="BI39" s="55">
        <f t="shared" si="17"/>
        <v>0</v>
      </c>
      <c r="BJ39" s="55">
        <f t="shared" si="18"/>
        <v>0</v>
      </c>
      <c r="BK39" s="55">
        <f t="shared" si="19"/>
        <v>0</v>
      </c>
      <c r="BL39" s="7" t="s">
        <v>63</v>
      </c>
      <c r="BM39" s="55">
        <f t="shared" si="20"/>
        <v>0</v>
      </c>
      <c r="BN39" s="7" t="s">
        <v>62</v>
      </c>
      <c r="BO39" s="7" t="s">
        <v>119</v>
      </c>
    </row>
    <row r="40" spans="2:67" s="1" customFormat="1" ht="125.25" customHeight="1">
      <c r="B40" s="50"/>
      <c r="C40" s="111"/>
      <c r="D40" s="111"/>
      <c r="E40" s="111"/>
      <c r="F40" s="212" t="s">
        <v>256</v>
      </c>
      <c r="G40" s="213"/>
      <c r="H40" s="213"/>
      <c r="I40" s="213"/>
      <c r="J40" s="111"/>
      <c r="K40" s="111"/>
      <c r="L40" s="111"/>
      <c r="M40" s="111"/>
      <c r="N40" s="228"/>
      <c r="O40" s="229"/>
      <c r="P40" s="229"/>
      <c r="Q40" s="229"/>
      <c r="R40" s="179"/>
      <c r="S40" s="58"/>
      <c r="T40" s="51"/>
      <c r="V40" s="52" t="s">
        <v>0</v>
      </c>
      <c r="W40" s="11" t="s">
        <v>3</v>
      </c>
      <c r="X40" s="88">
        <v>0.64441</v>
      </c>
      <c r="Y40" s="88">
        <f t="shared" si="12"/>
        <v>0</v>
      </c>
      <c r="Z40" s="88">
        <v>0.01545</v>
      </c>
      <c r="AA40" s="88">
        <f t="shared" si="13"/>
        <v>0</v>
      </c>
      <c r="AB40" s="88">
        <v>0</v>
      </c>
      <c r="AC40" s="54">
        <f t="shared" si="14"/>
        <v>0</v>
      </c>
      <c r="AT40" s="7" t="s">
        <v>62</v>
      </c>
      <c r="AV40" s="7" t="s">
        <v>60</v>
      </c>
      <c r="AW40" s="7" t="s">
        <v>63</v>
      </c>
      <c r="BA40" s="7" t="s">
        <v>59</v>
      </c>
      <c r="BG40" s="55">
        <f t="shared" si="15"/>
        <v>0</v>
      </c>
      <c r="BH40" s="55">
        <f t="shared" si="16"/>
        <v>0</v>
      </c>
      <c r="BI40" s="55">
        <f t="shared" si="17"/>
        <v>0</v>
      </c>
      <c r="BJ40" s="55">
        <f t="shared" si="18"/>
        <v>0</v>
      </c>
      <c r="BK40" s="55">
        <f t="shared" si="19"/>
        <v>0</v>
      </c>
      <c r="BL40" s="7" t="s">
        <v>63</v>
      </c>
      <c r="BM40" s="55">
        <f t="shared" si="20"/>
        <v>0</v>
      </c>
      <c r="BN40" s="7" t="s">
        <v>62</v>
      </c>
      <c r="BO40" s="7" t="s">
        <v>121</v>
      </c>
    </row>
    <row r="41" spans="2:67" s="1" customFormat="1" ht="71.25" customHeight="1">
      <c r="B41" s="50"/>
      <c r="C41" s="56" t="s">
        <v>109</v>
      </c>
      <c r="D41" s="56" t="s">
        <v>60</v>
      </c>
      <c r="E41" s="57" t="s">
        <v>204</v>
      </c>
      <c r="F41" s="209" t="s">
        <v>257</v>
      </c>
      <c r="G41" s="204"/>
      <c r="H41" s="204"/>
      <c r="I41" s="204"/>
      <c r="J41" s="58" t="s">
        <v>79</v>
      </c>
      <c r="K41" s="59">
        <v>11</v>
      </c>
      <c r="L41" s="203"/>
      <c r="M41" s="204"/>
      <c r="N41" s="203">
        <f>ROUND((K41*L41),2)</f>
        <v>0</v>
      </c>
      <c r="O41" s="204"/>
      <c r="P41" s="204"/>
      <c r="Q41" s="204"/>
      <c r="R41" s="179">
        <f t="shared" si="21"/>
        <v>0</v>
      </c>
      <c r="S41" s="58" t="s">
        <v>158</v>
      </c>
      <c r="T41" s="51"/>
      <c r="V41" s="52" t="s">
        <v>0</v>
      </c>
      <c r="W41" s="11" t="s">
        <v>3</v>
      </c>
      <c r="X41" s="88">
        <v>0.67566</v>
      </c>
      <c r="Y41" s="88">
        <f t="shared" si="12"/>
        <v>7.43226</v>
      </c>
      <c r="Z41" s="88">
        <v>0.03502</v>
      </c>
      <c r="AA41" s="88">
        <f t="shared" si="13"/>
        <v>0.38522</v>
      </c>
      <c r="AB41" s="88">
        <v>0</v>
      </c>
      <c r="AC41" s="54">
        <f t="shared" si="14"/>
        <v>0</v>
      </c>
      <c r="AT41" s="7" t="s">
        <v>62</v>
      </c>
      <c r="AV41" s="7" t="s">
        <v>60</v>
      </c>
      <c r="AW41" s="7" t="s">
        <v>63</v>
      </c>
      <c r="BA41" s="7" t="s">
        <v>59</v>
      </c>
      <c r="BG41" s="55">
        <f t="shared" si="15"/>
        <v>0</v>
      </c>
      <c r="BH41" s="55">
        <f t="shared" si="16"/>
        <v>0</v>
      </c>
      <c r="BI41" s="55">
        <f t="shared" si="17"/>
        <v>0</v>
      </c>
      <c r="BJ41" s="55">
        <f t="shared" si="18"/>
        <v>0</v>
      </c>
      <c r="BK41" s="55">
        <f t="shared" si="19"/>
        <v>0</v>
      </c>
      <c r="BL41" s="7" t="s">
        <v>63</v>
      </c>
      <c r="BM41" s="55">
        <f t="shared" si="20"/>
        <v>0</v>
      </c>
      <c r="BN41" s="7" t="s">
        <v>62</v>
      </c>
      <c r="BO41" s="7" t="s">
        <v>123</v>
      </c>
    </row>
    <row r="42" spans="2:67" s="1" customFormat="1" ht="30" customHeight="1">
      <c r="B42" s="50"/>
      <c r="C42" s="56" t="s">
        <v>111</v>
      </c>
      <c r="D42" s="56" t="s">
        <v>60</v>
      </c>
      <c r="E42" s="57" t="s">
        <v>206</v>
      </c>
      <c r="F42" s="209" t="s">
        <v>207</v>
      </c>
      <c r="G42" s="204"/>
      <c r="H42" s="204"/>
      <c r="I42" s="204"/>
      <c r="J42" s="58" t="s">
        <v>96</v>
      </c>
      <c r="K42" s="59">
        <v>1</v>
      </c>
      <c r="L42" s="203"/>
      <c r="M42" s="204"/>
      <c r="N42" s="203">
        <f>ROUND((K42*L42),2)</f>
        <v>0</v>
      </c>
      <c r="O42" s="204"/>
      <c r="P42" s="204"/>
      <c r="Q42" s="204"/>
      <c r="R42" s="179">
        <f t="shared" si="21"/>
        <v>0</v>
      </c>
      <c r="S42" s="58" t="s">
        <v>158</v>
      </c>
      <c r="T42" s="51"/>
      <c r="V42" s="52" t="s">
        <v>0</v>
      </c>
      <c r="W42" s="11" t="s">
        <v>3</v>
      </c>
      <c r="X42" s="88">
        <v>0.21</v>
      </c>
      <c r="Y42" s="88">
        <f t="shared" si="12"/>
        <v>0.21</v>
      </c>
      <c r="Z42" s="88">
        <v>0.00032</v>
      </c>
      <c r="AA42" s="88">
        <f t="shared" si="13"/>
        <v>0.00032</v>
      </c>
      <c r="AB42" s="88">
        <v>0</v>
      </c>
      <c r="AC42" s="54">
        <f t="shared" si="14"/>
        <v>0</v>
      </c>
      <c r="AT42" s="7" t="s">
        <v>62</v>
      </c>
      <c r="AV42" s="7" t="s">
        <v>60</v>
      </c>
      <c r="AW42" s="7" t="s">
        <v>63</v>
      </c>
      <c r="BA42" s="7" t="s">
        <v>59</v>
      </c>
      <c r="BG42" s="55">
        <f t="shared" si="15"/>
        <v>0</v>
      </c>
      <c r="BH42" s="55">
        <f t="shared" si="16"/>
        <v>0</v>
      </c>
      <c r="BI42" s="55">
        <f t="shared" si="17"/>
        <v>0</v>
      </c>
      <c r="BJ42" s="55">
        <f t="shared" si="18"/>
        <v>0</v>
      </c>
      <c r="BK42" s="55">
        <f t="shared" si="19"/>
        <v>0</v>
      </c>
      <c r="BL42" s="7" t="s">
        <v>63</v>
      </c>
      <c r="BM42" s="55">
        <f t="shared" si="20"/>
        <v>0</v>
      </c>
      <c r="BN42" s="7" t="s">
        <v>62</v>
      </c>
      <c r="BO42" s="7" t="s">
        <v>126</v>
      </c>
    </row>
    <row r="43" spans="2:67" s="1" customFormat="1" ht="24" customHeight="1">
      <c r="B43" s="50"/>
      <c r="C43" s="56" t="s">
        <v>113</v>
      </c>
      <c r="D43" s="56" t="s">
        <v>60</v>
      </c>
      <c r="E43" s="57" t="s">
        <v>208</v>
      </c>
      <c r="F43" s="209" t="s">
        <v>209</v>
      </c>
      <c r="G43" s="204"/>
      <c r="H43" s="204"/>
      <c r="I43" s="204"/>
      <c r="J43" s="58" t="s">
        <v>79</v>
      </c>
      <c r="K43" s="59">
        <v>1</v>
      </c>
      <c r="L43" s="203"/>
      <c r="M43" s="204"/>
      <c r="N43" s="203">
        <f>ROUND((K43*L43),2)</f>
        <v>0</v>
      </c>
      <c r="O43" s="204"/>
      <c r="P43" s="204"/>
      <c r="Q43" s="204"/>
      <c r="R43" s="179">
        <f t="shared" si="21"/>
        <v>0</v>
      </c>
      <c r="S43" s="58" t="s">
        <v>158</v>
      </c>
      <c r="T43" s="51"/>
      <c r="V43" s="52" t="s">
        <v>0</v>
      </c>
      <c r="W43" s="11" t="s">
        <v>3</v>
      </c>
      <c r="X43" s="88">
        <v>0.77935</v>
      </c>
      <c r="Y43" s="88">
        <f t="shared" si="12"/>
        <v>0.77935</v>
      </c>
      <c r="Z43" s="88">
        <v>0.0175</v>
      </c>
      <c r="AA43" s="88">
        <f t="shared" si="13"/>
        <v>0.0175</v>
      </c>
      <c r="AB43" s="88">
        <v>0</v>
      </c>
      <c r="AC43" s="54">
        <f t="shared" si="14"/>
        <v>0</v>
      </c>
      <c r="AT43" s="7" t="s">
        <v>62</v>
      </c>
      <c r="AV43" s="7" t="s">
        <v>60</v>
      </c>
      <c r="AW43" s="7" t="s">
        <v>63</v>
      </c>
      <c r="BA43" s="7" t="s">
        <v>59</v>
      </c>
      <c r="BG43" s="55">
        <f t="shared" si="15"/>
        <v>0</v>
      </c>
      <c r="BH43" s="55">
        <f t="shared" si="16"/>
        <v>0</v>
      </c>
      <c r="BI43" s="55">
        <f t="shared" si="17"/>
        <v>0</v>
      </c>
      <c r="BJ43" s="55">
        <f t="shared" si="18"/>
        <v>0</v>
      </c>
      <c r="BK43" s="55">
        <f t="shared" si="19"/>
        <v>0</v>
      </c>
      <c r="BL43" s="7" t="s">
        <v>63</v>
      </c>
      <c r="BM43" s="55">
        <f t="shared" si="20"/>
        <v>0</v>
      </c>
      <c r="BN43" s="7" t="s">
        <v>62</v>
      </c>
      <c r="BO43" s="7" t="s">
        <v>128</v>
      </c>
    </row>
    <row r="44" spans="2:67" s="1" customFormat="1" ht="226.5" customHeight="1">
      <c r="B44" s="50"/>
      <c r="C44" s="111"/>
      <c r="D44" s="111"/>
      <c r="E44" s="111"/>
      <c r="F44" s="212" t="s">
        <v>210</v>
      </c>
      <c r="G44" s="213"/>
      <c r="H44" s="213"/>
      <c r="I44" s="213"/>
      <c r="J44" s="111"/>
      <c r="K44" s="111"/>
      <c r="L44" s="111"/>
      <c r="M44" s="111"/>
      <c r="N44" s="203"/>
      <c r="O44" s="204"/>
      <c r="P44" s="204"/>
      <c r="Q44" s="204"/>
      <c r="R44" s="111"/>
      <c r="S44" s="111"/>
      <c r="T44" s="51"/>
      <c r="V44" s="52" t="s">
        <v>0</v>
      </c>
      <c r="W44" s="11" t="s">
        <v>3</v>
      </c>
      <c r="X44" s="88">
        <v>0</v>
      </c>
      <c r="Y44" s="88">
        <f t="shared" si="12"/>
        <v>0</v>
      </c>
      <c r="Z44" s="88">
        <v>0.0085</v>
      </c>
      <c r="AA44" s="88">
        <f t="shared" si="13"/>
        <v>0</v>
      </c>
      <c r="AB44" s="88">
        <v>0</v>
      </c>
      <c r="AC44" s="54">
        <f t="shared" si="14"/>
        <v>0</v>
      </c>
      <c r="AT44" s="7" t="s">
        <v>78</v>
      </c>
      <c r="AV44" s="7" t="s">
        <v>118</v>
      </c>
      <c r="AW44" s="7" t="s">
        <v>63</v>
      </c>
      <c r="BA44" s="7" t="s">
        <v>59</v>
      </c>
      <c r="BG44" s="55">
        <f t="shared" si="15"/>
        <v>0</v>
      </c>
      <c r="BH44" s="55">
        <f t="shared" si="16"/>
        <v>0</v>
      </c>
      <c r="BI44" s="55">
        <f t="shared" si="17"/>
        <v>0</v>
      </c>
      <c r="BJ44" s="55">
        <f t="shared" si="18"/>
        <v>0</v>
      </c>
      <c r="BK44" s="55">
        <f t="shared" si="19"/>
        <v>0</v>
      </c>
      <c r="BL44" s="7" t="s">
        <v>63</v>
      </c>
      <c r="BM44" s="55">
        <f t="shared" si="20"/>
        <v>0</v>
      </c>
      <c r="BN44" s="7" t="s">
        <v>62</v>
      </c>
      <c r="BO44" s="7" t="s">
        <v>130</v>
      </c>
    </row>
    <row r="45" spans="2:67" s="1" customFormat="1" ht="22.5" customHeight="1">
      <c r="B45" s="50"/>
      <c r="C45" s="112"/>
      <c r="D45" s="114" t="s">
        <v>211</v>
      </c>
      <c r="E45" s="114"/>
      <c r="F45" s="114"/>
      <c r="G45" s="114"/>
      <c r="H45" s="114"/>
      <c r="I45" s="114"/>
      <c r="J45" s="114"/>
      <c r="K45" s="114"/>
      <c r="L45" s="114"/>
      <c r="M45" s="114"/>
      <c r="N45" s="226">
        <f>ROUND(SUM(N46:Q48),2)</f>
        <v>0</v>
      </c>
      <c r="O45" s="227"/>
      <c r="P45" s="227"/>
      <c r="Q45" s="227"/>
      <c r="R45" s="58"/>
      <c r="S45" s="58"/>
      <c r="T45" s="51"/>
      <c r="V45" s="52" t="s">
        <v>0</v>
      </c>
      <c r="W45" s="11" t="s">
        <v>3</v>
      </c>
      <c r="X45" s="88">
        <v>0</v>
      </c>
      <c r="Y45" s="88">
        <f t="shared" si="12"/>
        <v>0</v>
      </c>
      <c r="Z45" s="88">
        <v>0.0088</v>
      </c>
      <c r="AA45" s="88">
        <f t="shared" si="13"/>
        <v>0</v>
      </c>
      <c r="AB45" s="88">
        <v>0</v>
      </c>
      <c r="AC45" s="54">
        <f t="shared" si="14"/>
        <v>0</v>
      </c>
      <c r="AT45" s="7" t="s">
        <v>78</v>
      </c>
      <c r="AV45" s="7" t="s">
        <v>118</v>
      </c>
      <c r="AW45" s="7" t="s">
        <v>63</v>
      </c>
      <c r="BA45" s="7" t="s">
        <v>59</v>
      </c>
      <c r="BG45" s="55">
        <f t="shared" si="15"/>
        <v>0</v>
      </c>
      <c r="BH45" s="55">
        <f t="shared" si="16"/>
        <v>0</v>
      </c>
      <c r="BI45" s="55">
        <f t="shared" si="17"/>
        <v>0</v>
      </c>
      <c r="BJ45" s="55">
        <f t="shared" si="18"/>
        <v>0</v>
      </c>
      <c r="BK45" s="55">
        <f t="shared" si="19"/>
        <v>0</v>
      </c>
      <c r="BL45" s="7" t="s">
        <v>63</v>
      </c>
      <c r="BM45" s="55">
        <f t="shared" si="20"/>
        <v>0</v>
      </c>
      <c r="BN45" s="7" t="s">
        <v>62</v>
      </c>
      <c r="BO45" s="7" t="s">
        <v>132</v>
      </c>
    </row>
    <row r="46" spans="2:67" s="1" customFormat="1" ht="22.5" customHeight="1">
      <c r="B46" s="50"/>
      <c r="C46" s="56" t="s">
        <v>115</v>
      </c>
      <c r="D46" s="56" t="s">
        <v>60</v>
      </c>
      <c r="E46" s="57" t="s">
        <v>212</v>
      </c>
      <c r="F46" s="209" t="s">
        <v>213</v>
      </c>
      <c r="G46" s="204"/>
      <c r="H46" s="204"/>
      <c r="I46" s="204"/>
      <c r="J46" s="58" t="s">
        <v>96</v>
      </c>
      <c r="K46" s="59">
        <v>1</v>
      </c>
      <c r="L46" s="203"/>
      <c r="M46" s="204"/>
      <c r="N46" s="203">
        <f>ROUND((K46*L46),2)</f>
        <v>0</v>
      </c>
      <c r="O46" s="204"/>
      <c r="P46" s="204"/>
      <c r="Q46" s="204"/>
      <c r="R46" s="179">
        <f>ROUND((N46*1.2),2)</f>
        <v>0</v>
      </c>
      <c r="S46" s="58" t="s">
        <v>158</v>
      </c>
      <c r="T46" s="51"/>
      <c r="V46" s="52" t="s">
        <v>0</v>
      </c>
      <c r="W46" s="11" t="s">
        <v>3</v>
      </c>
      <c r="X46" s="88">
        <v>0</v>
      </c>
      <c r="Y46" s="88">
        <f t="shared" si="12"/>
        <v>0</v>
      </c>
      <c r="Z46" s="88">
        <v>0.009</v>
      </c>
      <c r="AA46" s="88">
        <f t="shared" si="13"/>
        <v>0.009</v>
      </c>
      <c r="AB46" s="88">
        <v>0</v>
      </c>
      <c r="AC46" s="54">
        <f t="shared" si="14"/>
        <v>0</v>
      </c>
      <c r="AT46" s="7" t="s">
        <v>78</v>
      </c>
      <c r="AV46" s="7" t="s">
        <v>118</v>
      </c>
      <c r="AW46" s="7" t="s">
        <v>63</v>
      </c>
      <c r="BA46" s="7" t="s">
        <v>59</v>
      </c>
      <c r="BG46" s="55">
        <f t="shared" si="15"/>
        <v>0</v>
      </c>
      <c r="BH46" s="55">
        <f t="shared" si="16"/>
        <v>0</v>
      </c>
      <c r="BI46" s="55">
        <f t="shared" si="17"/>
        <v>0</v>
      </c>
      <c r="BJ46" s="55">
        <f t="shared" si="18"/>
        <v>0</v>
      </c>
      <c r="BK46" s="55">
        <f t="shared" si="19"/>
        <v>0</v>
      </c>
      <c r="BL46" s="7" t="s">
        <v>63</v>
      </c>
      <c r="BM46" s="55">
        <f t="shared" si="20"/>
        <v>0</v>
      </c>
      <c r="BN46" s="7" t="s">
        <v>62</v>
      </c>
      <c r="BO46" s="7" t="s">
        <v>134</v>
      </c>
    </row>
    <row r="47" spans="2:67" s="1" customFormat="1" ht="32.25" customHeight="1">
      <c r="B47" s="50"/>
      <c r="C47" s="56" t="s">
        <v>117</v>
      </c>
      <c r="D47" s="56" t="s">
        <v>60</v>
      </c>
      <c r="E47" s="57" t="s">
        <v>214</v>
      </c>
      <c r="F47" s="209" t="s">
        <v>215</v>
      </c>
      <c r="G47" s="204"/>
      <c r="H47" s="204"/>
      <c r="I47" s="204"/>
      <c r="J47" s="58" t="s">
        <v>216</v>
      </c>
      <c r="K47" s="59">
        <v>1</v>
      </c>
      <c r="L47" s="203"/>
      <c r="M47" s="204"/>
      <c r="N47" s="203">
        <f>ROUND((K47*L47),2)</f>
        <v>0</v>
      </c>
      <c r="O47" s="204"/>
      <c r="P47" s="204"/>
      <c r="Q47" s="204"/>
      <c r="R47" s="179">
        <f>ROUND((N47*1.2),2)</f>
        <v>0</v>
      </c>
      <c r="S47" s="58" t="s">
        <v>158</v>
      </c>
      <c r="T47" s="51"/>
      <c r="V47" s="52" t="s">
        <v>0</v>
      </c>
      <c r="W47" s="11" t="s">
        <v>3</v>
      </c>
      <c r="X47" s="88">
        <v>0</v>
      </c>
      <c r="Y47" s="88">
        <f t="shared" si="12"/>
        <v>0</v>
      </c>
      <c r="Z47" s="88">
        <v>0.0093</v>
      </c>
      <c r="AA47" s="88">
        <f t="shared" si="13"/>
        <v>0.0093</v>
      </c>
      <c r="AB47" s="88">
        <v>0</v>
      </c>
      <c r="AC47" s="54">
        <f t="shared" si="14"/>
        <v>0</v>
      </c>
      <c r="AT47" s="7" t="s">
        <v>78</v>
      </c>
      <c r="AV47" s="7" t="s">
        <v>118</v>
      </c>
      <c r="AW47" s="7" t="s">
        <v>63</v>
      </c>
      <c r="BA47" s="7" t="s">
        <v>59</v>
      </c>
      <c r="BG47" s="55">
        <f t="shared" si="15"/>
        <v>0</v>
      </c>
      <c r="BH47" s="55">
        <f t="shared" si="16"/>
        <v>0</v>
      </c>
      <c r="BI47" s="55">
        <f t="shared" si="17"/>
        <v>0</v>
      </c>
      <c r="BJ47" s="55">
        <f t="shared" si="18"/>
        <v>0</v>
      </c>
      <c r="BK47" s="55">
        <f t="shared" si="19"/>
        <v>0</v>
      </c>
      <c r="BL47" s="7" t="s">
        <v>63</v>
      </c>
      <c r="BM47" s="55">
        <f t="shared" si="20"/>
        <v>0</v>
      </c>
      <c r="BN47" s="7" t="s">
        <v>62</v>
      </c>
      <c r="BO47" s="7" t="s">
        <v>136</v>
      </c>
    </row>
    <row r="48" spans="2:65" s="81" customFormat="1" ht="29.25" customHeight="1">
      <c r="B48" s="41"/>
      <c r="C48" s="56" t="s">
        <v>120</v>
      </c>
      <c r="D48" s="56" t="s">
        <v>60</v>
      </c>
      <c r="E48" s="57" t="s">
        <v>217</v>
      </c>
      <c r="F48" s="209" t="s">
        <v>218</v>
      </c>
      <c r="G48" s="204"/>
      <c r="H48" s="204"/>
      <c r="I48" s="204"/>
      <c r="J48" s="58" t="s">
        <v>216</v>
      </c>
      <c r="K48" s="59">
        <v>1</v>
      </c>
      <c r="L48" s="203"/>
      <c r="M48" s="204"/>
      <c r="N48" s="203">
        <f>ROUND((K48*L48),2)</f>
        <v>0</v>
      </c>
      <c r="O48" s="204"/>
      <c r="P48" s="204"/>
      <c r="Q48" s="204"/>
      <c r="R48" s="179">
        <f>ROUND((N48*1.2),2)</f>
        <v>0</v>
      </c>
      <c r="S48" s="58" t="s">
        <v>158</v>
      </c>
      <c r="T48" s="43"/>
      <c r="V48" s="44"/>
      <c r="Y48" s="82" t="e">
        <f>SUM(#REF!)</f>
        <v>#REF!</v>
      </c>
      <c r="AA48" s="82" t="e">
        <f>SUM(#REF!)</f>
        <v>#REF!</v>
      </c>
      <c r="AC48" s="83" t="e">
        <f>SUM(#REF!)</f>
        <v>#REF!</v>
      </c>
      <c r="AT48" s="47" t="s">
        <v>29</v>
      </c>
      <c r="AV48" s="48" t="s">
        <v>22</v>
      </c>
      <c r="AW48" s="48" t="s">
        <v>29</v>
      </c>
      <c r="BA48" s="47" t="s">
        <v>59</v>
      </c>
      <c r="BM48" s="49" t="e">
        <f>SUM(#REF!)</f>
        <v>#REF!</v>
      </c>
    </row>
    <row r="49" spans="1:21" ht="14.25" thickBot="1">
      <c r="A49" s="146"/>
      <c r="U49" s="147"/>
    </row>
    <row r="50" spans="1:21" ht="18.75" thickBot="1">
      <c r="A50" s="146"/>
      <c r="F50" s="103" t="s">
        <v>156</v>
      </c>
      <c r="G50" s="104"/>
      <c r="H50" s="104"/>
      <c r="I50" s="104"/>
      <c r="J50" s="104"/>
      <c r="K50" s="230">
        <f>N9</f>
        <v>0</v>
      </c>
      <c r="L50" s="231"/>
      <c r="M50" s="231"/>
      <c r="N50" s="231"/>
      <c r="O50" s="231"/>
      <c r="P50" s="231"/>
      <c r="Q50" s="232"/>
      <c r="R50" s="176"/>
      <c r="S50" s="99" t="s">
        <v>158</v>
      </c>
      <c r="U50" s="147"/>
    </row>
    <row r="51" spans="1:21" ht="18.75" thickBot="1">
      <c r="A51" s="146"/>
      <c r="F51" s="205" t="s">
        <v>2</v>
      </c>
      <c r="G51" s="206"/>
      <c r="H51" s="206"/>
      <c r="I51" s="206"/>
      <c r="J51" s="206"/>
      <c r="K51" s="230">
        <f>K52-K50</f>
        <v>0</v>
      </c>
      <c r="L51" s="231"/>
      <c r="M51" s="231"/>
      <c r="N51" s="231"/>
      <c r="O51" s="231"/>
      <c r="P51" s="231"/>
      <c r="Q51" s="232"/>
      <c r="R51" s="177"/>
      <c r="S51" s="100" t="s">
        <v>158</v>
      </c>
      <c r="U51" s="147"/>
    </row>
    <row r="52" spans="1:21" ht="18.75" thickBot="1">
      <c r="A52" s="146"/>
      <c r="F52" s="93" t="s">
        <v>157</v>
      </c>
      <c r="G52" s="94"/>
      <c r="H52" s="94"/>
      <c r="I52" s="94"/>
      <c r="J52" s="94"/>
      <c r="K52" s="230">
        <f>K50*1.2</f>
        <v>0</v>
      </c>
      <c r="L52" s="231"/>
      <c r="M52" s="231"/>
      <c r="N52" s="231"/>
      <c r="O52" s="231"/>
      <c r="P52" s="231"/>
      <c r="Q52" s="232"/>
      <c r="R52" s="176"/>
      <c r="S52" s="101" t="s">
        <v>158</v>
      </c>
      <c r="U52" s="147"/>
    </row>
  </sheetData>
  <sheetProtection/>
  <mergeCells count="113">
    <mergeCell ref="K50:Q50"/>
    <mergeCell ref="K51:Q51"/>
    <mergeCell ref="K52:Q52"/>
    <mergeCell ref="C6:S6"/>
    <mergeCell ref="F37:I37"/>
    <mergeCell ref="L37:M37"/>
    <mergeCell ref="F40:I40"/>
    <mergeCell ref="L42:M42"/>
    <mergeCell ref="L46:M46"/>
    <mergeCell ref="F47:I47"/>
    <mergeCell ref="L47:M47"/>
    <mergeCell ref="N42:Q42"/>
    <mergeCell ref="N46:Q46"/>
    <mergeCell ref="F51:J51"/>
    <mergeCell ref="F46:I46"/>
    <mergeCell ref="N47:Q47"/>
    <mergeCell ref="F48:I48"/>
    <mergeCell ref="L48:M48"/>
    <mergeCell ref="N48:Q48"/>
    <mergeCell ref="F44:I44"/>
    <mergeCell ref="N44:Q44"/>
    <mergeCell ref="N45:Q45"/>
    <mergeCell ref="N40:Q40"/>
    <mergeCell ref="F41:I41"/>
    <mergeCell ref="L41:M41"/>
    <mergeCell ref="N41:Q41"/>
    <mergeCell ref="F42:I42"/>
    <mergeCell ref="F43:I43"/>
    <mergeCell ref="L43:M43"/>
    <mergeCell ref="N43:Q43"/>
    <mergeCell ref="N36:Q36"/>
    <mergeCell ref="N37:Q37"/>
    <mergeCell ref="N38:Q38"/>
    <mergeCell ref="F39:I39"/>
    <mergeCell ref="L39:M39"/>
    <mergeCell ref="N39:Q39"/>
    <mergeCell ref="F34:I34"/>
    <mergeCell ref="L34:M34"/>
    <mergeCell ref="N34:Q34"/>
    <mergeCell ref="N35:Q35"/>
    <mergeCell ref="F32:I32"/>
    <mergeCell ref="L32:M32"/>
    <mergeCell ref="N32:Q32"/>
    <mergeCell ref="F33:I33"/>
    <mergeCell ref="L33:M33"/>
    <mergeCell ref="N33:Q33"/>
    <mergeCell ref="F30:I30"/>
    <mergeCell ref="L30:M30"/>
    <mergeCell ref="N30:Q30"/>
    <mergeCell ref="F31:I31"/>
    <mergeCell ref="L31:M31"/>
    <mergeCell ref="N31:Q31"/>
    <mergeCell ref="F28:I28"/>
    <mergeCell ref="L28:M28"/>
    <mergeCell ref="N28:Q28"/>
    <mergeCell ref="F29:I29"/>
    <mergeCell ref="L29:M29"/>
    <mergeCell ref="N29:Q29"/>
    <mergeCell ref="F25:I25"/>
    <mergeCell ref="L25:M25"/>
    <mergeCell ref="N25:Q25"/>
    <mergeCell ref="N26:Q26"/>
    <mergeCell ref="F27:I27"/>
    <mergeCell ref="L27:M27"/>
    <mergeCell ref="N27:Q27"/>
    <mergeCell ref="F23:I23"/>
    <mergeCell ref="L23:M23"/>
    <mergeCell ref="N23:Q23"/>
    <mergeCell ref="F24:I24"/>
    <mergeCell ref="L24:M24"/>
    <mergeCell ref="N24:Q24"/>
    <mergeCell ref="F20:I20"/>
    <mergeCell ref="L20:M20"/>
    <mergeCell ref="N20:Q20"/>
    <mergeCell ref="N21:Q21"/>
    <mergeCell ref="F22:I22"/>
    <mergeCell ref="L22:M22"/>
    <mergeCell ref="N22:Q22"/>
    <mergeCell ref="N17:Q17"/>
    <mergeCell ref="F18:I18"/>
    <mergeCell ref="L18:M18"/>
    <mergeCell ref="N18:Q18"/>
    <mergeCell ref="F19:I19"/>
    <mergeCell ref="L19:M19"/>
    <mergeCell ref="N19:Q19"/>
    <mergeCell ref="F15:I15"/>
    <mergeCell ref="L15:M15"/>
    <mergeCell ref="N15:Q15"/>
    <mergeCell ref="F16:I16"/>
    <mergeCell ref="L16:M16"/>
    <mergeCell ref="N16:Q16"/>
    <mergeCell ref="F13:I13"/>
    <mergeCell ref="L13:M13"/>
    <mergeCell ref="N13:Q13"/>
    <mergeCell ref="F14:I14"/>
    <mergeCell ref="L14:M14"/>
    <mergeCell ref="N14:Q14"/>
    <mergeCell ref="N11:Q11"/>
    <mergeCell ref="F12:I12"/>
    <mergeCell ref="L12:M12"/>
    <mergeCell ref="N12:Q12"/>
    <mergeCell ref="R10:U10"/>
    <mergeCell ref="R11:U11"/>
    <mergeCell ref="C3:AN3"/>
    <mergeCell ref="N9:Q9"/>
    <mergeCell ref="N10:Q10"/>
    <mergeCell ref="C1:AI1"/>
    <mergeCell ref="C2:AH2"/>
    <mergeCell ref="C4:AI4"/>
    <mergeCell ref="F8:I8"/>
    <mergeCell ref="L8:M8"/>
    <mergeCell ref="N8:Q8"/>
    <mergeCell ref="R9:U9"/>
  </mergeCells>
  <printOptions/>
  <pageMargins left="0.25" right="0.25" top="0.75" bottom="0.75" header="0.3" footer="0.3"/>
  <pageSetup fitToHeight="0" fitToWidth="1" horizontalDpi="600" verticalDpi="600" orientation="portrait" paperSize="9" scale="82" r:id="rId1"/>
  <colBreaks count="1" manualBreakCount="1">
    <brk id="21" max="65535" man="1"/>
  </colBreaks>
  <ignoredErrors>
    <ignoredError sqref="N12 N13:Q16 R12:R16 N18 R18 R19:R20 N19:Q20 N22:Q25 R22:R25 N27:Q34 R27:R34 N35:N37 R37 R46:R48 R39 R41:R43 N46:Q48 N45 N41:Q43 N39" unlockedFormula="1"/>
    <ignoredError sqref="N17 N21 N26 N3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O63"/>
  <sheetViews>
    <sheetView showGridLines="0" zoomScaleSheetLayoutView="100" zoomScalePageLayoutView="0" workbookViewId="0" topLeftCell="B1">
      <pane ySplit="2" topLeftCell="A3" activePane="bottomLeft" state="frozen"/>
      <selection pane="topLeft" activeCell="A1" sqref="A1"/>
      <selection pane="bottomLeft" activeCell="C4" sqref="C4:AN4"/>
    </sheetView>
  </sheetViews>
  <sheetFormatPr defaultColWidth="9.33203125" defaultRowHeight="13.5"/>
  <cols>
    <col min="1" max="1" width="8.33203125" style="0" hidden="1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0.1640625" style="0" customWidth="1"/>
    <col min="18" max="18" width="16.83203125" style="0" customWidth="1"/>
    <col min="19" max="19" width="11.33203125" style="0" customWidth="1"/>
    <col min="20" max="20" width="1.66796875" style="0" hidden="1" customWidth="1"/>
    <col min="21" max="21" width="8.16015625" style="0" hidden="1" customWidth="1"/>
    <col min="22" max="22" width="29.66015625" style="0" hidden="1" customWidth="1"/>
    <col min="23" max="23" width="16.33203125" style="0" hidden="1" customWidth="1"/>
    <col min="24" max="24" width="12.33203125" style="0" hidden="1" customWidth="1"/>
    <col min="25" max="25" width="16.33203125" style="0" hidden="1" customWidth="1"/>
    <col min="26" max="26" width="12.16015625" style="0" hidden="1" customWidth="1"/>
    <col min="27" max="27" width="15" style="0" hidden="1" customWidth="1"/>
    <col min="28" max="28" width="11" style="0" hidden="1" customWidth="1"/>
    <col min="29" max="29" width="15" style="0" hidden="1" customWidth="1"/>
    <col min="30" max="30" width="8" style="0" hidden="1" customWidth="1"/>
    <col min="31" max="31" width="11" style="0" hidden="1" customWidth="1"/>
    <col min="32" max="32" width="15" style="0" customWidth="1"/>
    <col min="33" max="33" width="16.33203125" style="0" customWidth="1"/>
    <col min="46" max="66" width="9.33203125" style="0" hidden="1" customWidth="1"/>
  </cols>
  <sheetData>
    <row r="2" spans="2:31" s="5" customFormat="1" ht="29.25" customHeight="1">
      <c r="B2" s="36"/>
      <c r="C2" s="216" t="s">
        <v>159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</row>
    <row r="3" spans="2:65" s="1" customFormat="1" ht="16.5" customHeight="1">
      <c r="B3" s="9"/>
      <c r="C3" s="195" t="s">
        <v>160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V3" s="7" t="s">
        <v>22</v>
      </c>
      <c r="AW3" s="7" t="s">
        <v>38</v>
      </c>
      <c r="BM3" s="40" t="e">
        <f>BM4+BM13+BM18+BM44+#REF!+#REF!</f>
        <v>#REF!</v>
      </c>
    </row>
    <row r="4" spans="2:65" s="6" customFormat="1" ht="16.5">
      <c r="B4" s="41"/>
      <c r="C4" s="187" t="s">
        <v>273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T4" s="47" t="s">
        <v>29</v>
      </c>
      <c r="AV4" s="48" t="s">
        <v>22</v>
      </c>
      <c r="AW4" s="48" t="s">
        <v>23</v>
      </c>
      <c r="BA4" s="47" t="s">
        <v>59</v>
      </c>
      <c r="BM4" s="49">
        <f>BM5+BM11</f>
        <v>0</v>
      </c>
    </row>
    <row r="5" spans="2:65" s="6" customFormat="1" ht="16.5">
      <c r="B5" s="41"/>
      <c r="C5" s="187" t="s">
        <v>161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T5" s="47" t="s">
        <v>29</v>
      </c>
      <c r="AV5" s="48" t="s">
        <v>22</v>
      </c>
      <c r="AW5" s="48" t="s">
        <v>29</v>
      </c>
      <c r="BA5" s="47" t="s">
        <v>59</v>
      </c>
      <c r="BM5" s="49">
        <f>SUM(BM6:BM10)</f>
        <v>0</v>
      </c>
    </row>
    <row r="6" spans="2:67" s="1" customFormat="1" ht="16.5">
      <c r="B6" s="50"/>
      <c r="C6" s="73" t="s">
        <v>266</v>
      </c>
      <c r="D6" s="73"/>
      <c r="E6" s="73"/>
      <c r="F6" s="108"/>
      <c r="G6" s="73"/>
      <c r="H6" s="73"/>
      <c r="I6" s="73"/>
      <c r="J6" s="73"/>
      <c r="K6" s="73"/>
      <c r="L6" s="73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T6" s="7" t="s">
        <v>62</v>
      </c>
      <c r="AV6" s="7" t="s">
        <v>60</v>
      </c>
      <c r="AW6" s="7" t="s">
        <v>63</v>
      </c>
      <c r="BA6" s="7" t="s">
        <v>59</v>
      </c>
      <c r="BG6" s="55">
        <f>IF(W12="základná",N12,0)</f>
        <v>0</v>
      </c>
      <c r="BH6" s="55">
        <f>IF(W12="znížená",N12,0)</f>
        <v>0</v>
      </c>
      <c r="BI6" s="55">
        <f>IF(W12="zákl. prenesená",N12,0)</f>
        <v>0</v>
      </c>
      <c r="BJ6" s="55">
        <f>IF(W12="zníž. prenesená",N12,0)</f>
        <v>0</v>
      </c>
      <c r="BK6" s="55">
        <f>IF(W12="nulová",N12,0)</f>
        <v>0</v>
      </c>
      <c r="BL6" s="7" t="s">
        <v>63</v>
      </c>
      <c r="BM6" s="55">
        <f>ROUND(L12*K12,2)</f>
        <v>0</v>
      </c>
      <c r="BN6" s="7" t="s">
        <v>62</v>
      </c>
      <c r="BO6" s="7" t="s">
        <v>29</v>
      </c>
    </row>
    <row r="7" spans="2:67" s="1" customFormat="1" ht="34.5" customHeight="1">
      <c r="B7" s="50"/>
      <c r="C7" s="223" t="s">
        <v>267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AC7" s="70"/>
      <c r="AG7" s="2"/>
      <c r="AT7" s="7" t="s">
        <v>62</v>
      </c>
      <c r="AV7" s="7" t="s">
        <v>60</v>
      </c>
      <c r="AW7" s="7" t="s">
        <v>63</v>
      </c>
      <c r="BA7" s="7" t="s">
        <v>59</v>
      </c>
      <c r="BG7" s="55">
        <f>IF(W13="základná",N13,0)</f>
        <v>0</v>
      </c>
      <c r="BH7" s="55">
        <f>IF(W13="znížená",N13,0)</f>
        <v>0</v>
      </c>
      <c r="BI7" s="55">
        <f>IF(W13="zákl. prenesená",N13,0)</f>
        <v>0</v>
      </c>
      <c r="BJ7" s="55">
        <f>IF(W13="zníž. prenesená",N13,0)</f>
        <v>0</v>
      </c>
      <c r="BK7" s="55">
        <f>IF(W13="nulová",N13,0)</f>
        <v>0</v>
      </c>
      <c r="BL7" s="7" t="s">
        <v>63</v>
      </c>
      <c r="BM7" s="55">
        <f>ROUND(L13*K13,2)</f>
        <v>0</v>
      </c>
      <c r="BN7" s="7" t="s">
        <v>62</v>
      </c>
      <c r="BO7" s="7" t="s">
        <v>63</v>
      </c>
    </row>
    <row r="8" spans="2:67" s="1" customFormat="1" ht="51.75" customHeight="1">
      <c r="B8" s="50"/>
      <c r="C8" s="141" t="s">
        <v>46</v>
      </c>
      <c r="D8" s="142" t="s">
        <v>47</v>
      </c>
      <c r="E8" s="142" t="s">
        <v>5</v>
      </c>
      <c r="F8" s="217" t="s">
        <v>48</v>
      </c>
      <c r="G8" s="218"/>
      <c r="H8" s="218"/>
      <c r="I8" s="218"/>
      <c r="J8" s="142" t="s">
        <v>49</v>
      </c>
      <c r="K8" s="142" t="s">
        <v>50</v>
      </c>
      <c r="L8" s="219" t="s">
        <v>51</v>
      </c>
      <c r="M8" s="218"/>
      <c r="N8" s="217" t="s">
        <v>271</v>
      </c>
      <c r="O8" s="218"/>
      <c r="P8" s="218"/>
      <c r="Q8" s="218"/>
      <c r="R8" s="143" t="s">
        <v>272</v>
      </c>
      <c r="S8" s="148" t="s">
        <v>154</v>
      </c>
      <c r="T8" s="37"/>
      <c r="U8" s="5"/>
      <c r="V8" s="95"/>
      <c r="W8" s="96"/>
      <c r="X8" s="96"/>
      <c r="Y8" s="96"/>
      <c r="Z8" s="96"/>
      <c r="AA8" s="96"/>
      <c r="AB8" s="96"/>
      <c r="AC8" s="97"/>
      <c r="AD8" s="5"/>
      <c r="AE8" s="5"/>
      <c r="AT8" s="7" t="s">
        <v>62</v>
      </c>
      <c r="AV8" s="7" t="s">
        <v>60</v>
      </c>
      <c r="AW8" s="7" t="s">
        <v>63</v>
      </c>
      <c r="BA8" s="7" t="s">
        <v>59</v>
      </c>
      <c r="BG8" s="55">
        <f>IF(W14="základná",N14,0)</f>
        <v>0</v>
      </c>
      <c r="BH8" s="55">
        <f>IF(W14="znížená",N14,0)</f>
        <v>0</v>
      </c>
      <c r="BI8" s="55">
        <f>IF(W14="zákl. prenesená",N14,0)</f>
        <v>0</v>
      </c>
      <c r="BJ8" s="55">
        <f>IF(W14="zníž. prenesená",N14,0)</f>
        <v>0</v>
      </c>
      <c r="BK8" s="55">
        <f>IF(W14="nulová",N14,0)</f>
        <v>0</v>
      </c>
      <c r="BL8" s="7" t="s">
        <v>63</v>
      </c>
      <c r="BM8" s="55">
        <f>ROUND(L14*K14,2)</f>
        <v>0</v>
      </c>
      <c r="BN8" s="7" t="s">
        <v>62</v>
      </c>
      <c r="BO8" s="7" t="s">
        <v>66</v>
      </c>
    </row>
    <row r="9" spans="2:67" s="1" customFormat="1" ht="31.5" customHeight="1">
      <c r="B9" s="50"/>
      <c r="C9" s="110" t="s">
        <v>37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66">
        <f>ROUND(N10+N42,2)</f>
        <v>0</v>
      </c>
      <c r="O9" s="266"/>
      <c r="P9" s="266"/>
      <c r="Q9" s="266"/>
      <c r="R9" s="266">
        <f>ROUND(R10+R42,2)</f>
        <v>0</v>
      </c>
      <c r="S9" s="266"/>
      <c r="T9" s="266"/>
      <c r="U9" s="266"/>
      <c r="V9" s="20"/>
      <c r="W9" s="68"/>
      <c r="X9" s="68"/>
      <c r="Y9" s="38" t="e">
        <f>Y10+Y19+Y24+#REF!+#REF!+#REF!</f>
        <v>#REF!</v>
      </c>
      <c r="Z9" s="68"/>
      <c r="AA9" s="38" t="e">
        <f>AA10+AA19+AA24+#REF!+#REF!+#REF!</f>
        <v>#REF!</v>
      </c>
      <c r="AB9" s="68"/>
      <c r="AC9" s="39" t="e">
        <f>AC10+AC19+AC24+#REF!+#REF!+#REF!</f>
        <v>#REF!</v>
      </c>
      <c r="AT9" s="7" t="s">
        <v>62</v>
      </c>
      <c r="AV9" s="7" t="s">
        <v>60</v>
      </c>
      <c r="AW9" s="7" t="s">
        <v>63</v>
      </c>
      <c r="BA9" s="7" t="s">
        <v>59</v>
      </c>
      <c r="BG9" s="55">
        <f>IF(W15="základná",N15,0)</f>
        <v>0</v>
      </c>
      <c r="BH9" s="55">
        <f>IF(W15="znížená",N15,0)</f>
        <v>0</v>
      </c>
      <c r="BI9" s="55">
        <f>IF(W15="zákl. prenesená",N15,0)</f>
        <v>0</v>
      </c>
      <c r="BJ9" s="55">
        <f>IF(W15="zníž. prenesená",N15,0)</f>
        <v>0</v>
      </c>
      <c r="BK9" s="55">
        <f>IF(W15="nulová",N15,0)</f>
        <v>0</v>
      </c>
      <c r="BL9" s="7" t="s">
        <v>63</v>
      </c>
      <c r="BM9" s="55">
        <f>ROUND(L15*K15,2)</f>
        <v>0</v>
      </c>
      <c r="BN9" s="7" t="s">
        <v>62</v>
      </c>
      <c r="BO9" s="7" t="s">
        <v>62</v>
      </c>
    </row>
    <row r="10" spans="2:67" s="1" customFormat="1" ht="31.5" customHeight="1">
      <c r="B10" s="50"/>
      <c r="C10" s="112"/>
      <c r="D10" s="113" t="s">
        <v>39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264">
        <f>ROUND((N11+N22+N28+N37),2)</f>
        <v>0</v>
      </c>
      <c r="O10" s="264"/>
      <c r="P10" s="264"/>
      <c r="Q10" s="264"/>
      <c r="R10" s="264">
        <f>ROUND((R11+R22+R28+R37),2)</f>
        <v>0</v>
      </c>
      <c r="S10" s="264"/>
      <c r="T10" s="264"/>
      <c r="U10" s="264"/>
      <c r="V10" s="44"/>
      <c r="W10" s="42"/>
      <c r="X10" s="42"/>
      <c r="Y10" s="45">
        <f>Y11+Y17</f>
        <v>0</v>
      </c>
      <c r="Z10" s="42"/>
      <c r="AA10" s="45">
        <f>AA11+AA17</f>
        <v>0</v>
      </c>
      <c r="AB10" s="42"/>
      <c r="AC10" s="46">
        <f>AC11+AC17</f>
        <v>0</v>
      </c>
      <c r="AD10" s="6"/>
      <c r="AE10" s="6"/>
      <c r="AT10" s="7" t="s">
        <v>62</v>
      </c>
      <c r="AV10" s="7" t="s">
        <v>60</v>
      </c>
      <c r="AW10" s="7" t="s">
        <v>63</v>
      </c>
      <c r="BA10" s="7" t="s">
        <v>59</v>
      </c>
      <c r="BG10" s="55">
        <f>IF(W16="základná",N16,0)</f>
        <v>0</v>
      </c>
      <c r="BH10" s="55">
        <f>IF(W16="znížená",N16,0)</f>
        <v>0</v>
      </c>
      <c r="BI10" s="55">
        <f>IF(W16="zákl. prenesená",N16,0)</f>
        <v>0</v>
      </c>
      <c r="BJ10" s="55">
        <f>IF(W16="zníž. prenesená",N16,0)</f>
        <v>0</v>
      </c>
      <c r="BK10" s="55">
        <f>IF(W16="nulová",N16,0)</f>
        <v>0</v>
      </c>
      <c r="BL10" s="7" t="s">
        <v>63</v>
      </c>
      <c r="BM10" s="55">
        <f>ROUND(L16*K16,2)</f>
        <v>0</v>
      </c>
      <c r="BN10" s="7" t="s">
        <v>62</v>
      </c>
      <c r="BO10" s="7" t="s">
        <v>69</v>
      </c>
    </row>
    <row r="11" spans="2:65" s="6" customFormat="1" ht="29.25" customHeight="1">
      <c r="B11" s="41"/>
      <c r="C11" s="112"/>
      <c r="D11" s="114" t="s">
        <v>40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265">
        <f>ROUND(SUM(N12:Q21),2)</f>
        <v>0</v>
      </c>
      <c r="O11" s="265"/>
      <c r="P11" s="265"/>
      <c r="Q11" s="265"/>
      <c r="R11" s="265">
        <f>ROUND(SUM(R12:U21),2)</f>
        <v>0</v>
      </c>
      <c r="S11" s="265"/>
      <c r="T11" s="265"/>
      <c r="U11" s="265"/>
      <c r="V11" s="44"/>
      <c r="W11" s="42"/>
      <c r="X11" s="42"/>
      <c r="Y11" s="45">
        <f>SUM(Y12:Y16)</f>
        <v>0</v>
      </c>
      <c r="Z11" s="42"/>
      <c r="AA11" s="45">
        <f>SUM(AA12:AA16)</f>
        <v>0</v>
      </c>
      <c r="AB11" s="42"/>
      <c r="AC11" s="46">
        <f>SUM(AC12:AC16)</f>
        <v>0</v>
      </c>
      <c r="AT11" s="47" t="s">
        <v>29</v>
      </c>
      <c r="AV11" s="48" t="s">
        <v>22</v>
      </c>
      <c r="AW11" s="48" t="s">
        <v>29</v>
      </c>
      <c r="BA11" s="47" t="s">
        <v>59</v>
      </c>
      <c r="BM11" s="49">
        <f>BM12</f>
        <v>0</v>
      </c>
    </row>
    <row r="12" spans="2:67" s="1" customFormat="1" ht="31.5" customHeight="1">
      <c r="B12" s="50"/>
      <c r="C12" s="56" t="s">
        <v>29</v>
      </c>
      <c r="D12" s="56" t="s">
        <v>60</v>
      </c>
      <c r="E12" s="57" t="s">
        <v>164</v>
      </c>
      <c r="F12" s="209" t="s">
        <v>165</v>
      </c>
      <c r="G12" s="204"/>
      <c r="H12" s="204"/>
      <c r="I12" s="204"/>
      <c r="J12" s="58" t="s">
        <v>61</v>
      </c>
      <c r="K12" s="59">
        <v>11.85</v>
      </c>
      <c r="L12" s="203"/>
      <c r="M12" s="204"/>
      <c r="N12" s="233">
        <f aca="true" t="shared" si="0" ref="N12:N21">ROUND((K12*L12),2)</f>
        <v>0</v>
      </c>
      <c r="O12" s="234"/>
      <c r="P12" s="234"/>
      <c r="Q12" s="234"/>
      <c r="R12" s="179">
        <f>ROUND((N12*1.2),2)</f>
        <v>0</v>
      </c>
      <c r="S12" s="58" t="s">
        <v>158</v>
      </c>
      <c r="T12" s="51"/>
      <c r="V12" s="52" t="s">
        <v>0</v>
      </c>
      <c r="W12" s="11" t="s">
        <v>3</v>
      </c>
      <c r="X12" s="53">
        <v>0</v>
      </c>
      <c r="Y12" s="53">
        <f>X12*K12</f>
        <v>0</v>
      </c>
      <c r="Z12" s="53">
        <v>0</v>
      </c>
      <c r="AA12" s="53">
        <f>Z12*K12</f>
        <v>0</v>
      </c>
      <c r="AB12" s="53">
        <v>0</v>
      </c>
      <c r="AC12" s="54">
        <f>AB12*K12</f>
        <v>0</v>
      </c>
      <c r="AT12" s="7" t="s">
        <v>62</v>
      </c>
      <c r="AV12" s="7" t="s">
        <v>60</v>
      </c>
      <c r="AW12" s="7" t="s">
        <v>63</v>
      </c>
      <c r="BA12" s="7" t="s">
        <v>59</v>
      </c>
      <c r="BG12" s="55">
        <f>IF(W18="základná",N18,0)</f>
        <v>0</v>
      </c>
      <c r="BH12" s="55">
        <f>IF(W18="znížená",N18,0)</f>
        <v>0</v>
      </c>
      <c r="BI12" s="55">
        <f>IF(W18="zákl. prenesená",N18,0)</f>
        <v>0</v>
      </c>
      <c r="BJ12" s="55">
        <f>IF(W18="zníž. prenesená",N18,0)</f>
        <v>0</v>
      </c>
      <c r="BK12" s="55">
        <f>IF(W18="nulová",N18,0)</f>
        <v>0</v>
      </c>
      <c r="BL12" s="7" t="s">
        <v>63</v>
      </c>
      <c r="BM12" s="55">
        <f>ROUND(L18*K18,2)</f>
        <v>0</v>
      </c>
      <c r="BN12" s="7" t="s">
        <v>62</v>
      </c>
      <c r="BO12" s="7" t="s">
        <v>71</v>
      </c>
    </row>
    <row r="13" spans="2:65" s="6" customFormat="1" ht="45.75" customHeight="1">
      <c r="B13" s="41"/>
      <c r="C13" s="56" t="s">
        <v>63</v>
      </c>
      <c r="D13" s="56" t="s">
        <v>60</v>
      </c>
      <c r="E13" s="57" t="s">
        <v>166</v>
      </c>
      <c r="F13" s="209" t="s">
        <v>167</v>
      </c>
      <c r="G13" s="204"/>
      <c r="H13" s="204"/>
      <c r="I13" s="204"/>
      <c r="J13" s="58" t="s">
        <v>61</v>
      </c>
      <c r="K13" s="59">
        <v>8.25</v>
      </c>
      <c r="L13" s="203"/>
      <c r="M13" s="204"/>
      <c r="N13" s="233">
        <f t="shared" si="0"/>
        <v>0</v>
      </c>
      <c r="O13" s="234"/>
      <c r="P13" s="234"/>
      <c r="Q13" s="234"/>
      <c r="R13" s="179">
        <f aca="true" t="shared" si="1" ref="R13:R41">ROUND((N13*1.2),2)</f>
        <v>0</v>
      </c>
      <c r="S13" s="58" t="s">
        <v>158</v>
      </c>
      <c r="T13" s="51"/>
      <c r="U13" s="1"/>
      <c r="V13" s="52" t="s">
        <v>0</v>
      </c>
      <c r="W13" s="11" t="s">
        <v>3</v>
      </c>
      <c r="X13" s="53">
        <v>0</v>
      </c>
      <c r="Y13" s="53">
        <f>X13*K13</f>
        <v>0</v>
      </c>
      <c r="Z13" s="53">
        <v>0</v>
      </c>
      <c r="AA13" s="53">
        <f>Z13*K13</f>
        <v>0</v>
      </c>
      <c r="AB13" s="53">
        <v>0</v>
      </c>
      <c r="AC13" s="54">
        <f>AB13*K13</f>
        <v>0</v>
      </c>
      <c r="AD13" s="1"/>
      <c r="AE13" s="1"/>
      <c r="AT13" s="47" t="s">
        <v>29</v>
      </c>
      <c r="AV13" s="48" t="s">
        <v>22</v>
      </c>
      <c r="AW13" s="48" t="s">
        <v>23</v>
      </c>
      <c r="BA13" s="47" t="s">
        <v>59</v>
      </c>
      <c r="BM13" s="49">
        <f>BM14</f>
        <v>0</v>
      </c>
    </row>
    <row r="14" spans="2:65" s="6" customFormat="1" ht="43.5" customHeight="1">
      <c r="B14" s="41"/>
      <c r="C14" s="56" t="s">
        <v>66</v>
      </c>
      <c r="D14" s="56" t="s">
        <v>60</v>
      </c>
      <c r="E14" s="57" t="s">
        <v>168</v>
      </c>
      <c r="F14" s="209" t="s">
        <v>169</v>
      </c>
      <c r="G14" s="204"/>
      <c r="H14" s="204"/>
      <c r="I14" s="204"/>
      <c r="J14" s="58" t="s">
        <v>61</v>
      </c>
      <c r="K14" s="59">
        <v>123.75</v>
      </c>
      <c r="L14" s="203"/>
      <c r="M14" s="204"/>
      <c r="N14" s="233">
        <f t="shared" si="0"/>
        <v>0</v>
      </c>
      <c r="O14" s="234"/>
      <c r="P14" s="234"/>
      <c r="Q14" s="234"/>
      <c r="R14" s="179">
        <f t="shared" si="1"/>
        <v>0</v>
      </c>
      <c r="S14" s="58" t="s">
        <v>158</v>
      </c>
      <c r="T14" s="51"/>
      <c r="U14" s="1"/>
      <c r="V14" s="52" t="s">
        <v>0</v>
      </c>
      <c r="W14" s="11" t="s">
        <v>3</v>
      </c>
      <c r="X14" s="53">
        <v>0</v>
      </c>
      <c r="Y14" s="53">
        <f>X14*K14</f>
        <v>0</v>
      </c>
      <c r="Z14" s="53">
        <v>0</v>
      </c>
      <c r="AA14" s="53">
        <f>Z14*K14</f>
        <v>0</v>
      </c>
      <c r="AB14" s="53">
        <v>0</v>
      </c>
      <c r="AC14" s="54">
        <f>AB14*K14</f>
        <v>0</v>
      </c>
      <c r="AD14" s="1"/>
      <c r="AE14" s="1"/>
      <c r="AT14" s="47" t="s">
        <v>29</v>
      </c>
      <c r="AV14" s="48" t="s">
        <v>22</v>
      </c>
      <c r="AW14" s="48" t="s">
        <v>29</v>
      </c>
      <c r="BA14" s="47" t="s">
        <v>59</v>
      </c>
      <c r="BM14" s="49">
        <f>SUM(BM15:BM17)</f>
        <v>0</v>
      </c>
    </row>
    <row r="15" spans="2:67" s="1" customFormat="1" ht="31.5" customHeight="1">
      <c r="B15" s="50"/>
      <c r="C15" s="56" t="s">
        <v>62</v>
      </c>
      <c r="D15" s="56" t="s">
        <v>60</v>
      </c>
      <c r="E15" s="57" t="s">
        <v>170</v>
      </c>
      <c r="F15" s="209" t="s">
        <v>171</v>
      </c>
      <c r="G15" s="204"/>
      <c r="H15" s="204"/>
      <c r="I15" s="204"/>
      <c r="J15" s="58" t="s">
        <v>61</v>
      </c>
      <c r="K15" s="59">
        <v>8.25</v>
      </c>
      <c r="L15" s="203"/>
      <c r="M15" s="204"/>
      <c r="N15" s="233">
        <f t="shared" si="0"/>
        <v>0</v>
      </c>
      <c r="O15" s="234"/>
      <c r="P15" s="234"/>
      <c r="Q15" s="234"/>
      <c r="R15" s="179">
        <f t="shared" si="1"/>
        <v>0</v>
      </c>
      <c r="S15" s="58" t="s">
        <v>158</v>
      </c>
      <c r="T15" s="51"/>
      <c r="V15" s="52" t="s">
        <v>0</v>
      </c>
      <c r="W15" s="11" t="s">
        <v>3</v>
      </c>
      <c r="X15" s="53">
        <v>0</v>
      </c>
      <c r="Y15" s="53">
        <f>X15*K15</f>
        <v>0</v>
      </c>
      <c r="Z15" s="53">
        <v>0</v>
      </c>
      <c r="AA15" s="53">
        <f>Z15*K15</f>
        <v>0</v>
      </c>
      <c r="AB15" s="53">
        <v>0</v>
      </c>
      <c r="AC15" s="54">
        <f>AB15*K15</f>
        <v>0</v>
      </c>
      <c r="AT15" s="7" t="s">
        <v>62</v>
      </c>
      <c r="AV15" s="7" t="s">
        <v>60</v>
      </c>
      <c r="AW15" s="7" t="s">
        <v>63</v>
      </c>
      <c r="BA15" s="7" t="s">
        <v>59</v>
      </c>
      <c r="BG15" s="55">
        <f>IF(W21="základná",N21,0)</f>
        <v>0</v>
      </c>
      <c r="BH15" s="55">
        <f>IF(W21="znížená",N21,0)</f>
        <v>0</v>
      </c>
      <c r="BI15" s="55">
        <f>IF(W21="zákl. prenesená",N21,0)</f>
        <v>0</v>
      </c>
      <c r="BJ15" s="55">
        <f>IF(W21="zníž. prenesená",N21,0)</f>
        <v>0</v>
      </c>
      <c r="BK15" s="55">
        <f>IF(W21="nulová",N21,0)</f>
        <v>0</v>
      </c>
      <c r="BL15" s="7" t="s">
        <v>63</v>
      </c>
      <c r="BM15" s="55">
        <f>ROUND(L21*K21,2)</f>
        <v>0</v>
      </c>
      <c r="BN15" s="7" t="s">
        <v>62</v>
      </c>
      <c r="BO15" s="7" t="s">
        <v>75</v>
      </c>
    </row>
    <row r="16" spans="2:67" s="1" customFormat="1" ht="44.25" customHeight="1">
      <c r="B16" s="50"/>
      <c r="C16" s="56" t="s">
        <v>69</v>
      </c>
      <c r="D16" s="56" t="s">
        <v>60</v>
      </c>
      <c r="E16" s="57" t="s">
        <v>72</v>
      </c>
      <c r="F16" s="209" t="s">
        <v>73</v>
      </c>
      <c r="G16" s="204"/>
      <c r="H16" s="204"/>
      <c r="I16" s="204"/>
      <c r="J16" s="58" t="s">
        <v>74</v>
      </c>
      <c r="K16" s="59">
        <v>14.85</v>
      </c>
      <c r="L16" s="203"/>
      <c r="M16" s="204"/>
      <c r="N16" s="233">
        <f t="shared" si="0"/>
        <v>0</v>
      </c>
      <c r="O16" s="234"/>
      <c r="P16" s="234"/>
      <c r="Q16" s="234"/>
      <c r="R16" s="179">
        <f t="shared" si="1"/>
        <v>0</v>
      </c>
      <c r="S16" s="58" t="s">
        <v>158</v>
      </c>
      <c r="T16" s="51"/>
      <c r="V16" s="52" t="s">
        <v>0</v>
      </c>
      <c r="W16" s="11" t="s">
        <v>3</v>
      </c>
      <c r="X16" s="53">
        <v>0</v>
      </c>
      <c r="Y16" s="53">
        <f>X16*K16</f>
        <v>0</v>
      </c>
      <c r="Z16" s="53">
        <v>0</v>
      </c>
      <c r="AA16" s="53">
        <f>Z16*K16</f>
        <v>0</v>
      </c>
      <c r="AB16" s="53">
        <v>0</v>
      </c>
      <c r="AC16" s="54">
        <f>AB16*K16</f>
        <v>0</v>
      </c>
      <c r="AT16" s="7" t="s">
        <v>78</v>
      </c>
      <c r="AV16" s="7" t="s">
        <v>118</v>
      </c>
      <c r="AW16" s="7" t="s">
        <v>63</v>
      </c>
      <c r="BA16" s="7" t="s">
        <v>59</v>
      </c>
      <c r="BG16" s="55">
        <f>IF(W22="základná",N22,0)</f>
        <v>0</v>
      </c>
      <c r="BH16" s="55">
        <f>IF(W22="znížená",N22,0)</f>
        <v>0</v>
      </c>
      <c r="BI16" s="55">
        <f>IF(W22="zákl. prenesená",N22,0)</f>
        <v>0</v>
      </c>
      <c r="BJ16" s="55">
        <f>IF(W22="zníž. prenesená",N22,0)</f>
        <v>0</v>
      </c>
      <c r="BK16" s="55">
        <f>IF(W22="nulová",N22,0)</f>
        <v>0</v>
      </c>
      <c r="BL16" s="7" t="s">
        <v>63</v>
      </c>
      <c r="BM16" s="55">
        <f>ROUND(L22*K22,2)</f>
        <v>0</v>
      </c>
      <c r="BN16" s="7" t="s">
        <v>62</v>
      </c>
      <c r="BO16" s="7" t="s">
        <v>78</v>
      </c>
    </row>
    <row r="17" spans="2:67" s="1" customFormat="1" ht="31.5" customHeight="1">
      <c r="B17" s="50"/>
      <c r="C17" s="56" t="s">
        <v>71</v>
      </c>
      <c r="D17" s="56" t="s">
        <v>60</v>
      </c>
      <c r="E17" s="57" t="s">
        <v>219</v>
      </c>
      <c r="F17" s="209" t="s">
        <v>220</v>
      </c>
      <c r="G17" s="204"/>
      <c r="H17" s="204"/>
      <c r="I17" s="204"/>
      <c r="J17" s="58" t="s">
        <v>61</v>
      </c>
      <c r="K17" s="59">
        <v>3.6</v>
      </c>
      <c r="L17" s="203"/>
      <c r="M17" s="204"/>
      <c r="N17" s="233">
        <f t="shared" si="0"/>
        <v>0</v>
      </c>
      <c r="O17" s="234"/>
      <c r="P17" s="234"/>
      <c r="Q17" s="234"/>
      <c r="R17" s="179">
        <f t="shared" si="1"/>
        <v>0</v>
      </c>
      <c r="S17" s="58" t="s">
        <v>158</v>
      </c>
      <c r="T17" s="43"/>
      <c r="U17" s="6"/>
      <c r="V17" s="44"/>
      <c r="W17" s="42"/>
      <c r="X17" s="42"/>
      <c r="Y17" s="45">
        <f>Y18</f>
        <v>0</v>
      </c>
      <c r="Z17" s="42"/>
      <c r="AA17" s="45">
        <f>AA18</f>
        <v>0</v>
      </c>
      <c r="AB17" s="42"/>
      <c r="AC17" s="46">
        <f>AC18</f>
        <v>0</v>
      </c>
      <c r="AD17" s="6"/>
      <c r="AE17" s="6"/>
      <c r="AT17" s="7" t="s">
        <v>62</v>
      </c>
      <c r="AV17" s="7" t="s">
        <v>60</v>
      </c>
      <c r="AW17" s="7" t="s">
        <v>63</v>
      </c>
      <c r="BA17" s="7" t="s">
        <v>59</v>
      </c>
      <c r="BG17" s="55">
        <f>IF(W23="základná",N23,0)</f>
        <v>0</v>
      </c>
      <c r="BH17" s="55">
        <f>IF(W23="znížená",N23,0)</f>
        <v>0</v>
      </c>
      <c r="BI17" s="55">
        <f>IF(W23="zákl. prenesená",N23,0)</f>
        <v>0</v>
      </c>
      <c r="BJ17" s="55">
        <f>IF(W23="zníž. prenesená",N23,0)</f>
        <v>0</v>
      </c>
      <c r="BK17" s="55">
        <f>IF(W23="nulová",N23,0)</f>
        <v>0</v>
      </c>
      <c r="BL17" s="7" t="s">
        <v>63</v>
      </c>
      <c r="BM17" s="55">
        <f>ROUND(L23*K23,2)</f>
        <v>0</v>
      </c>
      <c r="BN17" s="7" t="s">
        <v>62</v>
      </c>
      <c r="BO17" s="7" t="s">
        <v>80</v>
      </c>
    </row>
    <row r="18" spans="2:65" s="6" customFormat="1" ht="36.75" customHeight="1">
      <c r="B18" s="41"/>
      <c r="C18" s="56" t="s">
        <v>75</v>
      </c>
      <c r="D18" s="56" t="s">
        <v>60</v>
      </c>
      <c r="E18" s="57" t="s">
        <v>76</v>
      </c>
      <c r="F18" s="209" t="s">
        <v>77</v>
      </c>
      <c r="G18" s="204"/>
      <c r="H18" s="204"/>
      <c r="I18" s="204"/>
      <c r="J18" s="58" t="s">
        <v>61</v>
      </c>
      <c r="K18" s="59">
        <v>0.168</v>
      </c>
      <c r="L18" s="203"/>
      <c r="M18" s="204"/>
      <c r="N18" s="233">
        <f t="shared" si="0"/>
        <v>0</v>
      </c>
      <c r="O18" s="234"/>
      <c r="P18" s="234"/>
      <c r="Q18" s="234"/>
      <c r="R18" s="179">
        <f t="shared" si="1"/>
        <v>0</v>
      </c>
      <c r="S18" s="58" t="s">
        <v>158</v>
      </c>
      <c r="T18" s="51"/>
      <c r="U18" s="1"/>
      <c r="V18" s="52" t="s">
        <v>0</v>
      </c>
      <c r="W18" s="11" t="s">
        <v>3</v>
      </c>
      <c r="X18" s="53">
        <v>0</v>
      </c>
      <c r="Y18" s="53">
        <f>X18*K18</f>
        <v>0</v>
      </c>
      <c r="Z18" s="53">
        <v>0</v>
      </c>
      <c r="AA18" s="53">
        <f>Z18*K18</f>
        <v>0</v>
      </c>
      <c r="AB18" s="53">
        <v>0</v>
      </c>
      <c r="AC18" s="54">
        <f>AB18*K18</f>
        <v>0</v>
      </c>
      <c r="AD18" s="1"/>
      <c r="AE18" s="1"/>
      <c r="AT18" s="47" t="s">
        <v>29</v>
      </c>
      <c r="AV18" s="48" t="s">
        <v>22</v>
      </c>
      <c r="AW18" s="48" t="s">
        <v>23</v>
      </c>
      <c r="BA18" s="47" t="s">
        <v>59</v>
      </c>
      <c r="BM18" s="49" t="e">
        <f>SUM(BM19:BM43)</f>
        <v>#REF!</v>
      </c>
    </row>
    <row r="19" spans="2:67" s="1" customFormat="1" ht="31.5" customHeight="1">
      <c r="B19" s="50"/>
      <c r="C19" s="115" t="s">
        <v>78</v>
      </c>
      <c r="D19" s="115" t="s">
        <v>118</v>
      </c>
      <c r="E19" s="116" t="s">
        <v>221</v>
      </c>
      <c r="F19" s="242" t="s">
        <v>222</v>
      </c>
      <c r="G19" s="243"/>
      <c r="H19" s="243"/>
      <c r="I19" s="243"/>
      <c r="J19" s="117" t="s">
        <v>74</v>
      </c>
      <c r="K19" s="118">
        <v>0.005</v>
      </c>
      <c r="L19" s="244"/>
      <c r="M19" s="243"/>
      <c r="N19" s="233">
        <f t="shared" si="0"/>
        <v>0</v>
      </c>
      <c r="O19" s="234"/>
      <c r="P19" s="234"/>
      <c r="Q19" s="234"/>
      <c r="R19" s="179">
        <f t="shared" si="1"/>
        <v>0</v>
      </c>
      <c r="S19" s="58" t="s">
        <v>158</v>
      </c>
      <c r="T19" s="43"/>
      <c r="U19" s="6"/>
      <c r="V19" s="44"/>
      <c r="W19" s="42"/>
      <c r="X19" s="42"/>
      <c r="Y19" s="45">
        <f>Y20</f>
        <v>0</v>
      </c>
      <c r="Z19" s="42"/>
      <c r="AA19" s="45">
        <f>AA20</f>
        <v>0</v>
      </c>
      <c r="AB19" s="42"/>
      <c r="AC19" s="46">
        <f>AC20</f>
        <v>0</v>
      </c>
      <c r="AD19" s="6"/>
      <c r="AE19" s="6"/>
      <c r="AT19" s="7" t="s">
        <v>62</v>
      </c>
      <c r="AV19" s="7" t="s">
        <v>60</v>
      </c>
      <c r="AW19" s="7" t="s">
        <v>29</v>
      </c>
      <c r="BA19" s="7" t="s">
        <v>59</v>
      </c>
      <c r="BG19" s="55">
        <f aca="true" t="shared" si="2" ref="BG19:BG42">IF(W25="základná",N25,0)</f>
        <v>0</v>
      </c>
      <c r="BH19" s="55">
        <f aca="true" t="shared" si="3" ref="BH19:BH42">IF(W25="znížená",N25,0)</f>
        <v>0</v>
      </c>
      <c r="BI19" s="55">
        <f aca="true" t="shared" si="4" ref="BI19:BI42">IF(W25="zákl. prenesená",N25,0)</f>
        <v>0</v>
      </c>
      <c r="BJ19" s="55">
        <f aca="true" t="shared" si="5" ref="BJ19:BJ42">IF(W25="zníž. prenesená",N25,0)</f>
        <v>0</v>
      </c>
      <c r="BK19" s="55">
        <f aca="true" t="shared" si="6" ref="BK19:BK42">IF(W25="nulová",N25,0)</f>
        <v>0</v>
      </c>
      <c r="BL19" s="7" t="s">
        <v>63</v>
      </c>
      <c r="BM19" s="55">
        <f aca="true" t="shared" si="7" ref="BM19:BM42">ROUND(L25*K25,2)</f>
        <v>0</v>
      </c>
      <c r="BN19" s="7" t="s">
        <v>62</v>
      </c>
      <c r="BO19" s="7" t="s">
        <v>82</v>
      </c>
    </row>
    <row r="20" spans="2:67" s="1" customFormat="1" ht="31.5" customHeight="1">
      <c r="B20" s="50"/>
      <c r="C20" s="119" t="s">
        <v>80</v>
      </c>
      <c r="D20" s="119" t="s">
        <v>60</v>
      </c>
      <c r="E20" s="120" t="s">
        <v>223</v>
      </c>
      <c r="F20" s="245" t="s">
        <v>224</v>
      </c>
      <c r="G20" s="246"/>
      <c r="H20" s="246"/>
      <c r="I20" s="246"/>
      <c r="J20" s="121" t="s">
        <v>91</v>
      </c>
      <c r="K20" s="122">
        <v>14.2</v>
      </c>
      <c r="L20" s="263"/>
      <c r="M20" s="246"/>
      <c r="N20" s="233">
        <f t="shared" si="0"/>
        <v>0</v>
      </c>
      <c r="O20" s="234"/>
      <c r="P20" s="234"/>
      <c r="Q20" s="234"/>
      <c r="R20" s="179">
        <f>ROUND((N20*1.2),2)</f>
        <v>0</v>
      </c>
      <c r="S20" s="58" t="s">
        <v>158</v>
      </c>
      <c r="T20" s="43"/>
      <c r="U20" s="6"/>
      <c r="V20" s="44"/>
      <c r="W20" s="42"/>
      <c r="X20" s="42"/>
      <c r="Y20" s="45">
        <f>SUM(Y21:Y23)</f>
        <v>0</v>
      </c>
      <c r="Z20" s="42"/>
      <c r="AA20" s="45">
        <f>SUM(AA21:AA23)</f>
        <v>0</v>
      </c>
      <c r="AB20" s="42"/>
      <c r="AC20" s="46">
        <f>SUM(AC21:AC23)</f>
        <v>0</v>
      </c>
      <c r="AD20" s="6"/>
      <c r="AE20" s="6"/>
      <c r="AT20" s="7" t="s">
        <v>62</v>
      </c>
      <c r="AV20" s="7" t="s">
        <v>60</v>
      </c>
      <c r="AW20" s="7" t="s">
        <v>29</v>
      </c>
      <c r="BA20" s="7" t="s">
        <v>59</v>
      </c>
      <c r="BG20" s="55">
        <f t="shared" si="2"/>
        <v>0</v>
      </c>
      <c r="BH20" s="55">
        <f t="shared" si="3"/>
        <v>0</v>
      </c>
      <c r="BI20" s="55">
        <f t="shared" si="4"/>
        <v>0</v>
      </c>
      <c r="BJ20" s="55">
        <f t="shared" si="5"/>
        <v>0</v>
      </c>
      <c r="BK20" s="55">
        <f t="shared" si="6"/>
        <v>0</v>
      </c>
      <c r="BL20" s="7" t="s">
        <v>63</v>
      </c>
      <c r="BM20" s="55">
        <f t="shared" si="7"/>
        <v>0</v>
      </c>
      <c r="BN20" s="7" t="s">
        <v>62</v>
      </c>
      <c r="BO20" s="7" t="s">
        <v>84</v>
      </c>
    </row>
    <row r="21" spans="2:67" s="1" customFormat="1" ht="31.5" customHeight="1">
      <c r="B21" s="50"/>
      <c r="C21" s="115" t="s">
        <v>82</v>
      </c>
      <c r="D21" s="115" t="s">
        <v>118</v>
      </c>
      <c r="E21" s="116" t="s">
        <v>225</v>
      </c>
      <c r="F21" s="242" t="s">
        <v>226</v>
      </c>
      <c r="G21" s="243"/>
      <c r="H21" s="243"/>
      <c r="I21" s="243"/>
      <c r="J21" s="117" t="s">
        <v>151</v>
      </c>
      <c r="K21" s="118">
        <v>0.439</v>
      </c>
      <c r="L21" s="244"/>
      <c r="M21" s="243"/>
      <c r="N21" s="233">
        <f t="shared" si="0"/>
        <v>0</v>
      </c>
      <c r="O21" s="234"/>
      <c r="P21" s="234"/>
      <c r="Q21" s="234"/>
      <c r="R21" s="179">
        <f t="shared" si="1"/>
        <v>0</v>
      </c>
      <c r="S21" s="58" t="s">
        <v>158</v>
      </c>
      <c r="T21" s="51"/>
      <c r="V21" s="52" t="s">
        <v>0</v>
      </c>
      <c r="W21" s="11" t="s">
        <v>3</v>
      </c>
      <c r="X21" s="53">
        <v>0</v>
      </c>
      <c r="Y21" s="53">
        <f>X21*K21</f>
        <v>0</v>
      </c>
      <c r="Z21" s="53">
        <v>0</v>
      </c>
      <c r="AA21" s="53">
        <f>Z21*K21</f>
        <v>0</v>
      </c>
      <c r="AB21" s="53">
        <v>0</v>
      </c>
      <c r="AC21" s="54">
        <f>AB21*K21</f>
        <v>0</v>
      </c>
      <c r="AT21" s="7" t="s">
        <v>62</v>
      </c>
      <c r="AV21" s="7" t="s">
        <v>60</v>
      </c>
      <c r="AW21" s="7" t="s">
        <v>29</v>
      </c>
      <c r="BA21" s="7" t="s">
        <v>59</v>
      </c>
      <c r="BG21" s="55">
        <f t="shared" si="2"/>
        <v>0</v>
      </c>
      <c r="BH21" s="55">
        <f t="shared" si="3"/>
        <v>0</v>
      </c>
      <c r="BI21" s="55">
        <f t="shared" si="4"/>
        <v>0</v>
      </c>
      <c r="BJ21" s="55">
        <f t="shared" si="5"/>
        <v>0</v>
      </c>
      <c r="BK21" s="55">
        <f t="shared" si="6"/>
        <v>0</v>
      </c>
      <c r="BL21" s="7" t="s">
        <v>63</v>
      </c>
      <c r="BM21" s="55">
        <f t="shared" si="7"/>
        <v>0</v>
      </c>
      <c r="BN21" s="7" t="s">
        <v>62</v>
      </c>
      <c r="BO21" s="7" t="s">
        <v>86</v>
      </c>
    </row>
    <row r="22" spans="2:67" s="1" customFormat="1" ht="42" customHeight="1">
      <c r="B22" s="50"/>
      <c r="C22" s="112"/>
      <c r="D22" s="114" t="s">
        <v>41</v>
      </c>
      <c r="E22" s="114"/>
      <c r="F22" s="114"/>
      <c r="G22" s="114"/>
      <c r="H22" s="114"/>
      <c r="I22" s="114"/>
      <c r="J22" s="114"/>
      <c r="K22" s="114"/>
      <c r="L22" s="114"/>
      <c r="M22" s="114"/>
      <c r="N22" s="235">
        <f>ROUND(SUM(N23:Q27),2)</f>
        <v>0</v>
      </c>
      <c r="O22" s="227"/>
      <c r="P22" s="227"/>
      <c r="Q22" s="236"/>
      <c r="R22" s="114"/>
      <c r="S22" s="114"/>
      <c r="T22" s="51"/>
      <c r="V22" s="52" t="s">
        <v>0</v>
      </c>
      <c r="W22" s="11" t="s">
        <v>3</v>
      </c>
      <c r="X22" s="53">
        <v>0</v>
      </c>
      <c r="Y22" s="53">
        <f>X22*K22</f>
        <v>0</v>
      </c>
      <c r="Z22" s="53">
        <v>0</v>
      </c>
      <c r="AA22" s="53">
        <f>Z22*K22</f>
        <v>0</v>
      </c>
      <c r="AB22" s="53">
        <v>0</v>
      </c>
      <c r="AC22" s="54">
        <f>AB22*K22</f>
        <v>0</v>
      </c>
      <c r="AT22" s="7" t="s">
        <v>62</v>
      </c>
      <c r="AV22" s="7" t="s">
        <v>60</v>
      </c>
      <c r="AW22" s="7" t="s">
        <v>29</v>
      </c>
      <c r="BA22" s="7" t="s">
        <v>59</v>
      </c>
      <c r="BG22" s="55">
        <f t="shared" si="2"/>
        <v>0</v>
      </c>
      <c r="BH22" s="55">
        <f t="shared" si="3"/>
        <v>0</v>
      </c>
      <c r="BI22" s="55">
        <f t="shared" si="4"/>
        <v>0</v>
      </c>
      <c r="BJ22" s="55">
        <f t="shared" si="5"/>
        <v>0</v>
      </c>
      <c r="BK22" s="55">
        <f t="shared" si="6"/>
        <v>0</v>
      </c>
      <c r="BL22" s="7" t="s">
        <v>63</v>
      </c>
      <c r="BM22" s="55">
        <f t="shared" si="7"/>
        <v>0</v>
      </c>
      <c r="BN22" s="7" t="s">
        <v>62</v>
      </c>
      <c r="BO22" s="7" t="s">
        <v>88</v>
      </c>
    </row>
    <row r="23" spans="2:67" s="1" customFormat="1" ht="27" customHeight="1">
      <c r="B23" s="50"/>
      <c r="C23" s="56" t="s">
        <v>84</v>
      </c>
      <c r="D23" s="56" t="s">
        <v>60</v>
      </c>
      <c r="E23" s="57" t="s">
        <v>227</v>
      </c>
      <c r="F23" s="209" t="s">
        <v>228</v>
      </c>
      <c r="G23" s="204"/>
      <c r="H23" s="204"/>
      <c r="I23" s="204"/>
      <c r="J23" s="58" t="s">
        <v>61</v>
      </c>
      <c r="K23" s="59">
        <v>0.6</v>
      </c>
      <c r="L23" s="203"/>
      <c r="M23" s="204"/>
      <c r="N23" s="233">
        <f>ROUND((K23*L23),2)</f>
        <v>0</v>
      </c>
      <c r="O23" s="234"/>
      <c r="P23" s="234"/>
      <c r="Q23" s="234"/>
      <c r="R23" s="179">
        <f t="shared" si="1"/>
        <v>0</v>
      </c>
      <c r="S23" s="58" t="s">
        <v>158</v>
      </c>
      <c r="T23" s="51"/>
      <c r="V23" s="52" t="s">
        <v>0</v>
      </c>
      <c r="W23" s="11" t="s">
        <v>3</v>
      </c>
      <c r="X23" s="53">
        <v>0</v>
      </c>
      <c r="Y23" s="53">
        <f>X23*K23</f>
        <v>0</v>
      </c>
      <c r="Z23" s="53">
        <v>0</v>
      </c>
      <c r="AA23" s="53">
        <f>Z23*K23</f>
        <v>0</v>
      </c>
      <c r="AB23" s="53">
        <v>0</v>
      </c>
      <c r="AC23" s="54">
        <f>AB23*K23</f>
        <v>0</v>
      </c>
      <c r="AT23" s="7" t="s">
        <v>62</v>
      </c>
      <c r="AV23" s="7" t="s">
        <v>60</v>
      </c>
      <c r="AW23" s="7" t="s">
        <v>29</v>
      </c>
      <c r="BA23" s="7" t="s">
        <v>59</v>
      </c>
      <c r="BG23" s="55">
        <f t="shared" si="2"/>
        <v>0</v>
      </c>
      <c r="BH23" s="55">
        <f t="shared" si="3"/>
        <v>0</v>
      </c>
      <c r="BI23" s="55">
        <f t="shared" si="4"/>
        <v>0</v>
      </c>
      <c r="BJ23" s="55">
        <f t="shared" si="5"/>
        <v>0</v>
      </c>
      <c r="BK23" s="55">
        <f t="shared" si="6"/>
        <v>0</v>
      </c>
      <c r="BL23" s="7" t="s">
        <v>63</v>
      </c>
      <c r="BM23" s="55">
        <f t="shared" si="7"/>
        <v>0</v>
      </c>
      <c r="BN23" s="7" t="s">
        <v>62</v>
      </c>
      <c r="BO23" s="7" t="s">
        <v>90</v>
      </c>
    </row>
    <row r="24" spans="2:67" s="1" customFormat="1" ht="43.5" customHeight="1">
      <c r="B24" s="50"/>
      <c r="C24" s="56" t="s">
        <v>86</v>
      </c>
      <c r="D24" s="56" t="s">
        <v>60</v>
      </c>
      <c r="E24" s="57" t="s">
        <v>172</v>
      </c>
      <c r="F24" s="209" t="s">
        <v>173</v>
      </c>
      <c r="G24" s="204"/>
      <c r="H24" s="204"/>
      <c r="I24" s="204"/>
      <c r="J24" s="58" t="s">
        <v>61</v>
      </c>
      <c r="K24" s="59">
        <v>4.58</v>
      </c>
      <c r="L24" s="203"/>
      <c r="M24" s="204"/>
      <c r="N24" s="233">
        <f>ROUND((K24*L24),2)</f>
        <v>0</v>
      </c>
      <c r="O24" s="234"/>
      <c r="P24" s="234"/>
      <c r="Q24" s="234"/>
      <c r="R24" s="179">
        <f t="shared" si="1"/>
        <v>0</v>
      </c>
      <c r="S24" s="58" t="s">
        <v>254</v>
      </c>
      <c r="T24" s="43"/>
      <c r="U24" s="6"/>
      <c r="V24" s="44"/>
      <c r="W24" s="42"/>
      <c r="X24" s="42"/>
      <c r="Y24" s="45">
        <f>SUM(Y25:Y48)</f>
        <v>0</v>
      </c>
      <c r="Z24" s="42"/>
      <c r="AA24" s="45">
        <f>SUM(AA25:AA48)</f>
        <v>0</v>
      </c>
      <c r="AB24" s="42"/>
      <c r="AC24" s="46">
        <f>SUM(AC25:AC48)</f>
        <v>0</v>
      </c>
      <c r="AD24" s="6"/>
      <c r="AE24" s="6"/>
      <c r="AT24" s="7" t="s">
        <v>78</v>
      </c>
      <c r="AV24" s="7" t="s">
        <v>118</v>
      </c>
      <c r="AW24" s="7" t="s">
        <v>29</v>
      </c>
      <c r="BA24" s="7" t="s">
        <v>59</v>
      </c>
      <c r="BG24" s="55">
        <f t="shared" si="2"/>
        <v>0</v>
      </c>
      <c r="BH24" s="55">
        <f t="shared" si="3"/>
        <v>0</v>
      </c>
      <c r="BI24" s="55">
        <f t="shared" si="4"/>
        <v>0</v>
      </c>
      <c r="BJ24" s="55">
        <f t="shared" si="5"/>
        <v>0</v>
      </c>
      <c r="BK24" s="55">
        <f t="shared" si="6"/>
        <v>0</v>
      </c>
      <c r="BL24" s="7" t="s">
        <v>63</v>
      </c>
      <c r="BM24" s="55">
        <f t="shared" si="7"/>
        <v>0</v>
      </c>
      <c r="BN24" s="7" t="s">
        <v>62</v>
      </c>
      <c r="BO24" s="7" t="s">
        <v>93</v>
      </c>
    </row>
    <row r="25" spans="2:67" s="1" customFormat="1" ht="39.75" customHeight="1">
      <c r="B25" s="50"/>
      <c r="C25" s="56" t="s">
        <v>88</v>
      </c>
      <c r="D25" s="56" t="s">
        <v>60</v>
      </c>
      <c r="E25" s="57" t="s">
        <v>229</v>
      </c>
      <c r="F25" s="209" t="s">
        <v>230</v>
      </c>
      <c r="G25" s="204"/>
      <c r="H25" s="204"/>
      <c r="I25" s="204"/>
      <c r="J25" s="58" t="s">
        <v>91</v>
      </c>
      <c r="K25" s="59">
        <v>7.2</v>
      </c>
      <c r="L25" s="203"/>
      <c r="M25" s="204"/>
      <c r="N25" s="233">
        <f>ROUND((K25*L25),2)</f>
        <v>0</v>
      </c>
      <c r="O25" s="234"/>
      <c r="P25" s="234"/>
      <c r="Q25" s="234"/>
      <c r="R25" s="179">
        <f t="shared" si="1"/>
        <v>0</v>
      </c>
      <c r="S25" s="58" t="s">
        <v>158</v>
      </c>
      <c r="T25" s="51"/>
      <c r="V25" s="52" t="s">
        <v>0</v>
      </c>
      <c r="W25" s="11" t="s">
        <v>3</v>
      </c>
      <c r="X25" s="53">
        <v>0</v>
      </c>
      <c r="Y25" s="53">
        <f aca="true" t="shared" si="8" ref="Y25:Y48">X25*K25</f>
        <v>0</v>
      </c>
      <c r="Z25" s="53">
        <v>0</v>
      </c>
      <c r="AA25" s="53">
        <f aca="true" t="shared" si="9" ref="AA25:AA48">Z25*K25</f>
        <v>0</v>
      </c>
      <c r="AB25" s="53">
        <v>0</v>
      </c>
      <c r="AC25" s="54">
        <f aca="true" t="shared" si="10" ref="AC25:AC48">AB25*K25</f>
        <v>0</v>
      </c>
      <c r="AT25" s="7" t="s">
        <v>62</v>
      </c>
      <c r="AV25" s="7" t="s">
        <v>60</v>
      </c>
      <c r="AW25" s="7" t="s">
        <v>29</v>
      </c>
      <c r="BA25" s="7" t="s">
        <v>59</v>
      </c>
      <c r="BG25" s="55">
        <f t="shared" si="2"/>
        <v>0</v>
      </c>
      <c r="BH25" s="55">
        <f t="shared" si="3"/>
        <v>0</v>
      </c>
      <c r="BI25" s="55">
        <f t="shared" si="4"/>
        <v>0</v>
      </c>
      <c r="BJ25" s="55">
        <f t="shared" si="5"/>
        <v>0</v>
      </c>
      <c r="BK25" s="55">
        <f t="shared" si="6"/>
        <v>0</v>
      </c>
      <c r="BL25" s="7" t="s">
        <v>63</v>
      </c>
      <c r="BM25" s="55">
        <f t="shared" si="7"/>
        <v>0</v>
      </c>
      <c r="BN25" s="7" t="s">
        <v>62</v>
      </c>
      <c r="BO25" s="7" t="s">
        <v>95</v>
      </c>
    </row>
    <row r="26" spans="2:67" s="1" customFormat="1" ht="31.5" customHeight="1">
      <c r="B26" s="50"/>
      <c r="C26" s="56" t="s">
        <v>90</v>
      </c>
      <c r="D26" s="56" t="s">
        <v>60</v>
      </c>
      <c r="E26" s="57" t="s">
        <v>174</v>
      </c>
      <c r="F26" s="209" t="s">
        <v>175</v>
      </c>
      <c r="G26" s="204"/>
      <c r="H26" s="204"/>
      <c r="I26" s="204"/>
      <c r="J26" s="58" t="s">
        <v>91</v>
      </c>
      <c r="K26" s="59">
        <v>40.72</v>
      </c>
      <c r="L26" s="203"/>
      <c r="M26" s="204"/>
      <c r="N26" s="233">
        <f>ROUND((K26*L26),2)</f>
        <v>0</v>
      </c>
      <c r="O26" s="234"/>
      <c r="P26" s="234"/>
      <c r="Q26" s="234"/>
      <c r="R26" s="179">
        <f t="shared" si="1"/>
        <v>0</v>
      </c>
      <c r="S26" s="58" t="s">
        <v>158</v>
      </c>
      <c r="T26" s="51"/>
      <c r="V26" s="52" t="s">
        <v>0</v>
      </c>
      <c r="W26" s="11" t="s">
        <v>3</v>
      </c>
      <c r="X26" s="53">
        <v>0</v>
      </c>
      <c r="Y26" s="53">
        <f t="shared" si="8"/>
        <v>0</v>
      </c>
      <c r="Z26" s="53">
        <v>0</v>
      </c>
      <c r="AA26" s="53">
        <f t="shared" si="9"/>
        <v>0</v>
      </c>
      <c r="AB26" s="53">
        <v>0</v>
      </c>
      <c r="AC26" s="54">
        <f t="shared" si="10"/>
        <v>0</v>
      </c>
      <c r="AT26" s="7" t="s">
        <v>62</v>
      </c>
      <c r="AV26" s="7" t="s">
        <v>60</v>
      </c>
      <c r="AW26" s="7" t="s">
        <v>29</v>
      </c>
      <c r="BA26" s="7" t="s">
        <v>59</v>
      </c>
      <c r="BG26" s="55">
        <f t="shared" si="2"/>
        <v>0</v>
      </c>
      <c r="BH26" s="55">
        <f t="shared" si="3"/>
        <v>0</v>
      </c>
      <c r="BI26" s="55">
        <f t="shared" si="4"/>
        <v>0</v>
      </c>
      <c r="BJ26" s="55">
        <f t="shared" si="5"/>
        <v>0</v>
      </c>
      <c r="BK26" s="55">
        <f t="shared" si="6"/>
        <v>0</v>
      </c>
      <c r="BL26" s="7" t="s">
        <v>63</v>
      </c>
      <c r="BM26" s="55">
        <f t="shared" si="7"/>
        <v>0</v>
      </c>
      <c r="BN26" s="7" t="s">
        <v>62</v>
      </c>
      <c r="BO26" s="7" t="s">
        <v>98</v>
      </c>
    </row>
    <row r="27" spans="2:67" s="1" customFormat="1" ht="31.5" customHeight="1">
      <c r="B27" s="50"/>
      <c r="C27" s="56" t="s">
        <v>93</v>
      </c>
      <c r="D27" s="56" t="s">
        <v>60</v>
      </c>
      <c r="E27" s="57" t="s">
        <v>176</v>
      </c>
      <c r="F27" s="209" t="s">
        <v>177</v>
      </c>
      <c r="G27" s="204"/>
      <c r="H27" s="204"/>
      <c r="I27" s="204"/>
      <c r="J27" s="58" t="s">
        <v>61</v>
      </c>
      <c r="K27" s="59">
        <v>0.288</v>
      </c>
      <c r="L27" s="203"/>
      <c r="M27" s="204"/>
      <c r="N27" s="233">
        <f>ROUND((K27*L27),2)</f>
        <v>0</v>
      </c>
      <c r="O27" s="234"/>
      <c r="P27" s="234"/>
      <c r="Q27" s="234"/>
      <c r="R27" s="179">
        <f t="shared" si="1"/>
        <v>0</v>
      </c>
      <c r="S27" s="58" t="s">
        <v>158</v>
      </c>
      <c r="T27" s="51"/>
      <c r="V27" s="52" t="s">
        <v>0</v>
      </c>
      <c r="W27" s="11" t="s">
        <v>3</v>
      </c>
      <c r="X27" s="53">
        <v>0</v>
      </c>
      <c r="Y27" s="53">
        <f t="shared" si="8"/>
        <v>0</v>
      </c>
      <c r="Z27" s="53">
        <v>0</v>
      </c>
      <c r="AA27" s="53">
        <f t="shared" si="9"/>
        <v>0</v>
      </c>
      <c r="AB27" s="53">
        <v>0</v>
      </c>
      <c r="AC27" s="54">
        <f t="shared" si="10"/>
        <v>0</v>
      </c>
      <c r="AT27" s="7" t="s">
        <v>62</v>
      </c>
      <c r="AV27" s="7" t="s">
        <v>60</v>
      </c>
      <c r="AW27" s="7" t="s">
        <v>29</v>
      </c>
      <c r="BA27" s="7" t="s">
        <v>59</v>
      </c>
      <c r="BG27" s="55">
        <f t="shared" si="2"/>
        <v>0</v>
      </c>
      <c r="BH27" s="55">
        <f t="shared" si="3"/>
        <v>0</v>
      </c>
      <c r="BI27" s="55">
        <f t="shared" si="4"/>
        <v>0</v>
      </c>
      <c r="BJ27" s="55">
        <f t="shared" si="5"/>
        <v>0</v>
      </c>
      <c r="BK27" s="55">
        <f t="shared" si="6"/>
        <v>0</v>
      </c>
      <c r="BL27" s="7" t="s">
        <v>63</v>
      </c>
      <c r="BM27" s="55">
        <f t="shared" si="7"/>
        <v>0</v>
      </c>
      <c r="BN27" s="7" t="s">
        <v>62</v>
      </c>
      <c r="BO27" s="7" t="s">
        <v>100</v>
      </c>
    </row>
    <row r="28" spans="2:67" s="1" customFormat="1" ht="31.5" customHeight="1">
      <c r="B28" s="50"/>
      <c r="C28" s="112"/>
      <c r="D28" s="114" t="s">
        <v>178</v>
      </c>
      <c r="E28" s="114"/>
      <c r="F28" s="114"/>
      <c r="G28" s="114"/>
      <c r="H28" s="114"/>
      <c r="I28" s="114"/>
      <c r="J28" s="114"/>
      <c r="K28" s="114"/>
      <c r="L28" s="114"/>
      <c r="M28" s="114"/>
      <c r="N28" s="250">
        <f>ROUND(SUM(N29:Q36),2)</f>
        <v>0</v>
      </c>
      <c r="O28" s="251"/>
      <c r="P28" s="251"/>
      <c r="Q28" s="251"/>
      <c r="R28" s="114"/>
      <c r="S28" s="114"/>
      <c r="T28" s="51"/>
      <c r="V28" s="52" t="s">
        <v>0</v>
      </c>
      <c r="W28" s="11" t="s">
        <v>3</v>
      </c>
      <c r="X28" s="53">
        <v>0</v>
      </c>
      <c r="Y28" s="53">
        <f t="shared" si="8"/>
        <v>0</v>
      </c>
      <c r="Z28" s="53">
        <v>0</v>
      </c>
      <c r="AA28" s="53">
        <f t="shared" si="9"/>
        <v>0</v>
      </c>
      <c r="AB28" s="53">
        <v>0</v>
      </c>
      <c r="AC28" s="54">
        <f t="shared" si="10"/>
        <v>0</v>
      </c>
      <c r="AT28" s="7" t="s">
        <v>62</v>
      </c>
      <c r="AV28" s="7" t="s">
        <v>60</v>
      </c>
      <c r="AW28" s="7" t="s">
        <v>29</v>
      </c>
      <c r="BA28" s="7" t="s">
        <v>59</v>
      </c>
      <c r="BG28" s="55">
        <f t="shared" si="2"/>
        <v>0</v>
      </c>
      <c r="BH28" s="55">
        <f t="shared" si="3"/>
        <v>0</v>
      </c>
      <c r="BI28" s="55">
        <f t="shared" si="4"/>
        <v>0</v>
      </c>
      <c r="BJ28" s="55">
        <f t="shared" si="5"/>
        <v>0</v>
      </c>
      <c r="BK28" s="55">
        <f t="shared" si="6"/>
        <v>0</v>
      </c>
      <c r="BL28" s="7" t="s">
        <v>63</v>
      </c>
      <c r="BM28" s="55">
        <f t="shared" si="7"/>
        <v>0</v>
      </c>
      <c r="BN28" s="7" t="s">
        <v>62</v>
      </c>
      <c r="BO28" s="7" t="s">
        <v>102</v>
      </c>
    </row>
    <row r="29" spans="2:67" s="1" customFormat="1" ht="45" customHeight="1">
      <c r="B29" s="50"/>
      <c r="C29" s="56" t="s">
        <v>95</v>
      </c>
      <c r="D29" s="56" t="s">
        <v>60</v>
      </c>
      <c r="E29" s="57" t="s">
        <v>179</v>
      </c>
      <c r="F29" s="209" t="s">
        <v>180</v>
      </c>
      <c r="G29" s="204"/>
      <c r="H29" s="204"/>
      <c r="I29" s="204"/>
      <c r="J29" s="58" t="s">
        <v>91</v>
      </c>
      <c r="K29" s="59">
        <v>23</v>
      </c>
      <c r="L29" s="203"/>
      <c r="M29" s="204"/>
      <c r="N29" s="233">
        <f>ROUND((K29*L29),2)</f>
        <v>0</v>
      </c>
      <c r="O29" s="234"/>
      <c r="P29" s="234"/>
      <c r="Q29" s="234"/>
      <c r="R29" s="179">
        <f t="shared" si="1"/>
        <v>0</v>
      </c>
      <c r="S29" s="58" t="s">
        <v>158</v>
      </c>
      <c r="T29" s="51"/>
      <c r="V29" s="52" t="s">
        <v>0</v>
      </c>
      <c r="W29" s="11" t="s">
        <v>3</v>
      </c>
      <c r="X29" s="53">
        <v>0</v>
      </c>
      <c r="Y29" s="53">
        <f t="shared" si="8"/>
        <v>0</v>
      </c>
      <c r="Z29" s="53">
        <v>0</v>
      </c>
      <c r="AA29" s="53">
        <f t="shared" si="9"/>
        <v>0</v>
      </c>
      <c r="AB29" s="53">
        <v>0</v>
      </c>
      <c r="AC29" s="54">
        <f t="shared" si="10"/>
        <v>0</v>
      </c>
      <c r="AT29" s="7" t="s">
        <v>62</v>
      </c>
      <c r="AV29" s="7" t="s">
        <v>60</v>
      </c>
      <c r="AW29" s="7" t="s">
        <v>29</v>
      </c>
      <c r="BA29" s="7" t="s">
        <v>59</v>
      </c>
      <c r="BG29" s="55">
        <f t="shared" si="2"/>
        <v>0</v>
      </c>
      <c r="BH29" s="55">
        <f t="shared" si="3"/>
        <v>0</v>
      </c>
      <c r="BI29" s="55">
        <f t="shared" si="4"/>
        <v>0</v>
      </c>
      <c r="BJ29" s="55">
        <f t="shared" si="5"/>
        <v>0</v>
      </c>
      <c r="BK29" s="55">
        <f t="shared" si="6"/>
        <v>0</v>
      </c>
      <c r="BL29" s="7" t="s">
        <v>63</v>
      </c>
      <c r="BM29" s="55">
        <f t="shared" si="7"/>
        <v>0</v>
      </c>
      <c r="BN29" s="7" t="s">
        <v>62</v>
      </c>
      <c r="BO29" s="7" t="s">
        <v>1</v>
      </c>
    </row>
    <row r="30" spans="2:67" s="1" customFormat="1" ht="42" customHeight="1">
      <c r="B30" s="50"/>
      <c r="C30" s="56" t="s">
        <v>98</v>
      </c>
      <c r="D30" s="56" t="s">
        <v>60</v>
      </c>
      <c r="E30" s="57" t="s">
        <v>181</v>
      </c>
      <c r="F30" s="209" t="s">
        <v>182</v>
      </c>
      <c r="G30" s="204"/>
      <c r="H30" s="204"/>
      <c r="I30" s="204"/>
      <c r="J30" s="58" t="s">
        <v>91</v>
      </c>
      <c r="K30" s="59">
        <v>36</v>
      </c>
      <c r="L30" s="203"/>
      <c r="M30" s="204"/>
      <c r="N30" s="233">
        <f aca="true" t="shared" si="11" ref="N30:N36">ROUND((K30*L30),2)</f>
        <v>0</v>
      </c>
      <c r="O30" s="234"/>
      <c r="P30" s="234"/>
      <c r="Q30" s="234"/>
      <c r="R30" s="179">
        <f t="shared" si="1"/>
        <v>0</v>
      </c>
      <c r="S30" s="58" t="s">
        <v>158</v>
      </c>
      <c r="T30" s="51"/>
      <c r="V30" s="52" t="s">
        <v>0</v>
      </c>
      <c r="W30" s="11" t="s">
        <v>3</v>
      </c>
      <c r="X30" s="53">
        <v>0</v>
      </c>
      <c r="Y30" s="53">
        <f t="shared" si="8"/>
        <v>0</v>
      </c>
      <c r="Z30" s="53">
        <v>0</v>
      </c>
      <c r="AA30" s="53">
        <f t="shared" si="9"/>
        <v>0</v>
      </c>
      <c r="AB30" s="53">
        <v>0</v>
      </c>
      <c r="AC30" s="54">
        <f t="shared" si="10"/>
        <v>0</v>
      </c>
      <c r="AT30" s="7" t="s">
        <v>62</v>
      </c>
      <c r="AV30" s="7" t="s">
        <v>60</v>
      </c>
      <c r="AW30" s="7" t="s">
        <v>29</v>
      </c>
      <c r="BA30" s="7" t="s">
        <v>59</v>
      </c>
      <c r="BG30" s="55">
        <f t="shared" si="2"/>
        <v>0</v>
      </c>
      <c r="BH30" s="55">
        <f t="shared" si="3"/>
        <v>0</v>
      </c>
      <c r="BI30" s="55">
        <f t="shared" si="4"/>
        <v>0</v>
      </c>
      <c r="BJ30" s="55">
        <f t="shared" si="5"/>
        <v>0</v>
      </c>
      <c r="BK30" s="55">
        <f t="shared" si="6"/>
        <v>0</v>
      </c>
      <c r="BL30" s="7" t="s">
        <v>63</v>
      </c>
      <c r="BM30" s="55">
        <f t="shared" si="7"/>
        <v>0</v>
      </c>
      <c r="BN30" s="7" t="s">
        <v>62</v>
      </c>
      <c r="BO30" s="7" t="s">
        <v>105</v>
      </c>
    </row>
    <row r="31" spans="2:67" s="1" customFormat="1" ht="40.5" customHeight="1">
      <c r="B31" s="50"/>
      <c r="C31" s="56" t="s">
        <v>100</v>
      </c>
      <c r="D31" s="56" t="s">
        <v>60</v>
      </c>
      <c r="E31" s="57" t="s">
        <v>183</v>
      </c>
      <c r="F31" s="209" t="s">
        <v>184</v>
      </c>
      <c r="G31" s="204"/>
      <c r="H31" s="204"/>
      <c r="I31" s="204"/>
      <c r="J31" s="58" t="s">
        <v>91</v>
      </c>
      <c r="K31" s="59">
        <v>18</v>
      </c>
      <c r="L31" s="203"/>
      <c r="M31" s="204"/>
      <c r="N31" s="233">
        <f t="shared" si="11"/>
        <v>0</v>
      </c>
      <c r="O31" s="234"/>
      <c r="P31" s="234"/>
      <c r="Q31" s="234"/>
      <c r="R31" s="179">
        <f t="shared" si="1"/>
        <v>0</v>
      </c>
      <c r="S31" s="58" t="s">
        <v>158</v>
      </c>
      <c r="T31" s="51"/>
      <c r="V31" s="52" t="s">
        <v>0</v>
      </c>
      <c r="W31" s="11" t="s">
        <v>3</v>
      </c>
      <c r="X31" s="53">
        <v>0</v>
      </c>
      <c r="Y31" s="53">
        <f t="shared" si="8"/>
        <v>0</v>
      </c>
      <c r="Z31" s="53">
        <v>0</v>
      </c>
      <c r="AA31" s="53">
        <f t="shared" si="9"/>
        <v>0</v>
      </c>
      <c r="AB31" s="53">
        <v>0</v>
      </c>
      <c r="AC31" s="54">
        <f t="shared" si="10"/>
        <v>0</v>
      </c>
      <c r="AT31" s="7" t="s">
        <v>62</v>
      </c>
      <c r="AV31" s="7" t="s">
        <v>60</v>
      </c>
      <c r="AW31" s="7" t="s">
        <v>29</v>
      </c>
      <c r="BA31" s="7" t="s">
        <v>59</v>
      </c>
      <c r="BG31" s="55">
        <f t="shared" si="2"/>
        <v>0</v>
      </c>
      <c r="BH31" s="55">
        <f t="shared" si="3"/>
        <v>0</v>
      </c>
      <c r="BI31" s="55">
        <f t="shared" si="4"/>
        <v>0</v>
      </c>
      <c r="BJ31" s="55">
        <f t="shared" si="5"/>
        <v>0</v>
      </c>
      <c r="BK31" s="55">
        <f t="shared" si="6"/>
        <v>0</v>
      </c>
      <c r="BL31" s="7" t="s">
        <v>63</v>
      </c>
      <c r="BM31" s="55">
        <f t="shared" si="7"/>
        <v>0</v>
      </c>
      <c r="BN31" s="7" t="s">
        <v>62</v>
      </c>
      <c r="BO31" s="7" t="s">
        <v>107</v>
      </c>
    </row>
    <row r="32" spans="2:67" s="1" customFormat="1" ht="43.5" customHeight="1">
      <c r="B32" s="50"/>
      <c r="C32" s="56" t="s">
        <v>102</v>
      </c>
      <c r="D32" s="56" t="s">
        <v>60</v>
      </c>
      <c r="E32" s="57" t="s">
        <v>185</v>
      </c>
      <c r="F32" s="209" t="s">
        <v>186</v>
      </c>
      <c r="G32" s="204"/>
      <c r="H32" s="204"/>
      <c r="I32" s="204"/>
      <c r="J32" s="58" t="s">
        <v>91</v>
      </c>
      <c r="K32" s="59">
        <v>18</v>
      </c>
      <c r="L32" s="203"/>
      <c r="M32" s="204"/>
      <c r="N32" s="233">
        <f t="shared" si="11"/>
        <v>0</v>
      </c>
      <c r="O32" s="234"/>
      <c r="P32" s="234"/>
      <c r="Q32" s="234"/>
      <c r="R32" s="179">
        <f t="shared" si="1"/>
        <v>0</v>
      </c>
      <c r="S32" s="58" t="s">
        <v>158</v>
      </c>
      <c r="T32" s="51"/>
      <c r="V32" s="52" t="s">
        <v>0</v>
      </c>
      <c r="W32" s="11" t="s">
        <v>3</v>
      </c>
      <c r="X32" s="53">
        <v>0</v>
      </c>
      <c r="Y32" s="53">
        <f t="shared" si="8"/>
        <v>0</v>
      </c>
      <c r="Z32" s="53">
        <v>0</v>
      </c>
      <c r="AA32" s="53">
        <f t="shared" si="9"/>
        <v>0</v>
      </c>
      <c r="AB32" s="53">
        <v>0</v>
      </c>
      <c r="AC32" s="54">
        <f t="shared" si="10"/>
        <v>0</v>
      </c>
      <c r="AT32" s="7" t="s">
        <v>62</v>
      </c>
      <c r="AV32" s="7" t="s">
        <v>60</v>
      </c>
      <c r="AW32" s="7" t="s">
        <v>29</v>
      </c>
      <c r="BA32" s="7" t="s">
        <v>59</v>
      </c>
      <c r="BG32" s="55">
        <f t="shared" si="2"/>
        <v>0</v>
      </c>
      <c r="BH32" s="55">
        <f t="shared" si="3"/>
        <v>0</v>
      </c>
      <c r="BI32" s="55">
        <f t="shared" si="4"/>
        <v>0</v>
      </c>
      <c r="BJ32" s="55">
        <f t="shared" si="5"/>
        <v>0</v>
      </c>
      <c r="BK32" s="55">
        <f t="shared" si="6"/>
        <v>0</v>
      </c>
      <c r="BL32" s="7" t="s">
        <v>63</v>
      </c>
      <c r="BM32" s="55">
        <f t="shared" si="7"/>
        <v>0</v>
      </c>
      <c r="BN32" s="7" t="s">
        <v>62</v>
      </c>
      <c r="BO32" s="7" t="s">
        <v>109</v>
      </c>
    </row>
    <row r="33" spans="2:67" s="1" customFormat="1" ht="31.5" customHeight="1">
      <c r="B33" s="50"/>
      <c r="C33" s="56" t="s">
        <v>1</v>
      </c>
      <c r="D33" s="56" t="s">
        <v>60</v>
      </c>
      <c r="E33" s="57" t="s">
        <v>231</v>
      </c>
      <c r="F33" s="209" t="s">
        <v>232</v>
      </c>
      <c r="G33" s="204"/>
      <c r="H33" s="204"/>
      <c r="I33" s="204"/>
      <c r="J33" s="58" t="s">
        <v>91</v>
      </c>
      <c r="K33" s="59">
        <v>4.2</v>
      </c>
      <c r="L33" s="203"/>
      <c r="M33" s="204"/>
      <c r="N33" s="233">
        <f t="shared" si="11"/>
        <v>0</v>
      </c>
      <c r="O33" s="234"/>
      <c r="P33" s="234"/>
      <c r="Q33" s="234"/>
      <c r="R33" s="179">
        <f t="shared" si="1"/>
        <v>0</v>
      </c>
      <c r="S33" s="58" t="s">
        <v>158</v>
      </c>
      <c r="T33" s="51"/>
      <c r="V33" s="52" t="s">
        <v>0</v>
      </c>
      <c r="W33" s="11" t="s">
        <v>3</v>
      </c>
      <c r="X33" s="53">
        <v>0</v>
      </c>
      <c r="Y33" s="53">
        <f t="shared" si="8"/>
        <v>0</v>
      </c>
      <c r="Z33" s="53">
        <v>0</v>
      </c>
      <c r="AA33" s="53">
        <f t="shared" si="9"/>
        <v>0</v>
      </c>
      <c r="AB33" s="53">
        <v>0</v>
      </c>
      <c r="AC33" s="54">
        <f t="shared" si="10"/>
        <v>0</v>
      </c>
      <c r="AT33" s="7" t="s">
        <v>78</v>
      </c>
      <c r="AV33" s="7" t="s">
        <v>118</v>
      </c>
      <c r="AW33" s="7" t="s">
        <v>29</v>
      </c>
      <c r="BA33" s="7" t="s">
        <v>59</v>
      </c>
      <c r="BG33" s="55">
        <f t="shared" si="2"/>
        <v>0</v>
      </c>
      <c r="BH33" s="55">
        <f t="shared" si="3"/>
        <v>0</v>
      </c>
      <c r="BI33" s="55">
        <f t="shared" si="4"/>
        <v>0</v>
      </c>
      <c r="BJ33" s="55">
        <f t="shared" si="5"/>
        <v>0</v>
      </c>
      <c r="BK33" s="55">
        <f t="shared" si="6"/>
        <v>0</v>
      </c>
      <c r="BL33" s="7" t="s">
        <v>63</v>
      </c>
      <c r="BM33" s="55">
        <f t="shared" si="7"/>
        <v>0</v>
      </c>
      <c r="BN33" s="7" t="s">
        <v>62</v>
      </c>
      <c r="BO33" s="7" t="s">
        <v>111</v>
      </c>
    </row>
    <row r="34" spans="2:67" s="1" customFormat="1" ht="22.5" customHeight="1">
      <c r="B34" s="50"/>
      <c r="C34" s="60" t="s">
        <v>105</v>
      </c>
      <c r="D34" s="60" t="s">
        <v>118</v>
      </c>
      <c r="E34" s="61" t="s">
        <v>233</v>
      </c>
      <c r="F34" s="239" t="s">
        <v>234</v>
      </c>
      <c r="G34" s="240"/>
      <c r="H34" s="240"/>
      <c r="I34" s="240"/>
      <c r="J34" s="62" t="s">
        <v>79</v>
      </c>
      <c r="K34" s="63">
        <v>20</v>
      </c>
      <c r="L34" s="241"/>
      <c r="M34" s="240"/>
      <c r="N34" s="259">
        <f t="shared" si="11"/>
        <v>0</v>
      </c>
      <c r="O34" s="250"/>
      <c r="P34" s="250"/>
      <c r="Q34" s="250"/>
      <c r="R34" s="180">
        <f t="shared" si="1"/>
        <v>0</v>
      </c>
      <c r="S34" s="181" t="s">
        <v>158</v>
      </c>
      <c r="T34" s="51"/>
      <c r="V34" s="52" t="s">
        <v>0</v>
      </c>
      <c r="W34" s="11" t="s">
        <v>3</v>
      </c>
      <c r="X34" s="53">
        <v>0</v>
      </c>
      <c r="Y34" s="53">
        <f t="shared" si="8"/>
        <v>0</v>
      </c>
      <c r="Z34" s="53">
        <v>0</v>
      </c>
      <c r="AA34" s="53">
        <f t="shared" si="9"/>
        <v>0</v>
      </c>
      <c r="AB34" s="53">
        <v>0</v>
      </c>
      <c r="AC34" s="54">
        <f t="shared" si="10"/>
        <v>0</v>
      </c>
      <c r="AT34" s="7" t="s">
        <v>62</v>
      </c>
      <c r="AV34" s="7" t="s">
        <v>60</v>
      </c>
      <c r="AW34" s="7" t="s">
        <v>29</v>
      </c>
      <c r="BA34" s="7" t="s">
        <v>59</v>
      </c>
      <c r="BG34" s="55">
        <f t="shared" si="2"/>
        <v>0</v>
      </c>
      <c r="BH34" s="55">
        <f t="shared" si="3"/>
        <v>0</v>
      </c>
      <c r="BI34" s="55">
        <f t="shared" si="4"/>
        <v>0</v>
      </c>
      <c r="BJ34" s="55">
        <f t="shared" si="5"/>
        <v>0</v>
      </c>
      <c r="BK34" s="55">
        <f t="shared" si="6"/>
        <v>0</v>
      </c>
      <c r="BL34" s="7" t="s">
        <v>63</v>
      </c>
      <c r="BM34" s="55">
        <f t="shared" si="7"/>
        <v>0</v>
      </c>
      <c r="BN34" s="7" t="s">
        <v>62</v>
      </c>
      <c r="BO34" s="7" t="s">
        <v>113</v>
      </c>
    </row>
    <row r="35" spans="2:67" s="1" customFormat="1" ht="31.5" customHeight="1">
      <c r="B35" s="50"/>
      <c r="C35" s="56" t="s">
        <v>107</v>
      </c>
      <c r="D35" s="56" t="s">
        <v>60</v>
      </c>
      <c r="E35" s="57" t="s">
        <v>235</v>
      </c>
      <c r="F35" s="209" t="s">
        <v>236</v>
      </c>
      <c r="G35" s="204"/>
      <c r="H35" s="204"/>
      <c r="I35" s="204"/>
      <c r="J35" s="58" t="s">
        <v>91</v>
      </c>
      <c r="K35" s="59">
        <v>4.2</v>
      </c>
      <c r="L35" s="203"/>
      <c r="M35" s="204"/>
      <c r="N35" s="233">
        <f t="shared" si="11"/>
        <v>0</v>
      </c>
      <c r="O35" s="234"/>
      <c r="P35" s="234"/>
      <c r="Q35" s="234"/>
      <c r="R35" s="179">
        <f t="shared" si="1"/>
        <v>0</v>
      </c>
      <c r="S35" s="58" t="s">
        <v>158</v>
      </c>
      <c r="T35" s="51"/>
      <c r="V35" s="52" t="s">
        <v>0</v>
      </c>
      <c r="W35" s="11" t="s">
        <v>3</v>
      </c>
      <c r="X35" s="53">
        <v>0</v>
      </c>
      <c r="Y35" s="53">
        <f t="shared" si="8"/>
        <v>0</v>
      </c>
      <c r="Z35" s="53">
        <v>0</v>
      </c>
      <c r="AA35" s="53">
        <f t="shared" si="9"/>
        <v>0</v>
      </c>
      <c r="AB35" s="53">
        <v>0</v>
      </c>
      <c r="AC35" s="54">
        <f t="shared" si="10"/>
        <v>0</v>
      </c>
      <c r="AT35" s="7" t="s">
        <v>78</v>
      </c>
      <c r="AV35" s="7" t="s">
        <v>118</v>
      </c>
      <c r="AW35" s="7" t="s">
        <v>29</v>
      </c>
      <c r="BA35" s="7" t="s">
        <v>59</v>
      </c>
      <c r="BG35" s="55">
        <f t="shared" si="2"/>
        <v>0</v>
      </c>
      <c r="BH35" s="55">
        <f t="shared" si="3"/>
        <v>0</v>
      </c>
      <c r="BI35" s="55">
        <f t="shared" si="4"/>
        <v>0</v>
      </c>
      <c r="BJ35" s="55">
        <f t="shared" si="5"/>
        <v>0</v>
      </c>
      <c r="BK35" s="55">
        <f t="shared" si="6"/>
        <v>0</v>
      </c>
      <c r="BL35" s="7" t="s">
        <v>63</v>
      </c>
      <c r="BM35" s="55">
        <f t="shared" si="7"/>
        <v>0</v>
      </c>
      <c r="BN35" s="7" t="s">
        <v>62</v>
      </c>
      <c r="BO35" s="7" t="s">
        <v>115</v>
      </c>
    </row>
    <row r="36" spans="2:67" s="1" customFormat="1" ht="31.5" customHeight="1">
      <c r="B36" s="50"/>
      <c r="C36" s="60" t="s">
        <v>109</v>
      </c>
      <c r="D36" s="60" t="s">
        <v>118</v>
      </c>
      <c r="E36" s="61" t="s">
        <v>237</v>
      </c>
      <c r="F36" s="239" t="s">
        <v>238</v>
      </c>
      <c r="G36" s="240"/>
      <c r="H36" s="240"/>
      <c r="I36" s="240"/>
      <c r="J36" s="62" t="s">
        <v>91</v>
      </c>
      <c r="K36" s="63">
        <v>4.83</v>
      </c>
      <c r="L36" s="241"/>
      <c r="M36" s="240"/>
      <c r="N36" s="259">
        <f t="shared" si="11"/>
        <v>0</v>
      </c>
      <c r="O36" s="250"/>
      <c r="P36" s="250"/>
      <c r="Q36" s="250"/>
      <c r="R36" s="180">
        <f t="shared" si="1"/>
        <v>0</v>
      </c>
      <c r="S36" s="181" t="s">
        <v>158</v>
      </c>
      <c r="T36" s="51"/>
      <c r="V36" s="52" t="s">
        <v>0</v>
      </c>
      <c r="W36" s="11" t="s">
        <v>3</v>
      </c>
      <c r="X36" s="53">
        <v>0</v>
      </c>
      <c r="Y36" s="53">
        <f t="shared" si="8"/>
        <v>0</v>
      </c>
      <c r="Z36" s="53">
        <v>0</v>
      </c>
      <c r="AA36" s="53">
        <f t="shared" si="9"/>
        <v>0</v>
      </c>
      <c r="AB36" s="53">
        <v>0</v>
      </c>
      <c r="AC36" s="54">
        <f t="shared" si="10"/>
        <v>0</v>
      </c>
      <c r="AT36" s="7" t="s">
        <v>62</v>
      </c>
      <c r="AV36" s="7" t="s">
        <v>60</v>
      </c>
      <c r="AW36" s="7" t="s">
        <v>29</v>
      </c>
      <c r="BA36" s="7" t="s">
        <v>59</v>
      </c>
      <c r="BG36" s="55">
        <f t="shared" si="2"/>
        <v>0</v>
      </c>
      <c r="BH36" s="55">
        <f t="shared" si="3"/>
        <v>0</v>
      </c>
      <c r="BI36" s="55">
        <f t="shared" si="4"/>
        <v>0</v>
      </c>
      <c r="BJ36" s="55">
        <f t="shared" si="5"/>
        <v>0</v>
      </c>
      <c r="BK36" s="55">
        <f t="shared" si="6"/>
        <v>0</v>
      </c>
      <c r="BL36" s="7" t="s">
        <v>63</v>
      </c>
      <c r="BM36" s="55">
        <f t="shared" si="7"/>
        <v>0</v>
      </c>
      <c r="BN36" s="7" t="s">
        <v>62</v>
      </c>
      <c r="BO36" s="7" t="s">
        <v>117</v>
      </c>
    </row>
    <row r="37" spans="2:67" s="1" customFormat="1" ht="31.5" customHeight="1">
      <c r="B37" s="50"/>
      <c r="C37" s="112"/>
      <c r="D37" s="114" t="s">
        <v>42</v>
      </c>
      <c r="E37" s="114"/>
      <c r="F37" s="114"/>
      <c r="G37" s="114"/>
      <c r="H37" s="114"/>
      <c r="I37" s="114"/>
      <c r="J37" s="114"/>
      <c r="K37" s="114"/>
      <c r="L37" s="114"/>
      <c r="M37" s="151"/>
      <c r="N37" s="250">
        <f>ROUND(SUM(N38:Q41),2)</f>
        <v>0</v>
      </c>
      <c r="O37" s="251"/>
      <c r="P37" s="251"/>
      <c r="Q37" s="251"/>
      <c r="R37" s="114"/>
      <c r="S37" s="114"/>
      <c r="T37" s="51"/>
      <c r="V37" s="52" t="s">
        <v>0</v>
      </c>
      <c r="W37" s="11" t="s">
        <v>3</v>
      </c>
      <c r="X37" s="53">
        <v>0</v>
      </c>
      <c r="Y37" s="53">
        <f t="shared" si="8"/>
        <v>0</v>
      </c>
      <c r="Z37" s="53">
        <v>0</v>
      </c>
      <c r="AA37" s="53">
        <f t="shared" si="9"/>
        <v>0</v>
      </c>
      <c r="AB37" s="53">
        <v>0</v>
      </c>
      <c r="AC37" s="54">
        <f t="shared" si="10"/>
        <v>0</v>
      </c>
      <c r="AT37" s="7" t="s">
        <v>62</v>
      </c>
      <c r="AV37" s="7" t="s">
        <v>60</v>
      </c>
      <c r="AW37" s="7" t="s">
        <v>29</v>
      </c>
      <c r="BA37" s="7" t="s">
        <v>59</v>
      </c>
      <c r="BG37" s="55">
        <f t="shared" si="2"/>
        <v>0</v>
      </c>
      <c r="BH37" s="55">
        <f t="shared" si="3"/>
        <v>0</v>
      </c>
      <c r="BI37" s="55">
        <f t="shared" si="4"/>
        <v>0</v>
      </c>
      <c r="BJ37" s="55">
        <f t="shared" si="5"/>
        <v>0</v>
      </c>
      <c r="BK37" s="55">
        <f t="shared" si="6"/>
        <v>0</v>
      </c>
      <c r="BL37" s="7" t="s">
        <v>63</v>
      </c>
      <c r="BM37" s="55">
        <f t="shared" si="7"/>
        <v>0</v>
      </c>
      <c r="BN37" s="7" t="s">
        <v>62</v>
      </c>
      <c r="BO37" s="7" t="s">
        <v>120</v>
      </c>
    </row>
    <row r="38" spans="2:67" s="1" customFormat="1" ht="39.75" customHeight="1">
      <c r="B38" s="50"/>
      <c r="C38" s="56" t="s">
        <v>111</v>
      </c>
      <c r="D38" s="56" t="s">
        <v>60</v>
      </c>
      <c r="E38" s="57" t="s">
        <v>239</v>
      </c>
      <c r="F38" s="209" t="s">
        <v>240</v>
      </c>
      <c r="G38" s="204"/>
      <c r="H38" s="204"/>
      <c r="I38" s="204"/>
      <c r="J38" s="58" t="s">
        <v>125</v>
      </c>
      <c r="K38" s="59">
        <v>14</v>
      </c>
      <c r="L38" s="203"/>
      <c r="M38" s="204"/>
      <c r="N38" s="233">
        <f>ROUND((K38*L38),2)</f>
        <v>0</v>
      </c>
      <c r="O38" s="234"/>
      <c r="P38" s="234"/>
      <c r="Q38" s="234"/>
      <c r="R38" s="179">
        <f t="shared" si="1"/>
        <v>0</v>
      </c>
      <c r="S38" s="58" t="s">
        <v>158</v>
      </c>
      <c r="T38" s="51"/>
      <c r="V38" s="52" t="s">
        <v>0</v>
      </c>
      <c r="W38" s="11" t="s">
        <v>3</v>
      </c>
      <c r="X38" s="53">
        <v>0</v>
      </c>
      <c r="Y38" s="53">
        <f t="shared" si="8"/>
        <v>0</v>
      </c>
      <c r="Z38" s="53">
        <v>0</v>
      </c>
      <c r="AA38" s="53">
        <f t="shared" si="9"/>
        <v>0</v>
      </c>
      <c r="AB38" s="53">
        <v>0</v>
      </c>
      <c r="AC38" s="54">
        <f t="shared" si="10"/>
        <v>0</v>
      </c>
      <c r="AT38" s="7" t="s">
        <v>62</v>
      </c>
      <c r="AV38" s="7" t="s">
        <v>60</v>
      </c>
      <c r="AW38" s="7" t="s">
        <v>29</v>
      </c>
      <c r="BA38" s="7" t="s">
        <v>59</v>
      </c>
      <c r="BG38" s="55">
        <f t="shared" si="2"/>
        <v>0</v>
      </c>
      <c r="BH38" s="55">
        <f t="shared" si="3"/>
        <v>0</v>
      </c>
      <c r="BI38" s="55">
        <f t="shared" si="4"/>
        <v>0</v>
      </c>
      <c r="BJ38" s="55">
        <f t="shared" si="5"/>
        <v>0</v>
      </c>
      <c r="BK38" s="55">
        <f t="shared" si="6"/>
        <v>0</v>
      </c>
      <c r="BL38" s="7" t="s">
        <v>63</v>
      </c>
      <c r="BM38" s="55">
        <f t="shared" si="7"/>
        <v>0</v>
      </c>
      <c r="BN38" s="7" t="s">
        <v>62</v>
      </c>
      <c r="BO38" s="7" t="s">
        <v>122</v>
      </c>
    </row>
    <row r="39" spans="2:67" s="1" customFormat="1" ht="31.5" customHeight="1">
      <c r="B39" s="50"/>
      <c r="C39" s="60" t="s">
        <v>113</v>
      </c>
      <c r="D39" s="60" t="s">
        <v>118</v>
      </c>
      <c r="E39" s="61" t="s">
        <v>241</v>
      </c>
      <c r="F39" s="239" t="s">
        <v>242</v>
      </c>
      <c r="G39" s="240"/>
      <c r="H39" s="240"/>
      <c r="I39" s="240"/>
      <c r="J39" s="62" t="s">
        <v>79</v>
      </c>
      <c r="K39" s="63">
        <v>14</v>
      </c>
      <c r="L39" s="241"/>
      <c r="M39" s="240"/>
      <c r="N39" s="259">
        <f>ROUND((K39*L39),2)</f>
        <v>0</v>
      </c>
      <c r="O39" s="250"/>
      <c r="P39" s="250"/>
      <c r="Q39" s="250"/>
      <c r="R39" s="180">
        <f t="shared" si="1"/>
        <v>0</v>
      </c>
      <c r="S39" s="181" t="s">
        <v>158</v>
      </c>
      <c r="T39" s="51"/>
      <c r="V39" s="52" t="s">
        <v>0</v>
      </c>
      <c r="W39" s="11" t="s">
        <v>3</v>
      </c>
      <c r="X39" s="53">
        <v>0</v>
      </c>
      <c r="Y39" s="53">
        <f t="shared" si="8"/>
        <v>0</v>
      </c>
      <c r="Z39" s="53">
        <v>0</v>
      </c>
      <c r="AA39" s="53">
        <f t="shared" si="9"/>
        <v>0</v>
      </c>
      <c r="AB39" s="53">
        <v>0</v>
      </c>
      <c r="AC39" s="54">
        <f t="shared" si="10"/>
        <v>0</v>
      </c>
      <c r="AT39" s="7" t="s">
        <v>62</v>
      </c>
      <c r="AV39" s="7" t="s">
        <v>60</v>
      </c>
      <c r="AW39" s="7" t="s">
        <v>29</v>
      </c>
      <c r="BA39" s="7" t="s">
        <v>59</v>
      </c>
      <c r="BG39" s="55">
        <f t="shared" si="2"/>
        <v>0</v>
      </c>
      <c r="BH39" s="55">
        <f t="shared" si="3"/>
        <v>0</v>
      </c>
      <c r="BI39" s="55">
        <f t="shared" si="4"/>
        <v>0</v>
      </c>
      <c r="BJ39" s="55">
        <f t="shared" si="5"/>
        <v>0</v>
      </c>
      <c r="BK39" s="55">
        <f t="shared" si="6"/>
        <v>0</v>
      </c>
      <c r="BL39" s="7" t="s">
        <v>63</v>
      </c>
      <c r="BM39" s="55">
        <f t="shared" si="7"/>
        <v>0</v>
      </c>
      <c r="BN39" s="7" t="s">
        <v>62</v>
      </c>
      <c r="BO39" s="7" t="s">
        <v>124</v>
      </c>
    </row>
    <row r="40" spans="2:67" s="1" customFormat="1" ht="13.5">
      <c r="B40" s="50"/>
      <c r="C40" s="56" t="s">
        <v>115</v>
      </c>
      <c r="D40" s="56" t="s">
        <v>60</v>
      </c>
      <c r="E40" s="57" t="s">
        <v>138</v>
      </c>
      <c r="F40" s="209" t="s">
        <v>139</v>
      </c>
      <c r="G40" s="204"/>
      <c r="H40" s="204"/>
      <c r="I40" s="204"/>
      <c r="J40" s="58" t="s">
        <v>125</v>
      </c>
      <c r="K40" s="59">
        <v>20</v>
      </c>
      <c r="L40" s="203"/>
      <c r="M40" s="204"/>
      <c r="N40" s="233">
        <f>ROUND((K40*L40),2)</f>
        <v>0</v>
      </c>
      <c r="O40" s="234"/>
      <c r="P40" s="234"/>
      <c r="Q40" s="234"/>
      <c r="R40" s="179">
        <f t="shared" si="1"/>
        <v>0</v>
      </c>
      <c r="S40" s="58" t="s">
        <v>158</v>
      </c>
      <c r="T40" s="51"/>
      <c r="V40" s="52" t="s">
        <v>0</v>
      </c>
      <c r="W40" s="11" t="s">
        <v>3</v>
      </c>
      <c r="X40" s="53">
        <v>0</v>
      </c>
      <c r="Y40" s="53">
        <f t="shared" si="8"/>
        <v>0</v>
      </c>
      <c r="Z40" s="53">
        <v>0</v>
      </c>
      <c r="AA40" s="53">
        <f t="shared" si="9"/>
        <v>0</v>
      </c>
      <c r="AB40" s="53">
        <v>0</v>
      </c>
      <c r="AC40" s="54">
        <f t="shared" si="10"/>
        <v>0</v>
      </c>
      <c r="AT40" s="7" t="s">
        <v>62</v>
      </c>
      <c r="AV40" s="7" t="s">
        <v>60</v>
      </c>
      <c r="AW40" s="7" t="s">
        <v>29</v>
      </c>
      <c r="BA40" s="7" t="s">
        <v>59</v>
      </c>
      <c r="BG40" s="55">
        <f t="shared" si="2"/>
        <v>0</v>
      </c>
      <c r="BH40" s="55">
        <f t="shared" si="3"/>
        <v>0</v>
      </c>
      <c r="BI40" s="55">
        <f t="shared" si="4"/>
        <v>0</v>
      </c>
      <c r="BJ40" s="55">
        <f t="shared" si="5"/>
        <v>0</v>
      </c>
      <c r="BK40" s="55">
        <f t="shared" si="6"/>
        <v>0</v>
      </c>
      <c r="BL40" s="7" t="s">
        <v>63</v>
      </c>
      <c r="BM40" s="55">
        <f t="shared" si="7"/>
        <v>0</v>
      </c>
      <c r="BN40" s="7" t="s">
        <v>62</v>
      </c>
      <c r="BO40" s="7" t="s">
        <v>127</v>
      </c>
    </row>
    <row r="41" spans="2:67" s="1" customFormat="1" ht="40.5" customHeight="1">
      <c r="B41" s="50"/>
      <c r="C41" s="158" t="s">
        <v>117</v>
      </c>
      <c r="D41" s="158" t="s">
        <v>60</v>
      </c>
      <c r="E41" s="159" t="s">
        <v>187</v>
      </c>
      <c r="F41" s="260" t="s">
        <v>188</v>
      </c>
      <c r="G41" s="261"/>
      <c r="H41" s="261"/>
      <c r="I41" s="261"/>
      <c r="J41" s="160" t="s">
        <v>125</v>
      </c>
      <c r="K41" s="161">
        <v>20</v>
      </c>
      <c r="L41" s="262"/>
      <c r="M41" s="261"/>
      <c r="N41" s="233">
        <f>ROUND((K41*L41),2)</f>
        <v>0</v>
      </c>
      <c r="O41" s="234"/>
      <c r="P41" s="234"/>
      <c r="Q41" s="234"/>
      <c r="R41" s="179">
        <f t="shared" si="1"/>
        <v>0</v>
      </c>
      <c r="S41" s="160" t="s">
        <v>158</v>
      </c>
      <c r="T41" s="51"/>
      <c r="V41" s="52" t="s">
        <v>0</v>
      </c>
      <c r="W41" s="11" t="s">
        <v>3</v>
      </c>
      <c r="X41" s="53">
        <v>0</v>
      </c>
      <c r="Y41" s="53">
        <f t="shared" si="8"/>
        <v>0</v>
      </c>
      <c r="Z41" s="53">
        <v>0</v>
      </c>
      <c r="AA41" s="53">
        <f t="shared" si="9"/>
        <v>0</v>
      </c>
      <c r="AB41" s="53">
        <v>0</v>
      </c>
      <c r="AC41" s="54">
        <f t="shared" si="10"/>
        <v>0</v>
      </c>
      <c r="AT41" s="7" t="s">
        <v>62</v>
      </c>
      <c r="AV41" s="7" t="s">
        <v>60</v>
      </c>
      <c r="AW41" s="7" t="s">
        <v>29</v>
      </c>
      <c r="BA41" s="7" t="s">
        <v>59</v>
      </c>
      <c r="BG41" s="55">
        <f t="shared" si="2"/>
        <v>0</v>
      </c>
      <c r="BH41" s="55">
        <f t="shared" si="3"/>
        <v>0</v>
      </c>
      <c r="BI41" s="55">
        <f t="shared" si="4"/>
        <v>0</v>
      </c>
      <c r="BJ41" s="55">
        <f t="shared" si="5"/>
        <v>0</v>
      </c>
      <c r="BK41" s="55">
        <f t="shared" si="6"/>
        <v>0</v>
      </c>
      <c r="BL41" s="7" t="s">
        <v>63</v>
      </c>
      <c r="BM41" s="55">
        <f t="shared" si="7"/>
        <v>0</v>
      </c>
      <c r="BN41" s="7" t="s">
        <v>62</v>
      </c>
      <c r="BO41" s="7" t="s">
        <v>129</v>
      </c>
    </row>
    <row r="42" spans="2:67" s="1" customFormat="1" ht="44.25" customHeight="1">
      <c r="B42" s="50"/>
      <c r="C42" s="112"/>
      <c r="D42" s="113" t="s">
        <v>43</v>
      </c>
      <c r="E42" s="113"/>
      <c r="F42" s="113"/>
      <c r="G42" s="113"/>
      <c r="H42" s="113"/>
      <c r="I42" s="113"/>
      <c r="J42" s="113"/>
      <c r="K42" s="113"/>
      <c r="L42" s="113"/>
      <c r="M42" s="113"/>
      <c r="N42" s="257">
        <f>ROUND((N43+N45+N52),2)</f>
        <v>0</v>
      </c>
      <c r="O42" s="258"/>
      <c r="P42" s="258"/>
      <c r="Q42" s="258"/>
      <c r="R42" s="113"/>
      <c r="S42" s="113"/>
      <c r="T42" s="51"/>
      <c r="V42" s="52" t="s">
        <v>0</v>
      </c>
      <c r="W42" s="11" t="s">
        <v>3</v>
      </c>
      <c r="X42" s="53">
        <v>0</v>
      </c>
      <c r="Y42" s="53">
        <f t="shared" si="8"/>
        <v>0</v>
      </c>
      <c r="Z42" s="53">
        <v>0</v>
      </c>
      <c r="AA42" s="53">
        <f t="shared" si="9"/>
        <v>0</v>
      </c>
      <c r="AB42" s="53">
        <v>0</v>
      </c>
      <c r="AC42" s="54">
        <f t="shared" si="10"/>
        <v>0</v>
      </c>
      <c r="AT42" s="7" t="s">
        <v>62</v>
      </c>
      <c r="AV42" s="7" t="s">
        <v>60</v>
      </c>
      <c r="AW42" s="7" t="s">
        <v>29</v>
      </c>
      <c r="BA42" s="7" t="s">
        <v>59</v>
      </c>
      <c r="BG42" s="55">
        <f t="shared" si="2"/>
        <v>0</v>
      </c>
      <c r="BH42" s="55">
        <f t="shared" si="3"/>
        <v>0</v>
      </c>
      <c r="BI42" s="55">
        <f t="shared" si="4"/>
        <v>0</v>
      </c>
      <c r="BJ42" s="55">
        <f t="shared" si="5"/>
        <v>0</v>
      </c>
      <c r="BK42" s="55">
        <f t="shared" si="6"/>
        <v>0</v>
      </c>
      <c r="BL42" s="7" t="s">
        <v>63</v>
      </c>
      <c r="BM42" s="55">
        <f t="shared" si="7"/>
        <v>0</v>
      </c>
      <c r="BN42" s="7" t="s">
        <v>62</v>
      </c>
      <c r="BO42" s="7" t="s">
        <v>131</v>
      </c>
    </row>
    <row r="43" spans="2:67" s="1" customFormat="1" ht="31.5" customHeight="1">
      <c r="B43" s="50"/>
      <c r="C43" s="112"/>
      <c r="D43" s="114" t="s">
        <v>44</v>
      </c>
      <c r="E43" s="114"/>
      <c r="F43" s="114"/>
      <c r="G43" s="114"/>
      <c r="H43" s="114"/>
      <c r="I43" s="114"/>
      <c r="J43" s="114"/>
      <c r="K43" s="114"/>
      <c r="L43" s="114"/>
      <c r="M43" s="114"/>
      <c r="N43" s="252">
        <f>ROUND(SUM(N44),2)</f>
        <v>0</v>
      </c>
      <c r="O43" s="253"/>
      <c r="P43" s="253"/>
      <c r="Q43" s="253"/>
      <c r="R43" s="113"/>
      <c r="S43" s="113"/>
      <c r="T43" s="51"/>
      <c r="V43" s="52" t="s">
        <v>0</v>
      </c>
      <c r="W43" s="11" t="s">
        <v>3</v>
      </c>
      <c r="X43" s="53">
        <v>0</v>
      </c>
      <c r="Y43" s="53">
        <f t="shared" si="8"/>
        <v>0</v>
      </c>
      <c r="Z43" s="53">
        <v>0</v>
      </c>
      <c r="AA43" s="53">
        <f t="shared" si="9"/>
        <v>0</v>
      </c>
      <c r="AB43" s="53">
        <v>0</v>
      </c>
      <c r="AC43" s="54">
        <f t="shared" si="10"/>
        <v>0</v>
      </c>
      <c r="AT43" s="7" t="s">
        <v>62</v>
      </c>
      <c r="AV43" s="7" t="s">
        <v>60</v>
      </c>
      <c r="AW43" s="7" t="s">
        <v>29</v>
      </c>
      <c r="BA43" s="7" t="s">
        <v>59</v>
      </c>
      <c r="BG43" s="55" t="e">
        <f>IF(#REF!="základná",#REF!,0)</f>
        <v>#REF!</v>
      </c>
      <c r="BH43" s="55" t="e">
        <f>IF(#REF!="znížená",#REF!,0)</f>
        <v>#REF!</v>
      </c>
      <c r="BI43" s="55" t="e">
        <f>IF(#REF!="zákl. prenesená",#REF!,0)</f>
        <v>#REF!</v>
      </c>
      <c r="BJ43" s="55" t="e">
        <f>IF(#REF!="zníž. prenesená",#REF!,0)</f>
        <v>#REF!</v>
      </c>
      <c r="BK43" s="55" t="e">
        <f>IF(#REF!="nulová",#REF!,0)</f>
        <v>#REF!</v>
      </c>
      <c r="BL43" s="7" t="s">
        <v>63</v>
      </c>
      <c r="BM43" s="55" t="e">
        <f>ROUND(#REF!*#REF!,2)</f>
        <v>#REF!</v>
      </c>
      <c r="BN43" s="7" t="s">
        <v>62</v>
      </c>
      <c r="BO43" s="7" t="s">
        <v>133</v>
      </c>
    </row>
    <row r="44" spans="2:65" s="6" customFormat="1" ht="36.75" customHeight="1">
      <c r="B44" s="41"/>
      <c r="C44" s="162" t="s">
        <v>120</v>
      </c>
      <c r="D44" s="162" t="s">
        <v>60</v>
      </c>
      <c r="E44" s="163" t="s">
        <v>199</v>
      </c>
      <c r="F44" s="254" t="s">
        <v>200</v>
      </c>
      <c r="G44" s="255"/>
      <c r="H44" s="255"/>
      <c r="I44" s="255"/>
      <c r="J44" s="164" t="s">
        <v>91</v>
      </c>
      <c r="K44" s="165">
        <v>3.96</v>
      </c>
      <c r="L44" s="256"/>
      <c r="M44" s="255"/>
      <c r="N44" s="233">
        <f>ROUND((K44*L44),2)</f>
        <v>0</v>
      </c>
      <c r="O44" s="234"/>
      <c r="P44" s="234"/>
      <c r="Q44" s="234"/>
      <c r="R44" s="179">
        <f aca="true" t="shared" si="12" ref="R44:R50">ROUND((N44*1.2),2)</f>
        <v>0</v>
      </c>
      <c r="S44" s="164" t="s">
        <v>158</v>
      </c>
      <c r="T44" s="51"/>
      <c r="U44" s="1"/>
      <c r="V44" s="52" t="s">
        <v>0</v>
      </c>
      <c r="W44" s="11" t="s">
        <v>3</v>
      </c>
      <c r="X44" s="53">
        <v>0</v>
      </c>
      <c r="Y44" s="53">
        <f t="shared" si="8"/>
        <v>0</v>
      </c>
      <c r="Z44" s="53">
        <v>0</v>
      </c>
      <c r="AA44" s="53">
        <f t="shared" si="9"/>
        <v>0</v>
      </c>
      <c r="AB44" s="53">
        <v>0</v>
      </c>
      <c r="AC44" s="54">
        <f t="shared" si="10"/>
        <v>0</v>
      </c>
      <c r="AD44" s="1"/>
      <c r="AE44" s="1"/>
      <c r="AT44" s="47" t="s">
        <v>29</v>
      </c>
      <c r="AV44" s="48" t="s">
        <v>22</v>
      </c>
      <c r="AW44" s="48" t="s">
        <v>23</v>
      </c>
      <c r="BA44" s="47" t="s">
        <v>59</v>
      </c>
      <c r="BM44" s="49" t="e">
        <f>BM45+SUM(BM46:BM48)</f>
        <v>#REF!</v>
      </c>
    </row>
    <row r="45" spans="2:67" s="1" customFormat="1" ht="31.5" customHeight="1">
      <c r="B45" s="50"/>
      <c r="C45" s="112"/>
      <c r="D45" s="114" t="s">
        <v>45</v>
      </c>
      <c r="E45" s="114"/>
      <c r="F45" s="114"/>
      <c r="G45" s="114"/>
      <c r="H45" s="114"/>
      <c r="I45" s="114"/>
      <c r="J45" s="114"/>
      <c r="K45" s="114"/>
      <c r="L45" s="114"/>
      <c r="M45" s="151"/>
      <c r="N45" s="250">
        <f>ROUND(SUM(N46:Q50),2)</f>
        <v>0</v>
      </c>
      <c r="O45" s="251"/>
      <c r="P45" s="251"/>
      <c r="Q45" s="251"/>
      <c r="R45" s="152"/>
      <c r="S45" s="152"/>
      <c r="T45" s="51"/>
      <c r="V45" s="52" t="s">
        <v>0</v>
      </c>
      <c r="W45" s="11" t="s">
        <v>3</v>
      </c>
      <c r="X45" s="53">
        <v>0</v>
      </c>
      <c r="Y45" s="53">
        <f t="shared" si="8"/>
        <v>0</v>
      </c>
      <c r="Z45" s="53">
        <v>0</v>
      </c>
      <c r="AA45" s="53">
        <f t="shared" si="9"/>
        <v>0</v>
      </c>
      <c r="AB45" s="53">
        <v>0</v>
      </c>
      <c r="AC45" s="54">
        <f t="shared" si="10"/>
        <v>0</v>
      </c>
      <c r="AT45" s="7" t="s">
        <v>62</v>
      </c>
      <c r="AV45" s="7" t="s">
        <v>60</v>
      </c>
      <c r="AW45" s="7" t="s">
        <v>29</v>
      </c>
      <c r="BA45" s="7" t="s">
        <v>59</v>
      </c>
      <c r="BG45" s="55" t="e">
        <f>IF(#REF!="základná",#REF!,0)</f>
        <v>#REF!</v>
      </c>
      <c r="BH45" s="55" t="e">
        <f>IF(#REF!="znížená",#REF!,0)</f>
        <v>#REF!</v>
      </c>
      <c r="BI45" s="55" t="e">
        <f>IF(#REF!="zákl. prenesená",#REF!,0)</f>
        <v>#REF!</v>
      </c>
      <c r="BJ45" s="55" t="e">
        <f>IF(#REF!="zníž. prenesená",#REF!,0)</f>
        <v>#REF!</v>
      </c>
      <c r="BK45" s="55" t="e">
        <f>IF(#REF!="nulová",#REF!,0)</f>
        <v>#REF!</v>
      </c>
      <c r="BL45" s="7" t="s">
        <v>63</v>
      </c>
      <c r="BM45" s="55" t="e">
        <f>ROUND(#REF!*#REF!,2)</f>
        <v>#REF!</v>
      </c>
      <c r="BN45" s="7" t="s">
        <v>62</v>
      </c>
      <c r="BO45" s="7" t="s">
        <v>135</v>
      </c>
    </row>
    <row r="46" spans="2:67" s="1" customFormat="1" ht="33.75" customHeight="1">
      <c r="B46" s="50"/>
      <c r="C46" s="56" t="s">
        <v>122</v>
      </c>
      <c r="D46" s="56" t="s">
        <v>60</v>
      </c>
      <c r="E46" s="57" t="s">
        <v>201</v>
      </c>
      <c r="F46" s="209" t="s">
        <v>243</v>
      </c>
      <c r="G46" s="204"/>
      <c r="H46" s="204"/>
      <c r="I46" s="204"/>
      <c r="J46" s="58" t="s">
        <v>79</v>
      </c>
      <c r="K46" s="59">
        <v>1</v>
      </c>
      <c r="L46" s="203"/>
      <c r="M46" s="204"/>
      <c r="N46" s="233">
        <f>ROUND((K46*L46),2)</f>
        <v>0</v>
      </c>
      <c r="O46" s="234"/>
      <c r="P46" s="234"/>
      <c r="Q46" s="234"/>
      <c r="R46" s="179">
        <f t="shared" si="12"/>
        <v>0</v>
      </c>
      <c r="S46" s="58" t="s">
        <v>158</v>
      </c>
      <c r="T46" s="51"/>
      <c r="V46" s="52" t="s">
        <v>0</v>
      </c>
      <c r="W46" s="11" t="s">
        <v>3</v>
      </c>
      <c r="X46" s="53">
        <v>0</v>
      </c>
      <c r="Y46" s="53">
        <f t="shared" si="8"/>
        <v>0</v>
      </c>
      <c r="Z46" s="53">
        <v>0</v>
      </c>
      <c r="AA46" s="53">
        <f t="shared" si="9"/>
        <v>0</v>
      </c>
      <c r="AB46" s="53">
        <v>0</v>
      </c>
      <c r="AC46" s="54">
        <f t="shared" si="10"/>
        <v>0</v>
      </c>
      <c r="AT46" s="7" t="s">
        <v>62</v>
      </c>
      <c r="AV46" s="7" t="s">
        <v>60</v>
      </c>
      <c r="AW46" s="7" t="s">
        <v>29</v>
      </c>
      <c r="BA46" s="7" t="s">
        <v>59</v>
      </c>
      <c r="BG46" s="55" t="e">
        <f>IF(#REF!="základná",#REF!,0)</f>
        <v>#REF!</v>
      </c>
      <c r="BH46" s="55" t="e">
        <f>IF(#REF!="znížená",#REF!,0)</f>
        <v>#REF!</v>
      </c>
      <c r="BI46" s="55" t="e">
        <f>IF(#REF!="zákl. prenesená",#REF!,0)</f>
        <v>#REF!</v>
      </c>
      <c r="BJ46" s="55" t="e">
        <f>IF(#REF!="zníž. prenesená",#REF!,0)</f>
        <v>#REF!</v>
      </c>
      <c r="BK46" s="55" t="e">
        <f>IF(#REF!="nulová",#REF!,0)</f>
        <v>#REF!</v>
      </c>
      <c r="BL46" s="7" t="s">
        <v>63</v>
      </c>
      <c r="BM46" s="55" t="e">
        <f>ROUND(#REF!*#REF!,2)</f>
        <v>#REF!</v>
      </c>
      <c r="BN46" s="7" t="s">
        <v>62</v>
      </c>
      <c r="BO46" s="7" t="s">
        <v>137</v>
      </c>
    </row>
    <row r="47" spans="2:67" s="1" customFormat="1" ht="138" customHeight="1">
      <c r="B47" s="50"/>
      <c r="C47" s="111"/>
      <c r="D47" s="111"/>
      <c r="E47" s="111"/>
      <c r="F47" s="207" t="s">
        <v>244</v>
      </c>
      <c r="G47" s="208"/>
      <c r="H47" s="208"/>
      <c r="I47" s="208"/>
      <c r="J47" s="111"/>
      <c r="K47" s="111"/>
      <c r="L47" s="150"/>
      <c r="M47" s="150"/>
      <c r="N47" s="234"/>
      <c r="O47" s="247"/>
      <c r="P47" s="247"/>
      <c r="Q47" s="247"/>
      <c r="R47" s="111"/>
      <c r="S47" s="111"/>
      <c r="T47" s="51"/>
      <c r="V47" s="52" t="s">
        <v>0</v>
      </c>
      <c r="W47" s="11" t="s">
        <v>3</v>
      </c>
      <c r="X47" s="53">
        <v>0</v>
      </c>
      <c r="Y47" s="53">
        <f t="shared" si="8"/>
        <v>0</v>
      </c>
      <c r="Z47" s="53">
        <v>0</v>
      </c>
      <c r="AA47" s="53">
        <f t="shared" si="9"/>
        <v>0</v>
      </c>
      <c r="AB47" s="53">
        <v>0</v>
      </c>
      <c r="AC47" s="54">
        <f t="shared" si="10"/>
        <v>0</v>
      </c>
      <c r="AT47" s="7" t="s">
        <v>78</v>
      </c>
      <c r="AV47" s="7" t="s">
        <v>118</v>
      </c>
      <c r="AW47" s="7" t="s">
        <v>29</v>
      </c>
      <c r="BA47" s="7" t="s">
        <v>59</v>
      </c>
      <c r="BG47" s="55" t="e">
        <f>IF(#REF!="základná",#REF!,0)</f>
        <v>#REF!</v>
      </c>
      <c r="BH47" s="55" t="e">
        <f>IF(#REF!="znížená",#REF!,0)</f>
        <v>#REF!</v>
      </c>
      <c r="BI47" s="55" t="e">
        <f>IF(#REF!="zákl. prenesená",#REF!,0)</f>
        <v>#REF!</v>
      </c>
      <c r="BJ47" s="55" t="e">
        <f>IF(#REF!="zníž. prenesená",#REF!,0)</f>
        <v>#REF!</v>
      </c>
      <c r="BK47" s="55" t="e">
        <f>IF(#REF!="nulová",#REF!,0)</f>
        <v>#REF!</v>
      </c>
      <c r="BL47" s="7" t="s">
        <v>63</v>
      </c>
      <c r="BM47" s="55" t="e">
        <f>ROUND(#REF!*#REF!,2)</f>
        <v>#REF!</v>
      </c>
      <c r="BN47" s="7" t="s">
        <v>62</v>
      </c>
      <c r="BO47" s="7" t="s">
        <v>141</v>
      </c>
    </row>
    <row r="48" spans="2:67" s="1" customFormat="1" ht="67.5" customHeight="1">
      <c r="B48" s="50"/>
      <c r="C48" s="56" t="s">
        <v>124</v>
      </c>
      <c r="D48" s="56" t="s">
        <v>60</v>
      </c>
      <c r="E48" s="57" t="s">
        <v>204</v>
      </c>
      <c r="F48" s="209" t="s">
        <v>205</v>
      </c>
      <c r="G48" s="204"/>
      <c r="H48" s="204"/>
      <c r="I48" s="204"/>
      <c r="J48" s="58" t="s">
        <v>79</v>
      </c>
      <c r="K48" s="59">
        <v>5</v>
      </c>
      <c r="L48" s="203"/>
      <c r="M48" s="204"/>
      <c r="N48" s="233">
        <f>ROUND((K48*L48),2)</f>
        <v>0</v>
      </c>
      <c r="O48" s="234"/>
      <c r="P48" s="234"/>
      <c r="Q48" s="234"/>
      <c r="R48" s="179">
        <f t="shared" si="12"/>
        <v>0</v>
      </c>
      <c r="S48" s="58" t="s">
        <v>158</v>
      </c>
      <c r="T48" s="51"/>
      <c r="V48" s="52" t="s">
        <v>0</v>
      </c>
      <c r="W48" s="11" t="s">
        <v>3</v>
      </c>
      <c r="X48" s="53">
        <v>0</v>
      </c>
      <c r="Y48" s="53">
        <f t="shared" si="8"/>
        <v>0</v>
      </c>
      <c r="Z48" s="53">
        <v>0</v>
      </c>
      <c r="AA48" s="53">
        <f t="shared" si="9"/>
        <v>0</v>
      </c>
      <c r="AB48" s="53">
        <v>0</v>
      </c>
      <c r="AC48" s="54">
        <f t="shared" si="10"/>
        <v>0</v>
      </c>
      <c r="AT48" s="7" t="s">
        <v>62</v>
      </c>
      <c r="AV48" s="7" t="s">
        <v>60</v>
      </c>
      <c r="AW48" s="7" t="s">
        <v>29</v>
      </c>
      <c r="BA48" s="7" t="s">
        <v>59</v>
      </c>
      <c r="BG48" s="55" t="e">
        <f>IF(#REF!="základná",#REF!,0)</f>
        <v>#REF!</v>
      </c>
      <c r="BH48" s="55" t="e">
        <f>IF(#REF!="znížená",#REF!,0)</f>
        <v>#REF!</v>
      </c>
      <c r="BI48" s="55" t="e">
        <f>IF(#REF!="zákl. prenesená",#REF!,0)</f>
        <v>#REF!</v>
      </c>
      <c r="BJ48" s="55" t="e">
        <f>IF(#REF!="zníž. prenesená",#REF!,0)</f>
        <v>#REF!</v>
      </c>
      <c r="BK48" s="55" t="e">
        <f>IF(#REF!="nulová",#REF!,0)</f>
        <v>#REF!</v>
      </c>
      <c r="BL48" s="7" t="s">
        <v>63</v>
      </c>
      <c r="BM48" s="55" t="e">
        <f>ROUND(#REF!*#REF!,2)</f>
        <v>#REF!</v>
      </c>
      <c r="BN48" s="7" t="s">
        <v>62</v>
      </c>
      <c r="BO48" s="7" t="s">
        <v>143</v>
      </c>
    </row>
    <row r="49" spans="2:31" ht="24.75" customHeight="1">
      <c r="B49" s="153"/>
      <c r="C49" s="56" t="s">
        <v>127</v>
      </c>
      <c r="D49" s="56" t="s">
        <v>60</v>
      </c>
      <c r="E49" s="57" t="s">
        <v>206</v>
      </c>
      <c r="F49" s="209" t="s">
        <v>207</v>
      </c>
      <c r="G49" s="204"/>
      <c r="H49" s="204"/>
      <c r="I49" s="204"/>
      <c r="J49" s="58" t="s">
        <v>96</v>
      </c>
      <c r="K49" s="59">
        <v>1</v>
      </c>
      <c r="L49" s="203"/>
      <c r="M49" s="204"/>
      <c r="N49" s="233">
        <f>ROUND((K49*L49),2)</f>
        <v>0</v>
      </c>
      <c r="O49" s="234"/>
      <c r="P49" s="234"/>
      <c r="Q49" s="234"/>
      <c r="R49" s="179">
        <f t="shared" si="12"/>
        <v>0</v>
      </c>
      <c r="S49" s="58" t="s">
        <v>158</v>
      </c>
      <c r="T49" s="146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20" ht="13.5">
      <c r="B50" s="153"/>
      <c r="C50" s="56" t="s">
        <v>129</v>
      </c>
      <c r="D50" s="56" t="s">
        <v>60</v>
      </c>
      <c r="E50" s="57" t="s">
        <v>208</v>
      </c>
      <c r="F50" s="209" t="s">
        <v>209</v>
      </c>
      <c r="G50" s="204"/>
      <c r="H50" s="204"/>
      <c r="I50" s="204"/>
      <c r="J50" s="58" t="s">
        <v>79</v>
      </c>
      <c r="K50" s="59">
        <v>1</v>
      </c>
      <c r="L50" s="203"/>
      <c r="M50" s="204"/>
      <c r="N50" s="233">
        <f>ROUND((K50*L50),2)</f>
        <v>0</v>
      </c>
      <c r="O50" s="234"/>
      <c r="P50" s="234"/>
      <c r="Q50" s="234"/>
      <c r="R50" s="179">
        <f t="shared" si="12"/>
        <v>0</v>
      </c>
      <c r="S50" s="58" t="s">
        <v>158</v>
      </c>
      <c r="T50" s="146"/>
    </row>
    <row r="51" spans="2:20" ht="236.25" customHeight="1">
      <c r="B51" s="153"/>
      <c r="C51" s="111"/>
      <c r="D51" s="111"/>
      <c r="E51" s="111"/>
      <c r="F51" s="207" t="s">
        <v>245</v>
      </c>
      <c r="G51" s="208"/>
      <c r="H51" s="208"/>
      <c r="I51" s="208"/>
      <c r="J51" s="111"/>
      <c r="K51" s="111"/>
      <c r="L51" s="68"/>
      <c r="M51" s="68"/>
      <c r="N51" s="237"/>
      <c r="O51" s="238"/>
      <c r="P51" s="238"/>
      <c r="Q51" s="238"/>
      <c r="R51" s="111"/>
      <c r="S51" s="111"/>
      <c r="T51" s="146"/>
    </row>
    <row r="52" spans="2:20" ht="15">
      <c r="B52" s="153"/>
      <c r="C52" s="112"/>
      <c r="D52" s="114" t="s">
        <v>211</v>
      </c>
      <c r="E52" s="114"/>
      <c r="F52" s="114"/>
      <c r="G52" s="114"/>
      <c r="H52" s="114"/>
      <c r="I52" s="114"/>
      <c r="J52" s="114"/>
      <c r="K52" s="114"/>
      <c r="L52" s="157"/>
      <c r="M52" s="157"/>
      <c r="N52" s="248">
        <f>ROUND(SUM(N53:Q59),2)</f>
        <v>0</v>
      </c>
      <c r="O52" s="249"/>
      <c r="P52" s="249"/>
      <c r="Q52" s="249"/>
      <c r="R52" s="111"/>
      <c r="S52" s="111"/>
      <c r="T52" s="146"/>
    </row>
    <row r="53" spans="2:20" ht="13.5">
      <c r="B53" s="153"/>
      <c r="C53" s="56" t="s">
        <v>131</v>
      </c>
      <c r="D53" s="56" t="s">
        <v>60</v>
      </c>
      <c r="E53" s="57" t="s">
        <v>212</v>
      </c>
      <c r="F53" s="209" t="s">
        <v>213</v>
      </c>
      <c r="G53" s="204"/>
      <c r="H53" s="204"/>
      <c r="I53" s="204"/>
      <c r="J53" s="58" t="s">
        <v>96</v>
      </c>
      <c r="K53" s="59">
        <v>1</v>
      </c>
      <c r="L53" s="203"/>
      <c r="M53" s="204"/>
      <c r="N53" s="233">
        <f>ROUND((K53*L53),2)</f>
        <v>0</v>
      </c>
      <c r="O53" s="234"/>
      <c r="P53" s="234"/>
      <c r="Q53" s="234"/>
      <c r="R53" s="179">
        <f aca="true" t="shared" si="13" ref="R53:R59">ROUND((N53*1.2),2)</f>
        <v>0</v>
      </c>
      <c r="S53" s="58" t="s">
        <v>158</v>
      </c>
      <c r="T53" s="146"/>
    </row>
    <row r="54" spans="2:20" ht="25.5" customHeight="1">
      <c r="B54" s="153"/>
      <c r="C54" s="56" t="s">
        <v>133</v>
      </c>
      <c r="D54" s="56" t="s">
        <v>60</v>
      </c>
      <c r="E54" s="57" t="s">
        <v>214</v>
      </c>
      <c r="F54" s="209" t="s">
        <v>215</v>
      </c>
      <c r="G54" s="204"/>
      <c r="H54" s="204"/>
      <c r="I54" s="204"/>
      <c r="J54" s="58" t="s">
        <v>216</v>
      </c>
      <c r="K54" s="59">
        <v>1</v>
      </c>
      <c r="L54" s="203"/>
      <c r="M54" s="204"/>
      <c r="N54" s="233">
        <f aca="true" t="shared" si="14" ref="N54:N59">ROUND((K54*L54),2)</f>
        <v>0</v>
      </c>
      <c r="O54" s="234"/>
      <c r="P54" s="234"/>
      <c r="Q54" s="234"/>
      <c r="R54" s="179">
        <f t="shared" si="13"/>
        <v>0</v>
      </c>
      <c r="S54" s="58" t="s">
        <v>158</v>
      </c>
      <c r="T54" s="146"/>
    </row>
    <row r="55" spans="2:20" ht="13.5">
      <c r="B55" s="153"/>
      <c r="C55" s="56" t="s">
        <v>135</v>
      </c>
      <c r="D55" s="56" t="s">
        <v>60</v>
      </c>
      <c r="E55" s="57" t="s">
        <v>217</v>
      </c>
      <c r="F55" s="209" t="s">
        <v>218</v>
      </c>
      <c r="G55" s="204"/>
      <c r="H55" s="204"/>
      <c r="I55" s="204"/>
      <c r="J55" s="58" t="s">
        <v>216</v>
      </c>
      <c r="K55" s="59">
        <v>1</v>
      </c>
      <c r="L55" s="203"/>
      <c r="M55" s="204"/>
      <c r="N55" s="233">
        <f t="shared" si="14"/>
        <v>0</v>
      </c>
      <c r="O55" s="234"/>
      <c r="P55" s="234"/>
      <c r="Q55" s="234"/>
      <c r="R55" s="179">
        <f t="shared" si="13"/>
        <v>0</v>
      </c>
      <c r="S55" s="58" t="s">
        <v>158</v>
      </c>
      <c r="T55" s="146"/>
    </row>
    <row r="56" spans="2:20" ht="13.5">
      <c r="B56" s="153"/>
      <c r="C56" s="56" t="s">
        <v>137</v>
      </c>
      <c r="D56" s="56" t="s">
        <v>60</v>
      </c>
      <c r="E56" s="57" t="s">
        <v>246</v>
      </c>
      <c r="F56" s="209" t="s">
        <v>247</v>
      </c>
      <c r="G56" s="204"/>
      <c r="H56" s="204"/>
      <c r="I56" s="204"/>
      <c r="J56" s="58" t="s">
        <v>125</v>
      </c>
      <c r="K56" s="59">
        <v>9</v>
      </c>
      <c r="L56" s="203"/>
      <c r="M56" s="204"/>
      <c r="N56" s="233">
        <f t="shared" si="14"/>
        <v>0</v>
      </c>
      <c r="O56" s="234"/>
      <c r="P56" s="234"/>
      <c r="Q56" s="234"/>
      <c r="R56" s="179">
        <f t="shared" si="13"/>
        <v>0</v>
      </c>
      <c r="S56" s="58" t="s">
        <v>158</v>
      </c>
      <c r="T56" s="146"/>
    </row>
    <row r="57" spans="2:20" ht="25.5" customHeight="1">
      <c r="B57" s="153"/>
      <c r="C57" s="56" t="s">
        <v>141</v>
      </c>
      <c r="D57" s="56" t="s">
        <v>60</v>
      </c>
      <c r="E57" s="57" t="s">
        <v>248</v>
      </c>
      <c r="F57" s="209" t="s">
        <v>249</v>
      </c>
      <c r="G57" s="204"/>
      <c r="H57" s="204"/>
      <c r="I57" s="204"/>
      <c r="J57" s="58" t="s">
        <v>125</v>
      </c>
      <c r="K57" s="59">
        <v>3</v>
      </c>
      <c r="L57" s="203"/>
      <c r="M57" s="204"/>
      <c r="N57" s="233">
        <f t="shared" si="14"/>
        <v>0</v>
      </c>
      <c r="O57" s="234"/>
      <c r="P57" s="234"/>
      <c r="Q57" s="234"/>
      <c r="R57" s="179">
        <f t="shared" si="13"/>
        <v>0</v>
      </c>
      <c r="S57" s="58" t="s">
        <v>158</v>
      </c>
      <c r="T57" s="146"/>
    </row>
    <row r="58" spans="2:20" ht="18" customHeight="1">
      <c r="B58" s="153"/>
      <c r="C58" s="56" t="s">
        <v>143</v>
      </c>
      <c r="D58" s="56" t="s">
        <v>60</v>
      </c>
      <c r="E58" s="57" t="s">
        <v>250</v>
      </c>
      <c r="F58" s="209" t="s">
        <v>251</v>
      </c>
      <c r="G58" s="204"/>
      <c r="H58" s="204"/>
      <c r="I58" s="204"/>
      <c r="J58" s="58" t="s">
        <v>125</v>
      </c>
      <c r="K58" s="59">
        <v>6</v>
      </c>
      <c r="L58" s="203"/>
      <c r="M58" s="204"/>
      <c r="N58" s="233">
        <f t="shared" si="14"/>
        <v>0</v>
      </c>
      <c r="O58" s="234"/>
      <c r="P58" s="234"/>
      <c r="Q58" s="234"/>
      <c r="R58" s="179">
        <f t="shared" si="13"/>
        <v>0</v>
      </c>
      <c r="S58" s="58" t="s">
        <v>158</v>
      </c>
      <c r="T58" s="146"/>
    </row>
    <row r="59" spans="2:20" ht="13.5">
      <c r="B59" s="153"/>
      <c r="C59" s="56" t="s">
        <v>144</v>
      </c>
      <c r="D59" s="56" t="s">
        <v>60</v>
      </c>
      <c r="E59" s="57" t="s">
        <v>252</v>
      </c>
      <c r="F59" s="209" t="s">
        <v>253</v>
      </c>
      <c r="G59" s="204"/>
      <c r="H59" s="204"/>
      <c r="I59" s="204"/>
      <c r="J59" s="58" t="s">
        <v>79</v>
      </c>
      <c r="K59" s="59">
        <v>1</v>
      </c>
      <c r="L59" s="203"/>
      <c r="M59" s="204"/>
      <c r="N59" s="233">
        <f t="shared" si="14"/>
        <v>0</v>
      </c>
      <c r="O59" s="234"/>
      <c r="P59" s="234"/>
      <c r="Q59" s="234"/>
      <c r="R59" s="179">
        <f t="shared" si="13"/>
        <v>0</v>
      </c>
      <c r="S59" s="58" t="s">
        <v>158</v>
      </c>
      <c r="T59" s="146"/>
    </row>
    <row r="60" spans="2:20" ht="14.25" thickBot="1">
      <c r="B60" s="153"/>
      <c r="T60" s="146"/>
    </row>
    <row r="61" spans="2:20" ht="18.75" thickBot="1">
      <c r="B61" s="153"/>
      <c r="F61" s="103" t="s">
        <v>156</v>
      </c>
      <c r="G61" s="104"/>
      <c r="H61" s="104"/>
      <c r="I61" s="104"/>
      <c r="J61" s="104"/>
      <c r="K61" s="221">
        <f>N9</f>
        <v>0</v>
      </c>
      <c r="L61" s="221"/>
      <c r="M61" s="221"/>
      <c r="N61" s="221"/>
      <c r="O61" s="221"/>
      <c r="P61" s="221"/>
      <c r="Q61" s="221"/>
      <c r="R61" s="176"/>
      <c r="S61" s="99" t="s">
        <v>158</v>
      </c>
      <c r="T61" s="146"/>
    </row>
    <row r="62" spans="2:20" ht="18.75" thickBot="1">
      <c r="B62" s="153"/>
      <c r="F62" s="205" t="s">
        <v>2</v>
      </c>
      <c r="G62" s="206"/>
      <c r="H62" s="206"/>
      <c r="I62" s="206"/>
      <c r="J62" s="206"/>
      <c r="K62" s="221">
        <f>K63-K61</f>
        <v>0</v>
      </c>
      <c r="L62" s="221"/>
      <c r="M62" s="221"/>
      <c r="N62" s="221"/>
      <c r="O62" s="221"/>
      <c r="P62" s="221"/>
      <c r="Q62" s="221"/>
      <c r="R62" s="177"/>
      <c r="S62" s="100" t="s">
        <v>158</v>
      </c>
      <c r="T62" s="146"/>
    </row>
    <row r="63" spans="2:20" ht="18.75" thickBot="1">
      <c r="B63" s="153"/>
      <c r="F63" s="93" t="s">
        <v>157</v>
      </c>
      <c r="G63" s="94"/>
      <c r="H63" s="94"/>
      <c r="I63" s="94"/>
      <c r="J63" s="94"/>
      <c r="K63" s="221">
        <f>K61*1.2</f>
        <v>0</v>
      </c>
      <c r="L63" s="221"/>
      <c r="M63" s="221"/>
      <c r="N63" s="221"/>
      <c r="O63" s="221"/>
      <c r="P63" s="221"/>
      <c r="Q63" s="221"/>
      <c r="R63" s="176"/>
      <c r="S63" s="101" t="s">
        <v>158</v>
      </c>
      <c r="T63" s="146"/>
    </row>
  </sheetData>
  <sheetProtection/>
  <mergeCells count="146">
    <mergeCell ref="K61:Q61"/>
    <mergeCell ref="K62:Q62"/>
    <mergeCell ref="K63:Q63"/>
    <mergeCell ref="F62:J62"/>
    <mergeCell ref="C2:AE2"/>
    <mergeCell ref="F8:I8"/>
    <mergeCell ref="N9:Q9"/>
    <mergeCell ref="L8:M8"/>
    <mergeCell ref="N8:Q8"/>
    <mergeCell ref="C3:AH3"/>
    <mergeCell ref="F12:I12"/>
    <mergeCell ref="L12:M12"/>
    <mergeCell ref="N12:Q12"/>
    <mergeCell ref="N10:Q10"/>
    <mergeCell ref="N11:Q11"/>
    <mergeCell ref="C5:AI5"/>
    <mergeCell ref="C7:S7"/>
    <mergeCell ref="R9:U9"/>
    <mergeCell ref="R10:U10"/>
    <mergeCell ref="R11:U11"/>
    <mergeCell ref="F13:I13"/>
    <mergeCell ref="L13:M13"/>
    <mergeCell ref="N13:Q13"/>
    <mergeCell ref="F14:I14"/>
    <mergeCell ref="L14:M14"/>
    <mergeCell ref="N14:Q14"/>
    <mergeCell ref="F15:I15"/>
    <mergeCell ref="L15:M15"/>
    <mergeCell ref="N15:Q15"/>
    <mergeCell ref="F16:I16"/>
    <mergeCell ref="L16:M16"/>
    <mergeCell ref="N16:Q16"/>
    <mergeCell ref="N23:Q23"/>
    <mergeCell ref="F18:I18"/>
    <mergeCell ref="L18:M18"/>
    <mergeCell ref="N18:Q18"/>
    <mergeCell ref="N27:Q27"/>
    <mergeCell ref="L27:M27"/>
    <mergeCell ref="L20:M20"/>
    <mergeCell ref="F24:I24"/>
    <mergeCell ref="L24:M24"/>
    <mergeCell ref="F21:I21"/>
    <mergeCell ref="N28:Q28"/>
    <mergeCell ref="N21:Q21"/>
    <mergeCell ref="F25:I25"/>
    <mergeCell ref="L25:M25"/>
    <mergeCell ref="N25:Q25"/>
    <mergeCell ref="N26:Q26"/>
    <mergeCell ref="F23:I23"/>
    <mergeCell ref="F26:I26"/>
    <mergeCell ref="L26:M26"/>
    <mergeCell ref="F27:I27"/>
    <mergeCell ref="N31:Q31"/>
    <mergeCell ref="F32:I32"/>
    <mergeCell ref="L32:M32"/>
    <mergeCell ref="N32:Q32"/>
    <mergeCell ref="F29:I29"/>
    <mergeCell ref="L29:M29"/>
    <mergeCell ref="N29:Q29"/>
    <mergeCell ref="F30:I30"/>
    <mergeCell ref="L30:M30"/>
    <mergeCell ref="N30:Q30"/>
    <mergeCell ref="N37:Q37"/>
    <mergeCell ref="N38:Q38"/>
    <mergeCell ref="N35:Q35"/>
    <mergeCell ref="N36:Q36"/>
    <mergeCell ref="F33:I33"/>
    <mergeCell ref="L33:M33"/>
    <mergeCell ref="N33:Q33"/>
    <mergeCell ref="F34:I34"/>
    <mergeCell ref="L34:M34"/>
    <mergeCell ref="N34:Q34"/>
    <mergeCell ref="N41:Q41"/>
    <mergeCell ref="N42:Q42"/>
    <mergeCell ref="L39:M39"/>
    <mergeCell ref="N39:Q39"/>
    <mergeCell ref="F40:I40"/>
    <mergeCell ref="N40:Q40"/>
    <mergeCell ref="L40:M40"/>
    <mergeCell ref="F41:I41"/>
    <mergeCell ref="L41:M41"/>
    <mergeCell ref="N56:Q56"/>
    <mergeCell ref="N43:Q43"/>
    <mergeCell ref="F44:I44"/>
    <mergeCell ref="N44:Q44"/>
    <mergeCell ref="L44:M44"/>
    <mergeCell ref="L56:M56"/>
    <mergeCell ref="L55:M55"/>
    <mergeCell ref="L59:M59"/>
    <mergeCell ref="N49:Q49"/>
    <mergeCell ref="N50:Q50"/>
    <mergeCell ref="N45:Q45"/>
    <mergeCell ref="F46:I46"/>
    <mergeCell ref="L46:M46"/>
    <mergeCell ref="N46:Q46"/>
    <mergeCell ref="N54:Q54"/>
    <mergeCell ref="F55:I55"/>
    <mergeCell ref="N55:Q55"/>
    <mergeCell ref="N59:Q59"/>
    <mergeCell ref="F47:I47"/>
    <mergeCell ref="N47:Q47"/>
    <mergeCell ref="F48:I48"/>
    <mergeCell ref="L48:M48"/>
    <mergeCell ref="N48:Q48"/>
    <mergeCell ref="F59:I59"/>
    <mergeCell ref="F56:I56"/>
    <mergeCell ref="N52:Q52"/>
    <mergeCell ref="N53:Q53"/>
    <mergeCell ref="L57:M57"/>
    <mergeCell ref="F58:I58"/>
    <mergeCell ref="L58:M58"/>
    <mergeCell ref="F51:I51"/>
    <mergeCell ref="F53:I53"/>
    <mergeCell ref="L53:M53"/>
    <mergeCell ref="F54:I54"/>
    <mergeCell ref="L54:M54"/>
    <mergeCell ref="F57:I57"/>
    <mergeCell ref="F50:I50"/>
    <mergeCell ref="L50:M50"/>
    <mergeCell ref="F17:I17"/>
    <mergeCell ref="L17:M17"/>
    <mergeCell ref="F19:I19"/>
    <mergeCell ref="L19:M19"/>
    <mergeCell ref="F20:I20"/>
    <mergeCell ref="F35:I35"/>
    <mergeCell ref="L21:M21"/>
    <mergeCell ref="F31:I31"/>
    <mergeCell ref="L23:M23"/>
    <mergeCell ref="L31:M31"/>
    <mergeCell ref="F38:I38"/>
    <mergeCell ref="L38:M38"/>
    <mergeCell ref="F49:I49"/>
    <mergeCell ref="L49:M49"/>
    <mergeCell ref="F36:I36"/>
    <mergeCell ref="L36:M36"/>
    <mergeCell ref="F39:I39"/>
    <mergeCell ref="C4:AN4"/>
    <mergeCell ref="N57:Q57"/>
    <mergeCell ref="N58:Q58"/>
    <mergeCell ref="N17:Q17"/>
    <mergeCell ref="N19:Q19"/>
    <mergeCell ref="N20:Q20"/>
    <mergeCell ref="N24:Q24"/>
    <mergeCell ref="N22:Q22"/>
    <mergeCell ref="N51:Q51"/>
    <mergeCell ref="L35:M35"/>
  </mergeCells>
  <printOptions/>
  <pageMargins left="0.25" right="0.25" top="0.75" bottom="0.75" header="0.3" footer="0.3"/>
  <pageSetup blackAndWhite="1" errors="blank" fitToHeight="0" fitToWidth="1" horizontalDpi="600" verticalDpi="600" orientation="portrait" paperSize="9" scale="81" r:id="rId1"/>
  <ignoredErrors>
    <ignoredError sqref="R12:R21 N12:Q21 N23:Q27 R23:R27 R29:R36 N29:Q36 N38:Q41 R38:R41 N42:N44 R44 N46 R46 N48:Q50 R48:R50 N52 N53:Q59 R53:R59" unlockedFormula="1"/>
    <ignoredError sqref="N22 N28 N37 N45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O57"/>
  <sheetViews>
    <sheetView showGridLines="0" view="pageBreakPreview" zoomScale="110" zoomScaleSheetLayoutView="110" zoomScalePageLayoutView="0" workbookViewId="0" topLeftCell="C1">
      <pane ySplit="1" topLeftCell="A2" activePane="bottomLeft" state="frozen"/>
      <selection pane="topLeft" activeCell="A1" sqref="A1"/>
      <selection pane="bottomLeft" activeCell="E9" sqref="E9"/>
    </sheetView>
  </sheetViews>
  <sheetFormatPr defaultColWidth="9.33203125" defaultRowHeight="13.5"/>
  <cols>
    <col min="1" max="1" width="8.33203125" style="0" hidden="1" customWidth="1"/>
    <col min="2" max="2" width="1.66796875" style="0" hidden="1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hidden="1" customWidth="1"/>
    <col min="18" max="18" width="17.33203125" style="0" customWidth="1"/>
    <col min="19" max="19" width="11.33203125" style="0" customWidth="1"/>
    <col min="20" max="20" width="1.66796875" style="0" hidden="1" customWidth="1"/>
    <col min="21" max="21" width="8.16015625" style="0" hidden="1" customWidth="1"/>
    <col min="22" max="22" width="29.66015625" style="0" hidden="1" customWidth="1"/>
    <col min="23" max="23" width="16.33203125" style="0" hidden="1" customWidth="1"/>
    <col min="24" max="24" width="12.33203125" style="0" hidden="1" customWidth="1"/>
    <col min="25" max="25" width="16.33203125" style="0" hidden="1" customWidth="1"/>
    <col min="26" max="26" width="12.16015625" style="0" hidden="1" customWidth="1"/>
    <col min="27" max="27" width="15" style="0" hidden="1" customWidth="1"/>
    <col min="28" max="28" width="11" style="0" hidden="1" customWidth="1"/>
    <col min="29" max="29" width="15" style="0" hidden="1" customWidth="1"/>
    <col min="30" max="30" width="8" style="0" hidden="1" customWidth="1"/>
    <col min="31" max="31" width="11" style="0" hidden="1" customWidth="1"/>
    <col min="32" max="32" width="15" style="0" hidden="1" customWidth="1"/>
    <col min="33" max="33" width="16.33203125" style="0" hidden="1" customWidth="1"/>
    <col min="34" max="34" width="9.5" style="0" hidden="1" customWidth="1"/>
    <col min="35" max="35" width="16.5" style="0" hidden="1" customWidth="1"/>
    <col min="46" max="66" width="9.33203125" style="0" hidden="1" customWidth="1"/>
    <col min="67" max="67" width="0" style="0" hidden="1" customWidth="1"/>
  </cols>
  <sheetData>
    <row r="2" spans="2:31" s="5" customFormat="1" ht="29.25" customHeight="1">
      <c r="B2" s="36"/>
      <c r="C2" s="216" t="s">
        <v>159</v>
      </c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</row>
    <row r="3" spans="2:65" s="1" customFormat="1" ht="16.5">
      <c r="B3" s="9"/>
      <c r="C3" s="195" t="s">
        <v>160</v>
      </c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V3" s="7" t="s">
        <v>22</v>
      </c>
      <c r="AW3" s="7" t="s">
        <v>38</v>
      </c>
      <c r="BM3" s="40" t="e">
        <f>BM4+BM13+BM18+BM44+#REF!+#REF!</f>
        <v>#REF!</v>
      </c>
    </row>
    <row r="4" spans="2:65" s="81" customFormat="1" ht="16.5">
      <c r="B4" s="41"/>
      <c r="C4" s="187" t="s">
        <v>273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T4" s="47" t="s">
        <v>29</v>
      </c>
      <c r="AV4" s="48" t="s">
        <v>22</v>
      </c>
      <c r="AW4" s="48" t="s">
        <v>23</v>
      </c>
      <c r="BA4" s="47" t="s">
        <v>59</v>
      </c>
      <c r="BM4" s="49">
        <f>BM5+BM11</f>
        <v>0</v>
      </c>
    </row>
    <row r="5" spans="2:65" s="81" customFormat="1" ht="16.5">
      <c r="B5" s="41"/>
      <c r="C5" s="187" t="s">
        <v>161</v>
      </c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T5" s="47" t="s">
        <v>29</v>
      </c>
      <c r="AV5" s="48" t="s">
        <v>22</v>
      </c>
      <c r="AW5" s="48" t="s">
        <v>29</v>
      </c>
      <c r="BA5" s="47" t="s">
        <v>59</v>
      </c>
      <c r="BM5" s="49">
        <f>SUM(BM6:BM10)</f>
        <v>0</v>
      </c>
    </row>
    <row r="6" spans="2:67" s="1" customFormat="1" ht="16.5">
      <c r="B6" s="50"/>
      <c r="C6" s="73" t="s">
        <v>266</v>
      </c>
      <c r="D6" s="73"/>
      <c r="E6" s="73"/>
      <c r="F6" s="108"/>
      <c r="G6" s="73"/>
      <c r="H6" s="73"/>
      <c r="I6" s="73"/>
      <c r="J6" s="73"/>
      <c r="K6" s="73"/>
      <c r="L6" s="73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T6" s="7" t="s">
        <v>62</v>
      </c>
      <c r="AV6" s="7" t="s">
        <v>60</v>
      </c>
      <c r="AW6" s="7" t="s">
        <v>63</v>
      </c>
      <c r="BA6" s="7" t="s">
        <v>59</v>
      </c>
      <c r="BG6" s="55">
        <f>IF(W12="základná",N12,0)</f>
        <v>0</v>
      </c>
      <c r="BH6" s="55">
        <f>IF(W12="znížená",N12,0)</f>
        <v>0</v>
      </c>
      <c r="BI6" s="55">
        <f>IF(W12="zákl. prenesená",N12,0)</f>
        <v>0</v>
      </c>
      <c r="BJ6" s="55">
        <f>IF(W12="zníž. prenesená",N12,0)</f>
        <v>0</v>
      </c>
      <c r="BK6" s="55">
        <f>IF(W12="nulová",N12,0)</f>
        <v>0</v>
      </c>
      <c r="BL6" s="7" t="s">
        <v>63</v>
      </c>
      <c r="BM6" s="55">
        <f>ROUND(L12*K12,2)</f>
        <v>0</v>
      </c>
      <c r="BN6" s="7" t="s">
        <v>62</v>
      </c>
      <c r="BO6" s="7">
        <v>1</v>
      </c>
    </row>
    <row r="7" spans="2:67" s="1" customFormat="1" ht="33" customHeight="1">
      <c r="B7" s="50"/>
      <c r="C7" s="223" t="s">
        <v>267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AC7" s="70"/>
      <c r="AG7" s="2"/>
      <c r="AT7" s="7" t="s">
        <v>62</v>
      </c>
      <c r="AV7" s="7" t="s">
        <v>60</v>
      </c>
      <c r="AW7" s="7" t="s">
        <v>63</v>
      </c>
      <c r="BA7" s="7" t="s">
        <v>59</v>
      </c>
      <c r="BG7" s="55">
        <f>IF(W13="základná",N13,0)</f>
        <v>0</v>
      </c>
      <c r="BH7" s="55">
        <f>IF(W13="znížená",N13,0)</f>
        <v>0</v>
      </c>
      <c r="BI7" s="55">
        <f>IF(W13="zákl. prenesená",N13,0)</f>
        <v>0</v>
      </c>
      <c r="BJ7" s="55">
        <f>IF(W13="zníž. prenesená",N13,0)</f>
        <v>0</v>
      </c>
      <c r="BK7" s="55">
        <f>IF(W13="nulová",N13,0)</f>
        <v>0</v>
      </c>
      <c r="BL7" s="7" t="s">
        <v>63</v>
      </c>
      <c r="BM7" s="55">
        <f>ROUND(L13*K13,2)</f>
        <v>0</v>
      </c>
      <c r="BN7" s="7" t="s">
        <v>62</v>
      </c>
      <c r="BO7" s="7" t="s">
        <v>63</v>
      </c>
    </row>
    <row r="8" spans="2:67" s="1" customFormat="1" ht="51.75" customHeight="1">
      <c r="B8" s="50"/>
      <c r="C8" s="141" t="s">
        <v>46</v>
      </c>
      <c r="D8" s="142" t="s">
        <v>47</v>
      </c>
      <c r="E8" s="142" t="s">
        <v>5</v>
      </c>
      <c r="F8" s="217" t="s">
        <v>48</v>
      </c>
      <c r="G8" s="218"/>
      <c r="H8" s="218"/>
      <c r="I8" s="218"/>
      <c r="J8" s="142" t="s">
        <v>49</v>
      </c>
      <c r="K8" s="142" t="s">
        <v>50</v>
      </c>
      <c r="L8" s="219" t="s">
        <v>51</v>
      </c>
      <c r="M8" s="218"/>
      <c r="N8" s="217" t="s">
        <v>271</v>
      </c>
      <c r="O8" s="218"/>
      <c r="P8" s="218"/>
      <c r="Q8" s="218"/>
      <c r="R8" s="143" t="s">
        <v>272</v>
      </c>
      <c r="S8" s="148" t="s">
        <v>154</v>
      </c>
      <c r="T8" s="37"/>
      <c r="U8" s="5"/>
      <c r="V8" s="95"/>
      <c r="W8" s="96"/>
      <c r="X8" s="96"/>
      <c r="Y8" s="96"/>
      <c r="Z8" s="96"/>
      <c r="AA8" s="96"/>
      <c r="AB8" s="96"/>
      <c r="AC8" s="97"/>
      <c r="AD8" s="5"/>
      <c r="AE8" s="5"/>
      <c r="AT8" s="7" t="s">
        <v>62</v>
      </c>
      <c r="AV8" s="7" t="s">
        <v>60</v>
      </c>
      <c r="AW8" s="7" t="s">
        <v>63</v>
      </c>
      <c r="BA8" s="7" t="s">
        <v>59</v>
      </c>
      <c r="BG8" s="55">
        <f>IF(W14="základná",N14,0)</f>
        <v>0</v>
      </c>
      <c r="BH8" s="55">
        <f>IF(W14="znížená",N14,0)</f>
        <v>0</v>
      </c>
      <c r="BI8" s="55">
        <f>IF(W14="zákl. prenesená",N14,0)</f>
        <v>0</v>
      </c>
      <c r="BJ8" s="55">
        <f>IF(W14="zníž. prenesená",N14,0)</f>
        <v>0</v>
      </c>
      <c r="BK8" s="55">
        <f>IF(W14="nulová",N14,0)</f>
        <v>0</v>
      </c>
      <c r="BL8" s="7" t="s">
        <v>63</v>
      </c>
      <c r="BM8" s="55">
        <f>ROUND(L14*K14,2)</f>
        <v>0</v>
      </c>
      <c r="BN8" s="7" t="s">
        <v>62</v>
      </c>
      <c r="BO8" s="7" t="s">
        <v>66</v>
      </c>
    </row>
    <row r="9" spans="2:67" s="1" customFormat="1" ht="31.5" customHeight="1">
      <c r="B9" s="50"/>
      <c r="C9" s="110" t="s">
        <v>37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266">
        <f>ROUND((N10+N40),2)</f>
        <v>0</v>
      </c>
      <c r="O9" s="266"/>
      <c r="P9" s="266"/>
      <c r="Q9" s="266"/>
      <c r="R9" s="98"/>
      <c r="S9" s="98"/>
      <c r="T9" s="10"/>
      <c r="V9" s="20"/>
      <c r="W9" s="68"/>
      <c r="X9" s="68"/>
      <c r="Y9" s="38" t="e">
        <f>Y10+Y19+Y24+#REF!+#REF!+#REF!</f>
        <v>#REF!</v>
      </c>
      <c r="Z9" s="68"/>
      <c r="AA9" s="38" t="e">
        <f>AA10+AA19+AA24+#REF!+#REF!+#REF!</f>
        <v>#REF!</v>
      </c>
      <c r="AB9" s="68"/>
      <c r="AC9" s="39" t="e">
        <f>AC10+AC19+AC24+#REF!+#REF!+#REF!</f>
        <v>#REF!</v>
      </c>
      <c r="AT9" s="7" t="s">
        <v>62</v>
      </c>
      <c r="AV9" s="7" t="s">
        <v>60</v>
      </c>
      <c r="AW9" s="7" t="s">
        <v>63</v>
      </c>
      <c r="BA9" s="7" t="s">
        <v>59</v>
      </c>
      <c r="BG9" s="55">
        <f>IF(W15="základná",N15,0)</f>
        <v>0</v>
      </c>
      <c r="BH9" s="55">
        <f>IF(W15="znížená",N15,0)</f>
        <v>0</v>
      </c>
      <c r="BI9" s="55">
        <f>IF(W15="zákl. prenesená",N15,0)</f>
        <v>0</v>
      </c>
      <c r="BJ9" s="55">
        <f>IF(W15="zníž. prenesená",N15,0)</f>
        <v>0</v>
      </c>
      <c r="BK9" s="55">
        <f>IF(W15="nulová",N15,0)</f>
        <v>0</v>
      </c>
      <c r="BL9" s="7" t="s">
        <v>63</v>
      </c>
      <c r="BM9" s="55">
        <f>ROUND(L15*K15,2)</f>
        <v>0</v>
      </c>
      <c r="BN9" s="7" t="s">
        <v>62</v>
      </c>
      <c r="BO9" s="7" t="s">
        <v>62</v>
      </c>
    </row>
    <row r="10" spans="2:67" s="1" customFormat="1" ht="31.5" customHeight="1">
      <c r="B10" s="50"/>
      <c r="C10" s="112"/>
      <c r="D10" s="113" t="s">
        <v>39</v>
      </c>
      <c r="E10" s="113"/>
      <c r="F10" s="113"/>
      <c r="G10" s="113"/>
      <c r="H10" s="113"/>
      <c r="I10" s="113"/>
      <c r="J10" s="113"/>
      <c r="K10" s="113"/>
      <c r="L10" s="113"/>
      <c r="M10" s="113"/>
      <c r="N10" s="264">
        <f>ROUND((N11+N21+N25+N35),2)</f>
        <v>0</v>
      </c>
      <c r="O10" s="264"/>
      <c r="P10" s="264"/>
      <c r="Q10" s="264"/>
      <c r="R10" s="105"/>
      <c r="S10" s="105"/>
      <c r="T10" s="43"/>
      <c r="U10" s="81"/>
      <c r="V10" s="44"/>
      <c r="W10" s="81"/>
      <c r="X10" s="81"/>
      <c r="Y10" s="82">
        <f>Y11+Y17</f>
        <v>0</v>
      </c>
      <c r="Z10" s="81"/>
      <c r="AA10" s="82">
        <f>AA11+AA17</f>
        <v>0</v>
      </c>
      <c r="AB10" s="81"/>
      <c r="AC10" s="83">
        <f>AC11+AC17</f>
        <v>0</v>
      </c>
      <c r="AD10" s="81"/>
      <c r="AE10" s="81"/>
      <c r="AT10" s="7" t="s">
        <v>62</v>
      </c>
      <c r="AV10" s="7" t="s">
        <v>60</v>
      </c>
      <c r="AW10" s="7" t="s">
        <v>63</v>
      </c>
      <c r="BA10" s="7" t="s">
        <v>59</v>
      </c>
      <c r="BG10" s="55">
        <f>IF(W16="základná",N16,0)</f>
        <v>0</v>
      </c>
      <c r="BH10" s="55">
        <f>IF(W16="znížená",N16,0)</f>
        <v>0</v>
      </c>
      <c r="BI10" s="55">
        <f>IF(W16="zákl. prenesená",N16,0)</f>
        <v>0</v>
      </c>
      <c r="BJ10" s="55">
        <f>IF(W16="zníž. prenesená",N16,0)</f>
        <v>0</v>
      </c>
      <c r="BK10" s="55">
        <f>IF(W16="nulová",N16,0)</f>
        <v>0</v>
      </c>
      <c r="BL10" s="7" t="s">
        <v>63</v>
      </c>
      <c r="BM10" s="55">
        <f>ROUND(L16*K16,2)</f>
        <v>0</v>
      </c>
      <c r="BN10" s="7" t="s">
        <v>62</v>
      </c>
      <c r="BO10" s="7" t="s">
        <v>69</v>
      </c>
    </row>
    <row r="11" spans="2:65" s="81" customFormat="1" ht="29.25" customHeight="1">
      <c r="B11" s="41"/>
      <c r="C11" s="112"/>
      <c r="D11" s="114" t="s">
        <v>40</v>
      </c>
      <c r="E11" s="114"/>
      <c r="F11" s="114"/>
      <c r="G11" s="114"/>
      <c r="H11" s="114"/>
      <c r="I11" s="114"/>
      <c r="J11" s="114"/>
      <c r="K11" s="114"/>
      <c r="L11" s="114"/>
      <c r="M11" s="114"/>
      <c r="N11" s="265">
        <f>ROUND(SUM(N12:Q20),2)</f>
        <v>0</v>
      </c>
      <c r="O11" s="265"/>
      <c r="P11" s="265"/>
      <c r="Q11" s="265"/>
      <c r="R11" s="106"/>
      <c r="S11" s="106"/>
      <c r="T11" s="43"/>
      <c r="V11" s="44"/>
      <c r="Y11" s="82">
        <f>SUM(Y12:Y16)</f>
        <v>0</v>
      </c>
      <c r="AA11" s="82">
        <f>SUM(AA12:AA16)</f>
        <v>0</v>
      </c>
      <c r="AC11" s="83">
        <f>SUM(AC12:AC16)</f>
        <v>0</v>
      </c>
      <c r="AT11" s="47" t="s">
        <v>29</v>
      </c>
      <c r="AV11" s="48" t="s">
        <v>22</v>
      </c>
      <c r="AW11" s="48" t="s">
        <v>29</v>
      </c>
      <c r="BA11" s="47" t="s">
        <v>59</v>
      </c>
      <c r="BM11" s="49">
        <f>BM12</f>
        <v>0</v>
      </c>
    </row>
    <row r="12" spans="2:67" s="1" customFormat="1" ht="31.5" customHeight="1">
      <c r="B12" s="50"/>
      <c r="C12" s="56" t="s">
        <v>29</v>
      </c>
      <c r="D12" s="56" t="s">
        <v>60</v>
      </c>
      <c r="E12" s="57" t="s">
        <v>164</v>
      </c>
      <c r="F12" s="209" t="s">
        <v>165</v>
      </c>
      <c r="G12" s="204"/>
      <c r="H12" s="204"/>
      <c r="I12" s="204"/>
      <c r="J12" s="58" t="s">
        <v>61</v>
      </c>
      <c r="K12" s="59">
        <v>15.27</v>
      </c>
      <c r="L12" s="203"/>
      <c r="M12" s="204"/>
      <c r="N12" s="233">
        <f aca="true" t="shared" si="0" ref="N12:N20">ROUND((K12*L12),2)</f>
        <v>0</v>
      </c>
      <c r="O12" s="234"/>
      <c r="P12" s="234"/>
      <c r="Q12" s="234"/>
      <c r="R12" s="179">
        <f>ROUND((N12*1.2),2)</f>
        <v>0</v>
      </c>
      <c r="S12" s="58" t="s">
        <v>158</v>
      </c>
      <c r="T12" s="51"/>
      <c r="V12" s="52" t="s">
        <v>0</v>
      </c>
      <c r="W12" s="11" t="s">
        <v>3</v>
      </c>
      <c r="X12" s="88">
        <v>0</v>
      </c>
      <c r="Y12" s="88">
        <f>X12*K12</f>
        <v>0</v>
      </c>
      <c r="Z12" s="88">
        <v>0</v>
      </c>
      <c r="AA12" s="88">
        <f>Z12*K12</f>
        <v>0</v>
      </c>
      <c r="AB12" s="88">
        <v>0</v>
      </c>
      <c r="AC12" s="54">
        <f>AB12*K12</f>
        <v>0</v>
      </c>
      <c r="AT12" s="7" t="s">
        <v>62</v>
      </c>
      <c r="AV12" s="7" t="s">
        <v>60</v>
      </c>
      <c r="AW12" s="7" t="s">
        <v>63</v>
      </c>
      <c r="BA12" s="7" t="s">
        <v>59</v>
      </c>
      <c r="BG12" s="55">
        <f>IF(W18="základná",N18,0)</f>
        <v>0</v>
      </c>
      <c r="BH12" s="55">
        <f>IF(W18="znížená",N18,0)</f>
        <v>0</v>
      </c>
      <c r="BI12" s="55">
        <f>IF(W18="zákl. prenesená",N18,0)</f>
        <v>0</v>
      </c>
      <c r="BJ12" s="55">
        <f>IF(W18="zníž. prenesená",N18,0)</f>
        <v>0</v>
      </c>
      <c r="BK12" s="55">
        <f>IF(W18="nulová",N18,0)</f>
        <v>0</v>
      </c>
      <c r="BL12" s="7" t="s">
        <v>63</v>
      </c>
      <c r="BM12" s="55">
        <f>ROUND(L18*K18,2)</f>
        <v>0</v>
      </c>
      <c r="BN12" s="7" t="s">
        <v>62</v>
      </c>
      <c r="BO12" s="7" t="s">
        <v>71</v>
      </c>
    </row>
    <row r="13" spans="2:65" s="81" customFormat="1" ht="40.5" customHeight="1">
      <c r="B13" s="41"/>
      <c r="C13" s="56" t="s">
        <v>63</v>
      </c>
      <c r="D13" s="56" t="s">
        <v>60</v>
      </c>
      <c r="E13" s="57" t="s">
        <v>166</v>
      </c>
      <c r="F13" s="209" t="s">
        <v>167</v>
      </c>
      <c r="G13" s="204"/>
      <c r="H13" s="204"/>
      <c r="I13" s="204"/>
      <c r="J13" s="58" t="s">
        <v>61</v>
      </c>
      <c r="K13" s="59">
        <v>15.27</v>
      </c>
      <c r="L13" s="203"/>
      <c r="M13" s="204"/>
      <c r="N13" s="233">
        <f t="shared" si="0"/>
        <v>0</v>
      </c>
      <c r="O13" s="234"/>
      <c r="P13" s="234"/>
      <c r="Q13" s="234"/>
      <c r="R13" s="179">
        <f aca="true" t="shared" si="1" ref="R13:R19">ROUND((N13*1.2),2)</f>
        <v>0</v>
      </c>
      <c r="S13" s="58" t="s">
        <v>158</v>
      </c>
      <c r="T13" s="51"/>
      <c r="U13" s="1"/>
      <c r="V13" s="52" t="s">
        <v>0</v>
      </c>
      <c r="W13" s="11" t="s">
        <v>3</v>
      </c>
      <c r="X13" s="88">
        <v>0</v>
      </c>
      <c r="Y13" s="88">
        <f>X13*K13</f>
        <v>0</v>
      </c>
      <c r="Z13" s="88">
        <v>0</v>
      </c>
      <c r="AA13" s="88">
        <f>Z13*K13</f>
        <v>0</v>
      </c>
      <c r="AB13" s="88">
        <v>0</v>
      </c>
      <c r="AC13" s="54">
        <f>AB13*K13</f>
        <v>0</v>
      </c>
      <c r="AD13" s="1"/>
      <c r="AE13" s="1"/>
      <c r="AT13" s="47" t="s">
        <v>29</v>
      </c>
      <c r="AV13" s="48" t="s">
        <v>22</v>
      </c>
      <c r="AW13" s="48" t="s">
        <v>23</v>
      </c>
      <c r="BA13" s="47" t="s">
        <v>59</v>
      </c>
      <c r="BM13" s="49">
        <f>BM14</f>
        <v>0</v>
      </c>
    </row>
    <row r="14" spans="2:65" s="81" customFormat="1" ht="40.5" customHeight="1">
      <c r="B14" s="41"/>
      <c r="C14" s="56" t="s">
        <v>66</v>
      </c>
      <c r="D14" s="56" t="s">
        <v>60</v>
      </c>
      <c r="E14" s="57" t="s">
        <v>168</v>
      </c>
      <c r="F14" s="209" t="s">
        <v>169</v>
      </c>
      <c r="G14" s="204"/>
      <c r="H14" s="204"/>
      <c r="I14" s="204"/>
      <c r="J14" s="58" t="s">
        <v>61</v>
      </c>
      <c r="K14" s="59">
        <v>229.05</v>
      </c>
      <c r="L14" s="203"/>
      <c r="M14" s="204"/>
      <c r="N14" s="233">
        <f t="shared" si="0"/>
        <v>0</v>
      </c>
      <c r="O14" s="234"/>
      <c r="P14" s="234"/>
      <c r="Q14" s="234"/>
      <c r="R14" s="179">
        <f t="shared" si="1"/>
        <v>0</v>
      </c>
      <c r="S14" s="58" t="s">
        <v>158</v>
      </c>
      <c r="T14" s="51"/>
      <c r="U14" s="1"/>
      <c r="V14" s="52" t="s">
        <v>0</v>
      </c>
      <c r="W14" s="11" t="s">
        <v>3</v>
      </c>
      <c r="X14" s="88">
        <v>0</v>
      </c>
      <c r="Y14" s="88">
        <f>X14*K14</f>
        <v>0</v>
      </c>
      <c r="Z14" s="88">
        <v>0</v>
      </c>
      <c r="AA14" s="88">
        <f>Z14*K14</f>
        <v>0</v>
      </c>
      <c r="AB14" s="88">
        <v>0</v>
      </c>
      <c r="AC14" s="54">
        <f>AB14*K14</f>
        <v>0</v>
      </c>
      <c r="AD14" s="1"/>
      <c r="AE14" s="1"/>
      <c r="AT14" s="47" t="s">
        <v>29</v>
      </c>
      <c r="AV14" s="48" t="s">
        <v>22</v>
      </c>
      <c r="AW14" s="48" t="s">
        <v>29</v>
      </c>
      <c r="BA14" s="47" t="s">
        <v>59</v>
      </c>
      <c r="BM14" s="49">
        <f>SUM(BM15:BM17)</f>
        <v>0</v>
      </c>
    </row>
    <row r="15" spans="2:67" s="1" customFormat="1" ht="31.5" customHeight="1">
      <c r="B15" s="50"/>
      <c r="C15" s="56" t="s">
        <v>62</v>
      </c>
      <c r="D15" s="56" t="s">
        <v>60</v>
      </c>
      <c r="E15" s="57" t="s">
        <v>170</v>
      </c>
      <c r="F15" s="209" t="s">
        <v>171</v>
      </c>
      <c r="G15" s="204"/>
      <c r="H15" s="204"/>
      <c r="I15" s="204"/>
      <c r="J15" s="58" t="s">
        <v>61</v>
      </c>
      <c r="K15" s="59">
        <v>15.27</v>
      </c>
      <c r="L15" s="203"/>
      <c r="M15" s="204"/>
      <c r="N15" s="233">
        <f t="shared" si="0"/>
        <v>0</v>
      </c>
      <c r="O15" s="234"/>
      <c r="P15" s="234"/>
      <c r="Q15" s="234"/>
      <c r="R15" s="179">
        <f t="shared" si="1"/>
        <v>0</v>
      </c>
      <c r="S15" s="58" t="s">
        <v>158</v>
      </c>
      <c r="T15" s="51"/>
      <c r="V15" s="52" t="s">
        <v>0</v>
      </c>
      <c r="W15" s="11" t="s">
        <v>3</v>
      </c>
      <c r="X15" s="88">
        <v>0</v>
      </c>
      <c r="Y15" s="88">
        <f>X15*K15</f>
        <v>0</v>
      </c>
      <c r="Z15" s="88">
        <v>0</v>
      </c>
      <c r="AA15" s="88">
        <f>Z15*K15</f>
        <v>0</v>
      </c>
      <c r="AB15" s="88">
        <v>0</v>
      </c>
      <c r="AC15" s="54">
        <f>AB15*K15</f>
        <v>0</v>
      </c>
      <c r="AT15" s="7" t="s">
        <v>62</v>
      </c>
      <c r="AV15" s="7" t="s">
        <v>60</v>
      </c>
      <c r="AW15" s="7" t="s">
        <v>63</v>
      </c>
      <c r="BA15" s="7" t="s">
        <v>59</v>
      </c>
      <c r="BG15" s="55">
        <f>IF(W21="základná",N21,0)</f>
        <v>0</v>
      </c>
      <c r="BH15" s="55">
        <f>IF(W21="znížená",N21,0)</f>
        <v>0</v>
      </c>
      <c r="BI15" s="55">
        <f>IF(W21="zákl. prenesená",N21,0)</f>
        <v>0</v>
      </c>
      <c r="BJ15" s="55">
        <f>IF(W21="zníž. prenesená",N21,0)</f>
        <v>0</v>
      </c>
      <c r="BK15" s="55">
        <f>IF(W21="nulová",N21,0)</f>
        <v>0</v>
      </c>
      <c r="BL15" s="7" t="s">
        <v>63</v>
      </c>
      <c r="BM15" s="55">
        <f>ROUND(L21*K21,2)</f>
        <v>0</v>
      </c>
      <c r="BN15" s="7" t="s">
        <v>62</v>
      </c>
      <c r="BO15" s="7" t="s">
        <v>75</v>
      </c>
    </row>
    <row r="16" spans="2:67" s="1" customFormat="1" ht="44.25" customHeight="1">
      <c r="B16" s="50"/>
      <c r="C16" s="56" t="s">
        <v>69</v>
      </c>
      <c r="D16" s="56" t="s">
        <v>60</v>
      </c>
      <c r="E16" s="57" t="s">
        <v>72</v>
      </c>
      <c r="F16" s="209" t="s">
        <v>73</v>
      </c>
      <c r="G16" s="204"/>
      <c r="H16" s="204"/>
      <c r="I16" s="204"/>
      <c r="J16" s="58" t="s">
        <v>74</v>
      </c>
      <c r="K16" s="59">
        <v>27.486</v>
      </c>
      <c r="L16" s="203"/>
      <c r="M16" s="204"/>
      <c r="N16" s="233">
        <f t="shared" si="0"/>
        <v>0</v>
      </c>
      <c r="O16" s="234"/>
      <c r="P16" s="234"/>
      <c r="Q16" s="234"/>
      <c r="R16" s="179">
        <f t="shared" si="1"/>
        <v>0</v>
      </c>
      <c r="S16" s="58" t="s">
        <v>158</v>
      </c>
      <c r="T16" s="51"/>
      <c r="V16" s="52" t="s">
        <v>0</v>
      </c>
      <c r="W16" s="11" t="s">
        <v>3</v>
      </c>
      <c r="X16" s="88">
        <v>0</v>
      </c>
      <c r="Y16" s="88">
        <f>X16*K16</f>
        <v>0</v>
      </c>
      <c r="Z16" s="88">
        <v>0</v>
      </c>
      <c r="AA16" s="88">
        <f>Z16*K16</f>
        <v>0</v>
      </c>
      <c r="AB16" s="88">
        <v>0</v>
      </c>
      <c r="AC16" s="54">
        <f>AB16*K16</f>
        <v>0</v>
      </c>
      <c r="AT16" s="7" t="s">
        <v>78</v>
      </c>
      <c r="AV16" s="7" t="s">
        <v>118</v>
      </c>
      <c r="AW16" s="7" t="s">
        <v>63</v>
      </c>
      <c r="BA16" s="7" t="s">
        <v>59</v>
      </c>
      <c r="BG16" s="55">
        <f>IF(W22="základná",N22,0)</f>
        <v>0</v>
      </c>
      <c r="BH16" s="55">
        <f>IF(W22="znížená",N22,0)</f>
        <v>0</v>
      </c>
      <c r="BI16" s="55">
        <f>IF(W22="zákl. prenesená",N22,0)</f>
        <v>0</v>
      </c>
      <c r="BJ16" s="55">
        <f>IF(W22="zníž. prenesená",N22,0)</f>
        <v>0</v>
      </c>
      <c r="BK16" s="55">
        <f>IF(W22="nulová",N22,0)</f>
        <v>0</v>
      </c>
      <c r="BL16" s="7" t="s">
        <v>63</v>
      </c>
      <c r="BM16" s="55">
        <f>ROUND(L22*K22,2)</f>
        <v>0</v>
      </c>
      <c r="BN16" s="7" t="s">
        <v>62</v>
      </c>
      <c r="BO16" s="7" t="s">
        <v>78</v>
      </c>
    </row>
    <row r="17" spans="2:67" s="1" customFormat="1" ht="31.5" customHeight="1">
      <c r="B17" s="50"/>
      <c r="C17" s="56" t="s">
        <v>71</v>
      </c>
      <c r="D17" s="56" t="s">
        <v>60</v>
      </c>
      <c r="E17" s="57" t="s">
        <v>76</v>
      </c>
      <c r="F17" s="209" t="s">
        <v>77</v>
      </c>
      <c r="G17" s="204"/>
      <c r="H17" s="204"/>
      <c r="I17" s="204"/>
      <c r="J17" s="58" t="s">
        <v>61</v>
      </c>
      <c r="K17" s="59">
        <v>0.5</v>
      </c>
      <c r="L17" s="203"/>
      <c r="M17" s="204"/>
      <c r="N17" s="233">
        <f t="shared" si="0"/>
        <v>0</v>
      </c>
      <c r="O17" s="234"/>
      <c r="P17" s="234"/>
      <c r="Q17" s="234"/>
      <c r="R17" s="179">
        <f t="shared" si="1"/>
        <v>0</v>
      </c>
      <c r="S17" s="58" t="s">
        <v>158</v>
      </c>
      <c r="T17" s="43"/>
      <c r="U17" s="81"/>
      <c r="V17" s="44"/>
      <c r="W17" s="81"/>
      <c r="X17" s="81"/>
      <c r="Y17" s="82">
        <f>Y18</f>
        <v>0</v>
      </c>
      <c r="Z17" s="81"/>
      <c r="AA17" s="82">
        <f>AA18</f>
        <v>0</v>
      </c>
      <c r="AB17" s="81"/>
      <c r="AC17" s="83">
        <f>AC18</f>
        <v>0</v>
      </c>
      <c r="AD17" s="81"/>
      <c r="AE17" s="81"/>
      <c r="AT17" s="7" t="s">
        <v>62</v>
      </c>
      <c r="AV17" s="7" t="s">
        <v>60</v>
      </c>
      <c r="AW17" s="7" t="s">
        <v>63</v>
      </c>
      <c r="BA17" s="7" t="s">
        <v>59</v>
      </c>
      <c r="BG17" s="55">
        <f>IF(W23="základná",N23,0)</f>
        <v>0</v>
      </c>
      <c r="BH17" s="55">
        <f>IF(W23="znížená",N23,0)</f>
        <v>0</v>
      </c>
      <c r="BI17" s="55">
        <f>IF(W23="zákl. prenesená",N23,0)</f>
        <v>0</v>
      </c>
      <c r="BJ17" s="55">
        <f>IF(W23="zníž. prenesená",N23,0)</f>
        <v>0</v>
      </c>
      <c r="BK17" s="55">
        <f>IF(W23="nulová",N23,0)</f>
        <v>0</v>
      </c>
      <c r="BL17" s="7" t="s">
        <v>63</v>
      </c>
      <c r="BM17" s="55">
        <f>ROUND(L23*K23,2)</f>
        <v>0</v>
      </c>
      <c r="BN17" s="7" t="s">
        <v>62</v>
      </c>
      <c r="BO17" s="7" t="s">
        <v>80</v>
      </c>
    </row>
    <row r="18" spans="2:65" s="81" customFormat="1" ht="36.75" customHeight="1">
      <c r="B18" s="41"/>
      <c r="C18" s="60" t="s">
        <v>75</v>
      </c>
      <c r="D18" s="60" t="s">
        <v>118</v>
      </c>
      <c r="E18" s="61" t="s">
        <v>221</v>
      </c>
      <c r="F18" s="239" t="s">
        <v>222</v>
      </c>
      <c r="G18" s="240"/>
      <c r="H18" s="240"/>
      <c r="I18" s="240"/>
      <c r="J18" s="62" t="s">
        <v>74</v>
      </c>
      <c r="K18" s="63">
        <v>1</v>
      </c>
      <c r="L18" s="241"/>
      <c r="M18" s="240"/>
      <c r="N18" s="233">
        <f t="shared" si="0"/>
        <v>0</v>
      </c>
      <c r="O18" s="234"/>
      <c r="P18" s="234"/>
      <c r="Q18" s="234"/>
      <c r="R18" s="179">
        <f t="shared" si="1"/>
        <v>0</v>
      </c>
      <c r="S18" s="58" t="s">
        <v>158</v>
      </c>
      <c r="T18" s="51"/>
      <c r="U18" s="1"/>
      <c r="V18" s="52" t="s">
        <v>0</v>
      </c>
      <c r="W18" s="11" t="s">
        <v>3</v>
      </c>
      <c r="X18" s="88">
        <v>0</v>
      </c>
      <c r="Y18" s="88">
        <f>X18*K18</f>
        <v>0</v>
      </c>
      <c r="Z18" s="88">
        <v>0</v>
      </c>
      <c r="AA18" s="88">
        <f>Z18*K18</f>
        <v>0</v>
      </c>
      <c r="AB18" s="88">
        <v>0</v>
      </c>
      <c r="AC18" s="54">
        <f>AB18*K18</f>
        <v>0</v>
      </c>
      <c r="AD18" s="1"/>
      <c r="AE18" s="1"/>
      <c r="AT18" s="47" t="s">
        <v>29</v>
      </c>
      <c r="AV18" s="48" t="s">
        <v>22</v>
      </c>
      <c r="AW18" s="48" t="s">
        <v>23</v>
      </c>
      <c r="BA18" s="47" t="s">
        <v>59</v>
      </c>
      <c r="BM18" s="49" t="e">
        <f>SUM(BM19:BM43)</f>
        <v>#REF!</v>
      </c>
    </row>
    <row r="19" spans="2:67" s="1" customFormat="1" ht="31.5" customHeight="1">
      <c r="B19" s="50"/>
      <c r="C19" s="56" t="s">
        <v>78</v>
      </c>
      <c r="D19" s="56" t="s">
        <v>60</v>
      </c>
      <c r="E19" s="57" t="s">
        <v>223</v>
      </c>
      <c r="F19" s="209" t="s">
        <v>224</v>
      </c>
      <c r="G19" s="204"/>
      <c r="H19" s="204"/>
      <c r="I19" s="204"/>
      <c r="J19" s="58" t="s">
        <v>91</v>
      </c>
      <c r="K19" s="59">
        <v>29</v>
      </c>
      <c r="L19" s="203"/>
      <c r="M19" s="204"/>
      <c r="N19" s="233">
        <f t="shared" si="0"/>
        <v>0</v>
      </c>
      <c r="O19" s="234"/>
      <c r="P19" s="234"/>
      <c r="Q19" s="234"/>
      <c r="R19" s="179">
        <f t="shared" si="1"/>
        <v>0</v>
      </c>
      <c r="S19" s="58" t="s">
        <v>158</v>
      </c>
      <c r="T19" s="43"/>
      <c r="U19" s="81"/>
      <c r="V19" s="44"/>
      <c r="W19" s="81"/>
      <c r="X19" s="81"/>
      <c r="Y19" s="82">
        <f>Y20</f>
        <v>0</v>
      </c>
      <c r="Z19" s="81"/>
      <c r="AA19" s="82">
        <f>AA20</f>
        <v>0</v>
      </c>
      <c r="AB19" s="81"/>
      <c r="AC19" s="83">
        <f>AC20</f>
        <v>0</v>
      </c>
      <c r="AD19" s="81"/>
      <c r="AE19" s="81"/>
      <c r="AT19" s="7" t="s">
        <v>62</v>
      </c>
      <c r="AV19" s="7" t="s">
        <v>60</v>
      </c>
      <c r="AW19" s="7" t="s">
        <v>29</v>
      </c>
      <c r="BA19" s="7" t="s">
        <v>59</v>
      </c>
      <c r="BG19" s="55">
        <f aca="true" t="shared" si="2" ref="BG19:BG42">IF(W25="základná",N25,0)</f>
        <v>0</v>
      </c>
      <c r="BH19" s="55">
        <f aca="true" t="shared" si="3" ref="BH19:BH42">IF(W25="znížená",N25,0)</f>
        <v>0</v>
      </c>
      <c r="BI19" s="55">
        <f aca="true" t="shared" si="4" ref="BI19:BI42">IF(W25="zákl. prenesená",N25,0)</f>
        <v>0</v>
      </c>
      <c r="BJ19" s="55">
        <f aca="true" t="shared" si="5" ref="BJ19:BJ42">IF(W25="zníž. prenesená",N25,0)</f>
        <v>0</v>
      </c>
      <c r="BK19" s="55">
        <f aca="true" t="shared" si="6" ref="BK19:BK42">IF(W25="nulová",N25,0)</f>
        <v>0</v>
      </c>
      <c r="BL19" s="7" t="s">
        <v>63</v>
      </c>
      <c r="BM19" s="55">
        <f aca="true" t="shared" si="7" ref="BM19:BM42">ROUND(L25*K25,2)</f>
        <v>0</v>
      </c>
      <c r="BN19" s="7" t="s">
        <v>62</v>
      </c>
      <c r="BO19" s="7" t="s">
        <v>82</v>
      </c>
    </row>
    <row r="20" spans="2:67" s="1" customFormat="1" ht="31.5" customHeight="1">
      <c r="B20" s="50"/>
      <c r="C20" s="60" t="s">
        <v>80</v>
      </c>
      <c r="D20" s="60" t="s">
        <v>118</v>
      </c>
      <c r="E20" s="61" t="s">
        <v>225</v>
      </c>
      <c r="F20" s="239" t="s">
        <v>226</v>
      </c>
      <c r="G20" s="240"/>
      <c r="H20" s="240"/>
      <c r="I20" s="240"/>
      <c r="J20" s="62" t="s">
        <v>151</v>
      </c>
      <c r="K20" s="63">
        <v>0.896</v>
      </c>
      <c r="L20" s="241"/>
      <c r="M20" s="240"/>
      <c r="N20" s="233">
        <f t="shared" si="0"/>
        <v>0</v>
      </c>
      <c r="O20" s="234"/>
      <c r="P20" s="234"/>
      <c r="Q20" s="234"/>
      <c r="R20" s="179">
        <f>ROUND((N20*1.2),2)</f>
        <v>0</v>
      </c>
      <c r="S20" s="58" t="s">
        <v>158</v>
      </c>
      <c r="T20" s="43"/>
      <c r="U20" s="81"/>
      <c r="V20" s="44"/>
      <c r="W20" s="81"/>
      <c r="X20" s="81"/>
      <c r="Y20" s="82">
        <f>SUM(Y21:Y23)</f>
        <v>0</v>
      </c>
      <c r="Z20" s="81"/>
      <c r="AA20" s="82">
        <f>SUM(AA21:AA23)</f>
        <v>0</v>
      </c>
      <c r="AB20" s="81"/>
      <c r="AC20" s="83">
        <f>SUM(AC21:AC23)</f>
        <v>0</v>
      </c>
      <c r="AD20" s="81"/>
      <c r="AE20" s="81"/>
      <c r="AT20" s="7" t="s">
        <v>62</v>
      </c>
      <c r="AV20" s="7" t="s">
        <v>60</v>
      </c>
      <c r="AW20" s="7" t="s">
        <v>29</v>
      </c>
      <c r="BA20" s="7" t="s">
        <v>59</v>
      </c>
      <c r="BG20" s="55">
        <f t="shared" si="2"/>
        <v>0</v>
      </c>
      <c r="BH20" s="55">
        <f t="shared" si="3"/>
        <v>0</v>
      </c>
      <c r="BI20" s="55">
        <f t="shared" si="4"/>
        <v>0</v>
      </c>
      <c r="BJ20" s="55">
        <f t="shared" si="5"/>
        <v>0</v>
      </c>
      <c r="BK20" s="55">
        <f t="shared" si="6"/>
        <v>0</v>
      </c>
      <c r="BL20" s="7" t="s">
        <v>63</v>
      </c>
      <c r="BM20" s="55">
        <f t="shared" si="7"/>
        <v>0</v>
      </c>
      <c r="BN20" s="7" t="s">
        <v>62</v>
      </c>
      <c r="BO20" s="7" t="s">
        <v>84</v>
      </c>
    </row>
    <row r="21" spans="2:67" s="1" customFormat="1" ht="31.5" customHeight="1">
      <c r="B21" s="50"/>
      <c r="C21" s="112"/>
      <c r="D21" s="114" t="s">
        <v>41</v>
      </c>
      <c r="E21" s="114"/>
      <c r="F21" s="114"/>
      <c r="G21" s="114"/>
      <c r="H21" s="114"/>
      <c r="I21" s="114"/>
      <c r="J21" s="114"/>
      <c r="K21" s="114"/>
      <c r="L21" s="114"/>
      <c r="M21" s="151"/>
      <c r="N21" s="250">
        <f>ROUND((SUM(N22:Q24)),2)</f>
        <v>0</v>
      </c>
      <c r="O21" s="250"/>
      <c r="P21" s="250"/>
      <c r="Q21" s="250"/>
      <c r="R21" s="114"/>
      <c r="S21" s="114"/>
      <c r="T21" s="51"/>
      <c r="V21" s="52" t="s">
        <v>0</v>
      </c>
      <c r="W21" s="11" t="s">
        <v>3</v>
      </c>
      <c r="X21" s="88">
        <v>0</v>
      </c>
      <c r="Y21" s="88">
        <f>X21*K21</f>
        <v>0</v>
      </c>
      <c r="Z21" s="88">
        <v>0</v>
      </c>
      <c r="AA21" s="88">
        <f>Z21*K21</f>
        <v>0</v>
      </c>
      <c r="AB21" s="88">
        <v>0</v>
      </c>
      <c r="AC21" s="54">
        <f>AB21*K21</f>
        <v>0</v>
      </c>
      <c r="AT21" s="7" t="s">
        <v>62</v>
      </c>
      <c r="AV21" s="7" t="s">
        <v>60</v>
      </c>
      <c r="AW21" s="7" t="s">
        <v>29</v>
      </c>
      <c r="BA21" s="7" t="s">
        <v>59</v>
      </c>
      <c r="BG21" s="55">
        <f t="shared" si="2"/>
        <v>0</v>
      </c>
      <c r="BH21" s="55">
        <f t="shared" si="3"/>
        <v>0</v>
      </c>
      <c r="BI21" s="55">
        <f t="shared" si="4"/>
        <v>0</v>
      </c>
      <c r="BJ21" s="55">
        <f t="shared" si="5"/>
        <v>0</v>
      </c>
      <c r="BK21" s="55">
        <f t="shared" si="6"/>
        <v>0</v>
      </c>
      <c r="BL21" s="7" t="s">
        <v>63</v>
      </c>
      <c r="BM21" s="55">
        <f t="shared" si="7"/>
        <v>0</v>
      </c>
      <c r="BN21" s="7" t="s">
        <v>62</v>
      </c>
      <c r="BO21" s="7" t="s">
        <v>86</v>
      </c>
    </row>
    <row r="22" spans="2:67" s="1" customFormat="1" ht="42" customHeight="1">
      <c r="B22" s="50"/>
      <c r="C22" s="56" t="s">
        <v>82</v>
      </c>
      <c r="D22" s="56" t="s">
        <v>60</v>
      </c>
      <c r="E22" s="57" t="s">
        <v>172</v>
      </c>
      <c r="F22" s="209" t="s">
        <v>173</v>
      </c>
      <c r="G22" s="204"/>
      <c r="H22" s="204"/>
      <c r="I22" s="204"/>
      <c r="J22" s="58" t="s">
        <v>61</v>
      </c>
      <c r="K22" s="59">
        <v>6.342</v>
      </c>
      <c r="L22" s="203"/>
      <c r="M22" s="204"/>
      <c r="N22" s="233">
        <f>ROUND((K22*L22),2)</f>
        <v>0</v>
      </c>
      <c r="O22" s="234"/>
      <c r="P22" s="234"/>
      <c r="Q22" s="234"/>
      <c r="R22" s="179">
        <f>ROUND((N22*1.2),2)</f>
        <v>0</v>
      </c>
      <c r="S22" s="58" t="s">
        <v>158</v>
      </c>
      <c r="T22" s="51"/>
      <c r="V22" s="52" t="s">
        <v>0</v>
      </c>
      <c r="W22" s="11" t="s">
        <v>3</v>
      </c>
      <c r="X22" s="88">
        <v>0</v>
      </c>
      <c r="Y22" s="88">
        <f>X22*K22</f>
        <v>0</v>
      </c>
      <c r="Z22" s="88">
        <v>0</v>
      </c>
      <c r="AA22" s="88">
        <f>Z22*K22</f>
        <v>0</v>
      </c>
      <c r="AB22" s="88">
        <v>0</v>
      </c>
      <c r="AC22" s="54">
        <f>AB22*K22</f>
        <v>0</v>
      </c>
      <c r="AT22" s="7" t="s">
        <v>62</v>
      </c>
      <c r="AV22" s="7" t="s">
        <v>60</v>
      </c>
      <c r="AW22" s="7" t="s">
        <v>29</v>
      </c>
      <c r="BA22" s="7" t="s">
        <v>59</v>
      </c>
      <c r="BG22" s="55">
        <f t="shared" si="2"/>
        <v>0</v>
      </c>
      <c r="BH22" s="55">
        <f t="shared" si="3"/>
        <v>0</v>
      </c>
      <c r="BI22" s="55">
        <f t="shared" si="4"/>
        <v>0</v>
      </c>
      <c r="BJ22" s="55">
        <f t="shared" si="5"/>
        <v>0</v>
      </c>
      <c r="BK22" s="55">
        <f t="shared" si="6"/>
        <v>0</v>
      </c>
      <c r="BL22" s="7" t="s">
        <v>63</v>
      </c>
      <c r="BM22" s="55">
        <f t="shared" si="7"/>
        <v>0</v>
      </c>
      <c r="BN22" s="7" t="s">
        <v>62</v>
      </c>
      <c r="BO22" s="7" t="s">
        <v>88</v>
      </c>
    </row>
    <row r="23" spans="2:67" s="1" customFormat="1" ht="27" customHeight="1">
      <c r="B23" s="50"/>
      <c r="C23" s="56" t="s">
        <v>84</v>
      </c>
      <c r="D23" s="56" t="s">
        <v>60</v>
      </c>
      <c r="E23" s="57" t="s">
        <v>174</v>
      </c>
      <c r="F23" s="209" t="s">
        <v>175</v>
      </c>
      <c r="G23" s="204"/>
      <c r="H23" s="204"/>
      <c r="I23" s="204"/>
      <c r="J23" s="58" t="s">
        <v>91</v>
      </c>
      <c r="K23" s="59">
        <v>73.2</v>
      </c>
      <c r="L23" s="203"/>
      <c r="M23" s="204"/>
      <c r="N23" s="233">
        <f>ROUND((K23*L23),2)</f>
        <v>0</v>
      </c>
      <c r="O23" s="234"/>
      <c r="P23" s="234"/>
      <c r="Q23" s="234"/>
      <c r="R23" s="179">
        <f aca="true" t="shared" si="8" ref="R23:R39">ROUND((N23*1.2),2)</f>
        <v>0</v>
      </c>
      <c r="S23" s="58" t="s">
        <v>158</v>
      </c>
      <c r="T23" s="51"/>
      <c r="V23" s="52" t="s">
        <v>0</v>
      </c>
      <c r="W23" s="11" t="s">
        <v>3</v>
      </c>
      <c r="X23" s="88">
        <v>0</v>
      </c>
      <c r="Y23" s="88">
        <f>X23*K23</f>
        <v>0</v>
      </c>
      <c r="Z23" s="88">
        <v>0</v>
      </c>
      <c r="AA23" s="88">
        <f>Z23*K23</f>
        <v>0</v>
      </c>
      <c r="AB23" s="88">
        <v>0</v>
      </c>
      <c r="AC23" s="54">
        <f>AB23*K23</f>
        <v>0</v>
      </c>
      <c r="AT23" s="7" t="s">
        <v>62</v>
      </c>
      <c r="AV23" s="7" t="s">
        <v>60</v>
      </c>
      <c r="AW23" s="7" t="s">
        <v>29</v>
      </c>
      <c r="BA23" s="7" t="s">
        <v>59</v>
      </c>
      <c r="BG23" s="55">
        <f t="shared" si="2"/>
        <v>0</v>
      </c>
      <c r="BH23" s="55">
        <f t="shared" si="3"/>
        <v>0</v>
      </c>
      <c r="BI23" s="55">
        <f t="shared" si="4"/>
        <v>0</v>
      </c>
      <c r="BJ23" s="55">
        <f t="shared" si="5"/>
        <v>0</v>
      </c>
      <c r="BK23" s="55">
        <f t="shared" si="6"/>
        <v>0</v>
      </c>
      <c r="BL23" s="7" t="s">
        <v>63</v>
      </c>
      <c r="BM23" s="55">
        <f t="shared" si="7"/>
        <v>0</v>
      </c>
      <c r="BN23" s="7" t="s">
        <v>62</v>
      </c>
      <c r="BO23" s="7" t="s">
        <v>90</v>
      </c>
    </row>
    <row r="24" spans="2:67" s="1" customFormat="1" ht="43.5" customHeight="1">
      <c r="B24" s="50"/>
      <c r="C24" s="56" t="s">
        <v>86</v>
      </c>
      <c r="D24" s="56" t="s">
        <v>60</v>
      </c>
      <c r="E24" s="57" t="s">
        <v>176</v>
      </c>
      <c r="F24" s="209" t="s">
        <v>177</v>
      </c>
      <c r="G24" s="204"/>
      <c r="H24" s="204"/>
      <c r="I24" s="204"/>
      <c r="J24" s="58" t="s">
        <v>61</v>
      </c>
      <c r="K24" s="59">
        <v>0.288</v>
      </c>
      <c r="L24" s="203"/>
      <c r="M24" s="204"/>
      <c r="N24" s="233">
        <f>ROUND((K24*L24),2)</f>
        <v>0</v>
      </c>
      <c r="O24" s="234"/>
      <c r="P24" s="234"/>
      <c r="Q24" s="234"/>
      <c r="R24" s="179">
        <f t="shared" si="8"/>
        <v>0</v>
      </c>
      <c r="S24" s="121" t="s">
        <v>158</v>
      </c>
      <c r="T24" s="43"/>
      <c r="U24" s="81"/>
      <c r="V24" s="44"/>
      <c r="W24" s="81"/>
      <c r="X24" s="81"/>
      <c r="Y24" s="82">
        <f>SUM(Y25:Y48)</f>
        <v>0</v>
      </c>
      <c r="Z24" s="81"/>
      <c r="AA24" s="82">
        <f>SUM(AA25:AA48)</f>
        <v>0</v>
      </c>
      <c r="AB24" s="81"/>
      <c r="AC24" s="83">
        <f>SUM(AC25:AC48)</f>
        <v>0</v>
      </c>
      <c r="AD24" s="81"/>
      <c r="AE24" s="81"/>
      <c r="AT24" s="7" t="s">
        <v>78</v>
      </c>
      <c r="AV24" s="7" t="s">
        <v>118</v>
      </c>
      <c r="AW24" s="7" t="s">
        <v>29</v>
      </c>
      <c r="BA24" s="7" t="s">
        <v>59</v>
      </c>
      <c r="BG24" s="55">
        <f t="shared" si="2"/>
        <v>0</v>
      </c>
      <c r="BH24" s="55">
        <f t="shared" si="3"/>
        <v>0</v>
      </c>
      <c r="BI24" s="55">
        <f t="shared" si="4"/>
        <v>0</v>
      </c>
      <c r="BJ24" s="55">
        <f t="shared" si="5"/>
        <v>0</v>
      </c>
      <c r="BK24" s="55">
        <f t="shared" si="6"/>
        <v>0</v>
      </c>
      <c r="BL24" s="7" t="s">
        <v>63</v>
      </c>
      <c r="BM24" s="55">
        <f t="shared" si="7"/>
        <v>0</v>
      </c>
      <c r="BN24" s="7" t="s">
        <v>62</v>
      </c>
      <c r="BO24" s="7" t="s">
        <v>93</v>
      </c>
    </row>
    <row r="25" spans="2:67" s="1" customFormat="1" ht="39.75" customHeight="1">
      <c r="B25" s="50"/>
      <c r="C25" s="112"/>
      <c r="D25" s="114" t="s">
        <v>178</v>
      </c>
      <c r="E25" s="114"/>
      <c r="F25" s="114"/>
      <c r="G25" s="114"/>
      <c r="H25" s="114"/>
      <c r="I25" s="114"/>
      <c r="J25" s="114"/>
      <c r="K25" s="114"/>
      <c r="L25" s="114"/>
      <c r="M25" s="151"/>
      <c r="N25" s="250">
        <f>ROUND((SUM(N26:Q34)),2)</f>
        <v>0</v>
      </c>
      <c r="O25" s="251"/>
      <c r="P25" s="251"/>
      <c r="Q25" s="251"/>
      <c r="R25" s="114"/>
      <c r="S25" s="114"/>
      <c r="T25" s="51"/>
      <c r="V25" s="52" t="s">
        <v>0</v>
      </c>
      <c r="W25" s="11" t="s">
        <v>3</v>
      </c>
      <c r="X25" s="88">
        <v>0</v>
      </c>
      <c r="Y25" s="88">
        <f aca="true" t="shared" si="9" ref="Y25:Y48">X25*K25</f>
        <v>0</v>
      </c>
      <c r="Z25" s="88">
        <v>0</v>
      </c>
      <c r="AA25" s="88">
        <f aca="true" t="shared" si="10" ref="AA25:AA48">Z25*K25</f>
        <v>0</v>
      </c>
      <c r="AB25" s="88">
        <v>0</v>
      </c>
      <c r="AC25" s="54">
        <f aca="true" t="shared" si="11" ref="AC25:AC48">AB25*K25</f>
        <v>0</v>
      </c>
      <c r="AT25" s="7" t="s">
        <v>62</v>
      </c>
      <c r="AV25" s="7" t="s">
        <v>60</v>
      </c>
      <c r="AW25" s="7" t="s">
        <v>29</v>
      </c>
      <c r="BA25" s="7" t="s">
        <v>59</v>
      </c>
      <c r="BG25" s="55">
        <f t="shared" si="2"/>
        <v>0</v>
      </c>
      <c r="BH25" s="55">
        <f t="shared" si="3"/>
        <v>0</v>
      </c>
      <c r="BI25" s="55">
        <f t="shared" si="4"/>
        <v>0</v>
      </c>
      <c r="BJ25" s="55">
        <f t="shared" si="5"/>
        <v>0</v>
      </c>
      <c r="BK25" s="55">
        <f t="shared" si="6"/>
        <v>0</v>
      </c>
      <c r="BL25" s="7" t="s">
        <v>63</v>
      </c>
      <c r="BM25" s="55">
        <f t="shared" si="7"/>
        <v>0</v>
      </c>
      <c r="BN25" s="7" t="s">
        <v>62</v>
      </c>
      <c r="BO25" s="7" t="s">
        <v>95</v>
      </c>
    </row>
    <row r="26" spans="2:67" s="1" customFormat="1" ht="39.75" customHeight="1">
      <c r="B26" s="50"/>
      <c r="C26" s="56" t="s">
        <v>88</v>
      </c>
      <c r="D26" s="56" t="s">
        <v>60</v>
      </c>
      <c r="E26" s="57" t="s">
        <v>258</v>
      </c>
      <c r="F26" s="209" t="s">
        <v>259</v>
      </c>
      <c r="G26" s="204"/>
      <c r="H26" s="204"/>
      <c r="I26" s="204"/>
      <c r="J26" s="58" t="s">
        <v>91</v>
      </c>
      <c r="K26" s="59">
        <v>9</v>
      </c>
      <c r="L26" s="203"/>
      <c r="M26" s="204"/>
      <c r="N26" s="233">
        <f>ROUND((K26*L26),2)</f>
        <v>0</v>
      </c>
      <c r="O26" s="234"/>
      <c r="P26" s="234"/>
      <c r="Q26" s="234"/>
      <c r="R26" s="179">
        <f t="shared" si="8"/>
        <v>0</v>
      </c>
      <c r="S26" s="58" t="s">
        <v>158</v>
      </c>
      <c r="T26" s="51"/>
      <c r="V26" s="52" t="s">
        <v>0</v>
      </c>
      <c r="W26" s="11" t="s">
        <v>3</v>
      </c>
      <c r="X26" s="88">
        <v>0</v>
      </c>
      <c r="Y26" s="88">
        <f t="shared" si="9"/>
        <v>0</v>
      </c>
      <c r="Z26" s="88">
        <v>0</v>
      </c>
      <c r="AA26" s="88">
        <f t="shared" si="10"/>
        <v>0</v>
      </c>
      <c r="AB26" s="88">
        <v>0</v>
      </c>
      <c r="AC26" s="54">
        <f t="shared" si="11"/>
        <v>0</v>
      </c>
      <c r="AT26" s="7" t="s">
        <v>62</v>
      </c>
      <c r="AV26" s="7" t="s">
        <v>60</v>
      </c>
      <c r="AW26" s="7" t="s">
        <v>29</v>
      </c>
      <c r="BA26" s="7" t="s">
        <v>59</v>
      </c>
      <c r="BG26" s="55">
        <f t="shared" si="2"/>
        <v>0</v>
      </c>
      <c r="BH26" s="55">
        <f t="shared" si="3"/>
        <v>0</v>
      </c>
      <c r="BI26" s="55">
        <f t="shared" si="4"/>
        <v>0</v>
      </c>
      <c r="BJ26" s="55">
        <f t="shared" si="5"/>
        <v>0</v>
      </c>
      <c r="BK26" s="55">
        <f t="shared" si="6"/>
        <v>0</v>
      </c>
      <c r="BL26" s="7" t="s">
        <v>63</v>
      </c>
      <c r="BM26" s="55">
        <f t="shared" si="7"/>
        <v>0</v>
      </c>
      <c r="BN26" s="7" t="s">
        <v>62</v>
      </c>
      <c r="BO26" s="7" t="s">
        <v>98</v>
      </c>
    </row>
    <row r="27" spans="2:67" s="1" customFormat="1" ht="39" customHeight="1">
      <c r="B27" s="50"/>
      <c r="C27" s="56" t="s">
        <v>90</v>
      </c>
      <c r="D27" s="56" t="s">
        <v>60</v>
      </c>
      <c r="E27" s="57" t="s">
        <v>179</v>
      </c>
      <c r="F27" s="209" t="s">
        <v>180</v>
      </c>
      <c r="G27" s="204"/>
      <c r="H27" s="204"/>
      <c r="I27" s="204"/>
      <c r="J27" s="58" t="s">
        <v>91</v>
      </c>
      <c r="K27" s="59">
        <v>37.2</v>
      </c>
      <c r="L27" s="203"/>
      <c r="M27" s="204"/>
      <c r="N27" s="233">
        <f aca="true" t="shared" si="12" ref="N27:N34">ROUND((K27*L27),2)</f>
        <v>0</v>
      </c>
      <c r="O27" s="234"/>
      <c r="P27" s="234"/>
      <c r="Q27" s="234"/>
      <c r="R27" s="179">
        <f t="shared" si="8"/>
        <v>0</v>
      </c>
      <c r="S27" s="58" t="s">
        <v>158</v>
      </c>
      <c r="T27" s="51"/>
      <c r="V27" s="52" t="s">
        <v>0</v>
      </c>
      <c r="W27" s="11" t="s">
        <v>3</v>
      </c>
      <c r="X27" s="88">
        <v>0</v>
      </c>
      <c r="Y27" s="88">
        <f t="shared" si="9"/>
        <v>0</v>
      </c>
      <c r="Z27" s="88">
        <v>0</v>
      </c>
      <c r="AA27" s="88">
        <f t="shared" si="10"/>
        <v>0</v>
      </c>
      <c r="AB27" s="88">
        <v>0</v>
      </c>
      <c r="AC27" s="54">
        <f t="shared" si="11"/>
        <v>0</v>
      </c>
      <c r="AT27" s="7" t="s">
        <v>62</v>
      </c>
      <c r="AV27" s="7" t="s">
        <v>60</v>
      </c>
      <c r="AW27" s="7" t="s">
        <v>29</v>
      </c>
      <c r="BA27" s="7" t="s">
        <v>59</v>
      </c>
      <c r="BG27" s="55">
        <f t="shared" si="2"/>
        <v>0</v>
      </c>
      <c r="BH27" s="55">
        <f t="shared" si="3"/>
        <v>0</v>
      </c>
      <c r="BI27" s="55">
        <f t="shared" si="4"/>
        <v>0</v>
      </c>
      <c r="BJ27" s="55">
        <f t="shared" si="5"/>
        <v>0</v>
      </c>
      <c r="BK27" s="55">
        <f t="shared" si="6"/>
        <v>0</v>
      </c>
      <c r="BL27" s="7" t="s">
        <v>63</v>
      </c>
      <c r="BM27" s="55">
        <f t="shared" si="7"/>
        <v>0</v>
      </c>
      <c r="BN27" s="7" t="s">
        <v>62</v>
      </c>
      <c r="BO27" s="7" t="s">
        <v>100</v>
      </c>
    </row>
    <row r="28" spans="2:67" s="1" customFormat="1" ht="40.5" customHeight="1">
      <c r="B28" s="50"/>
      <c r="C28" s="56" t="s">
        <v>93</v>
      </c>
      <c r="D28" s="56" t="s">
        <v>60</v>
      </c>
      <c r="E28" s="57" t="s">
        <v>181</v>
      </c>
      <c r="F28" s="209" t="s">
        <v>182</v>
      </c>
      <c r="G28" s="204"/>
      <c r="H28" s="204"/>
      <c r="I28" s="204"/>
      <c r="J28" s="58" t="s">
        <v>91</v>
      </c>
      <c r="K28" s="59">
        <v>48</v>
      </c>
      <c r="L28" s="203"/>
      <c r="M28" s="204"/>
      <c r="N28" s="233">
        <f t="shared" si="12"/>
        <v>0</v>
      </c>
      <c r="O28" s="234"/>
      <c r="P28" s="234"/>
      <c r="Q28" s="234"/>
      <c r="R28" s="179">
        <f t="shared" si="8"/>
        <v>0</v>
      </c>
      <c r="S28" s="58" t="s">
        <v>158</v>
      </c>
      <c r="T28" s="51"/>
      <c r="V28" s="52" t="s">
        <v>0</v>
      </c>
      <c r="W28" s="11" t="s">
        <v>3</v>
      </c>
      <c r="X28" s="88">
        <v>0</v>
      </c>
      <c r="Y28" s="88">
        <f t="shared" si="9"/>
        <v>0</v>
      </c>
      <c r="Z28" s="88">
        <v>0</v>
      </c>
      <c r="AA28" s="88">
        <f t="shared" si="10"/>
        <v>0</v>
      </c>
      <c r="AB28" s="88">
        <v>0</v>
      </c>
      <c r="AC28" s="54">
        <f t="shared" si="11"/>
        <v>0</v>
      </c>
      <c r="AT28" s="7" t="s">
        <v>62</v>
      </c>
      <c r="AV28" s="7" t="s">
        <v>60</v>
      </c>
      <c r="AW28" s="7" t="s">
        <v>29</v>
      </c>
      <c r="BA28" s="7" t="s">
        <v>59</v>
      </c>
      <c r="BG28" s="55">
        <f t="shared" si="2"/>
        <v>0</v>
      </c>
      <c r="BH28" s="55">
        <f t="shared" si="3"/>
        <v>0</v>
      </c>
      <c r="BI28" s="55">
        <f t="shared" si="4"/>
        <v>0</v>
      </c>
      <c r="BJ28" s="55">
        <f t="shared" si="5"/>
        <v>0</v>
      </c>
      <c r="BK28" s="55">
        <f t="shared" si="6"/>
        <v>0</v>
      </c>
      <c r="BL28" s="7" t="s">
        <v>63</v>
      </c>
      <c r="BM28" s="55">
        <f t="shared" si="7"/>
        <v>0</v>
      </c>
      <c r="BN28" s="7" t="s">
        <v>62</v>
      </c>
      <c r="BO28" s="7" t="s">
        <v>102</v>
      </c>
    </row>
    <row r="29" spans="2:67" s="1" customFormat="1" ht="38.25" customHeight="1">
      <c r="B29" s="50"/>
      <c r="C29" s="56" t="s">
        <v>95</v>
      </c>
      <c r="D29" s="56" t="s">
        <v>60</v>
      </c>
      <c r="E29" s="57" t="s">
        <v>183</v>
      </c>
      <c r="F29" s="209" t="s">
        <v>184</v>
      </c>
      <c r="G29" s="204"/>
      <c r="H29" s="204"/>
      <c r="I29" s="204"/>
      <c r="J29" s="58" t="s">
        <v>91</v>
      </c>
      <c r="K29" s="59">
        <v>24</v>
      </c>
      <c r="L29" s="203"/>
      <c r="M29" s="204"/>
      <c r="N29" s="233">
        <f t="shared" si="12"/>
        <v>0</v>
      </c>
      <c r="O29" s="234"/>
      <c r="P29" s="234"/>
      <c r="Q29" s="234"/>
      <c r="R29" s="179">
        <f t="shared" si="8"/>
        <v>0</v>
      </c>
      <c r="S29" s="58" t="s">
        <v>158</v>
      </c>
      <c r="T29" s="51"/>
      <c r="V29" s="52" t="s">
        <v>0</v>
      </c>
      <c r="W29" s="11" t="s">
        <v>3</v>
      </c>
      <c r="X29" s="88">
        <v>0</v>
      </c>
      <c r="Y29" s="88">
        <f t="shared" si="9"/>
        <v>0</v>
      </c>
      <c r="Z29" s="88">
        <v>0</v>
      </c>
      <c r="AA29" s="88">
        <f t="shared" si="10"/>
        <v>0</v>
      </c>
      <c r="AB29" s="88">
        <v>0</v>
      </c>
      <c r="AC29" s="54">
        <f t="shared" si="11"/>
        <v>0</v>
      </c>
      <c r="AT29" s="7" t="s">
        <v>62</v>
      </c>
      <c r="AV29" s="7" t="s">
        <v>60</v>
      </c>
      <c r="AW29" s="7" t="s">
        <v>29</v>
      </c>
      <c r="BA29" s="7" t="s">
        <v>59</v>
      </c>
      <c r="BG29" s="55">
        <f t="shared" si="2"/>
        <v>0</v>
      </c>
      <c r="BH29" s="55">
        <f t="shared" si="3"/>
        <v>0</v>
      </c>
      <c r="BI29" s="55">
        <f t="shared" si="4"/>
        <v>0</v>
      </c>
      <c r="BJ29" s="55">
        <f t="shared" si="5"/>
        <v>0</v>
      </c>
      <c r="BK29" s="55">
        <f t="shared" si="6"/>
        <v>0</v>
      </c>
      <c r="BL29" s="7" t="s">
        <v>63</v>
      </c>
      <c r="BM29" s="55">
        <f t="shared" si="7"/>
        <v>0</v>
      </c>
      <c r="BN29" s="7" t="s">
        <v>62</v>
      </c>
      <c r="BO29" s="7" t="s">
        <v>1</v>
      </c>
    </row>
    <row r="30" spans="2:67" s="1" customFormat="1" ht="37.5" customHeight="1">
      <c r="B30" s="50"/>
      <c r="C30" s="56" t="s">
        <v>98</v>
      </c>
      <c r="D30" s="56" t="s">
        <v>60</v>
      </c>
      <c r="E30" s="57" t="s">
        <v>185</v>
      </c>
      <c r="F30" s="209" t="s">
        <v>186</v>
      </c>
      <c r="G30" s="204"/>
      <c r="H30" s="204"/>
      <c r="I30" s="204"/>
      <c r="J30" s="58" t="s">
        <v>91</v>
      </c>
      <c r="K30" s="59">
        <v>24</v>
      </c>
      <c r="L30" s="203"/>
      <c r="M30" s="204"/>
      <c r="N30" s="233">
        <f t="shared" si="12"/>
        <v>0</v>
      </c>
      <c r="O30" s="234"/>
      <c r="P30" s="234"/>
      <c r="Q30" s="234"/>
      <c r="R30" s="179">
        <f t="shared" si="8"/>
        <v>0</v>
      </c>
      <c r="S30" s="58" t="s">
        <v>158</v>
      </c>
      <c r="T30" s="51"/>
      <c r="V30" s="52" t="s">
        <v>0</v>
      </c>
      <c r="W30" s="11" t="s">
        <v>3</v>
      </c>
      <c r="X30" s="88">
        <v>0</v>
      </c>
      <c r="Y30" s="88">
        <f t="shared" si="9"/>
        <v>0</v>
      </c>
      <c r="Z30" s="88">
        <v>0</v>
      </c>
      <c r="AA30" s="88">
        <f t="shared" si="10"/>
        <v>0</v>
      </c>
      <c r="AB30" s="88">
        <v>0</v>
      </c>
      <c r="AC30" s="54">
        <f t="shared" si="11"/>
        <v>0</v>
      </c>
      <c r="AT30" s="7" t="s">
        <v>62</v>
      </c>
      <c r="AV30" s="7" t="s">
        <v>60</v>
      </c>
      <c r="AW30" s="7" t="s">
        <v>29</v>
      </c>
      <c r="BA30" s="7" t="s">
        <v>59</v>
      </c>
      <c r="BG30" s="55">
        <f t="shared" si="2"/>
        <v>0</v>
      </c>
      <c r="BH30" s="55">
        <f t="shared" si="3"/>
        <v>0</v>
      </c>
      <c r="BI30" s="55">
        <f t="shared" si="4"/>
        <v>0</v>
      </c>
      <c r="BJ30" s="55">
        <f t="shared" si="5"/>
        <v>0</v>
      </c>
      <c r="BK30" s="55">
        <f t="shared" si="6"/>
        <v>0</v>
      </c>
      <c r="BL30" s="7" t="s">
        <v>63</v>
      </c>
      <c r="BM30" s="55">
        <f t="shared" si="7"/>
        <v>0</v>
      </c>
      <c r="BN30" s="7" t="s">
        <v>62</v>
      </c>
      <c r="BO30" s="7" t="s">
        <v>105</v>
      </c>
    </row>
    <row r="31" spans="2:67" s="1" customFormat="1" ht="31.5" customHeight="1">
      <c r="B31" s="50"/>
      <c r="C31" s="56" t="s">
        <v>100</v>
      </c>
      <c r="D31" s="56" t="s">
        <v>60</v>
      </c>
      <c r="E31" s="57" t="s">
        <v>231</v>
      </c>
      <c r="F31" s="209" t="s">
        <v>232</v>
      </c>
      <c r="G31" s="204"/>
      <c r="H31" s="204"/>
      <c r="I31" s="204"/>
      <c r="J31" s="58" t="s">
        <v>91</v>
      </c>
      <c r="K31" s="59">
        <v>9</v>
      </c>
      <c r="L31" s="203"/>
      <c r="M31" s="204"/>
      <c r="N31" s="233">
        <f t="shared" si="12"/>
        <v>0</v>
      </c>
      <c r="O31" s="234"/>
      <c r="P31" s="234"/>
      <c r="Q31" s="234"/>
      <c r="R31" s="179">
        <f t="shared" si="8"/>
        <v>0</v>
      </c>
      <c r="S31" s="58" t="s">
        <v>158</v>
      </c>
      <c r="T31" s="51"/>
      <c r="V31" s="52" t="s">
        <v>0</v>
      </c>
      <c r="W31" s="11" t="s">
        <v>3</v>
      </c>
      <c r="X31" s="88">
        <v>0</v>
      </c>
      <c r="Y31" s="88">
        <f t="shared" si="9"/>
        <v>0</v>
      </c>
      <c r="Z31" s="88">
        <v>0</v>
      </c>
      <c r="AA31" s="88">
        <f t="shared" si="10"/>
        <v>0</v>
      </c>
      <c r="AB31" s="88">
        <v>0</v>
      </c>
      <c r="AC31" s="54">
        <f t="shared" si="11"/>
        <v>0</v>
      </c>
      <c r="AT31" s="7" t="s">
        <v>62</v>
      </c>
      <c r="AV31" s="7" t="s">
        <v>60</v>
      </c>
      <c r="AW31" s="7" t="s">
        <v>29</v>
      </c>
      <c r="BA31" s="7" t="s">
        <v>59</v>
      </c>
      <c r="BG31" s="55">
        <f t="shared" si="2"/>
        <v>0</v>
      </c>
      <c r="BH31" s="55">
        <f t="shared" si="3"/>
        <v>0</v>
      </c>
      <c r="BI31" s="55">
        <f t="shared" si="4"/>
        <v>0</v>
      </c>
      <c r="BJ31" s="55">
        <f t="shared" si="5"/>
        <v>0</v>
      </c>
      <c r="BK31" s="55">
        <f t="shared" si="6"/>
        <v>0</v>
      </c>
      <c r="BL31" s="7" t="s">
        <v>63</v>
      </c>
      <c r="BM31" s="55">
        <f t="shared" si="7"/>
        <v>0</v>
      </c>
      <c r="BN31" s="7" t="s">
        <v>62</v>
      </c>
      <c r="BO31" s="7" t="s">
        <v>107</v>
      </c>
    </row>
    <row r="32" spans="2:67" s="1" customFormat="1" ht="22.5" customHeight="1">
      <c r="B32" s="50"/>
      <c r="C32" s="60" t="s">
        <v>102</v>
      </c>
      <c r="D32" s="60" t="s">
        <v>118</v>
      </c>
      <c r="E32" s="61" t="s">
        <v>233</v>
      </c>
      <c r="F32" s="239" t="s">
        <v>234</v>
      </c>
      <c r="G32" s="240"/>
      <c r="H32" s="240"/>
      <c r="I32" s="240"/>
      <c r="J32" s="62" t="s">
        <v>79</v>
      </c>
      <c r="K32" s="63">
        <v>38</v>
      </c>
      <c r="L32" s="235"/>
      <c r="M32" s="270"/>
      <c r="N32" s="259">
        <f t="shared" si="12"/>
        <v>0</v>
      </c>
      <c r="O32" s="250"/>
      <c r="P32" s="250"/>
      <c r="Q32" s="250"/>
      <c r="R32" s="180">
        <f t="shared" si="8"/>
        <v>0</v>
      </c>
      <c r="S32" s="58" t="s">
        <v>158</v>
      </c>
      <c r="T32" s="51"/>
      <c r="V32" s="52" t="s">
        <v>0</v>
      </c>
      <c r="W32" s="11" t="s">
        <v>3</v>
      </c>
      <c r="X32" s="88">
        <v>0</v>
      </c>
      <c r="Y32" s="88">
        <f t="shared" si="9"/>
        <v>0</v>
      </c>
      <c r="Z32" s="88">
        <v>0</v>
      </c>
      <c r="AA32" s="88">
        <f t="shared" si="10"/>
        <v>0</v>
      </c>
      <c r="AB32" s="88">
        <v>0</v>
      </c>
      <c r="AC32" s="54">
        <f t="shared" si="11"/>
        <v>0</v>
      </c>
      <c r="AT32" s="7" t="s">
        <v>62</v>
      </c>
      <c r="AV32" s="7" t="s">
        <v>60</v>
      </c>
      <c r="AW32" s="7" t="s">
        <v>29</v>
      </c>
      <c r="BA32" s="7" t="s">
        <v>59</v>
      </c>
      <c r="BG32" s="55">
        <f t="shared" si="2"/>
        <v>0</v>
      </c>
      <c r="BH32" s="55">
        <f t="shared" si="3"/>
        <v>0</v>
      </c>
      <c r="BI32" s="55">
        <f t="shared" si="4"/>
        <v>0</v>
      </c>
      <c r="BJ32" s="55">
        <f t="shared" si="5"/>
        <v>0</v>
      </c>
      <c r="BK32" s="55">
        <f t="shared" si="6"/>
        <v>0</v>
      </c>
      <c r="BL32" s="7" t="s">
        <v>63</v>
      </c>
      <c r="BM32" s="55">
        <f t="shared" si="7"/>
        <v>0</v>
      </c>
      <c r="BN32" s="7" t="s">
        <v>62</v>
      </c>
      <c r="BO32" s="7" t="s">
        <v>109</v>
      </c>
    </row>
    <row r="33" spans="2:67" s="1" customFormat="1" ht="31.5" customHeight="1">
      <c r="B33" s="50"/>
      <c r="C33" s="56" t="s">
        <v>1</v>
      </c>
      <c r="D33" s="56" t="s">
        <v>60</v>
      </c>
      <c r="E33" s="57" t="s">
        <v>235</v>
      </c>
      <c r="F33" s="209" t="s">
        <v>236</v>
      </c>
      <c r="G33" s="204"/>
      <c r="H33" s="204"/>
      <c r="I33" s="204"/>
      <c r="J33" s="58" t="s">
        <v>91</v>
      </c>
      <c r="K33" s="59">
        <v>9</v>
      </c>
      <c r="L33" s="203"/>
      <c r="M33" s="204"/>
      <c r="N33" s="233">
        <f t="shared" si="12"/>
        <v>0</v>
      </c>
      <c r="O33" s="234"/>
      <c r="P33" s="234"/>
      <c r="Q33" s="234"/>
      <c r="R33" s="179">
        <f t="shared" si="8"/>
        <v>0</v>
      </c>
      <c r="S33" s="58" t="s">
        <v>158</v>
      </c>
      <c r="T33" s="51"/>
      <c r="V33" s="52" t="s">
        <v>0</v>
      </c>
      <c r="W33" s="11" t="s">
        <v>3</v>
      </c>
      <c r="X33" s="88">
        <v>0</v>
      </c>
      <c r="Y33" s="88">
        <f t="shared" si="9"/>
        <v>0</v>
      </c>
      <c r="Z33" s="88">
        <v>0</v>
      </c>
      <c r="AA33" s="88">
        <f t="shared" si="10"/>
        <v>0</v>
      </c>
      <c r="AB33" s="88">
        <v>0</v>
      </c>
      <c r="AC33" s="54">
        <f t="shared" si="11"/>
        <v>0</v>
      </c>
      <c r="AT33" s="7" t="s">
        <v>78</v>
      </c>
      <c r="AV33" s="7" t="s">
        <v>118</v>
      </c>
      <c r="AW33" s="7" t="s">
        <v>29</v>
      </c>
      <c r="BA33" s="7" t="s">
        <v>59</v>
      </c>
      <c r="BG33" s="55">
        <f t="shared" si="2"/>
        <v>0</v>
      </c>
      <c r="BH33" s="55">
        <f t="shared" si="3"/>
        <v>0</v>
      </c>
      <c r="BI33" s="55">
        <f t="shared" si="4"/>
        <v>0</v>
      </c>
      <c r="BJ33" s="55">
        <f t="shared" si="5"/>
        <v>0</v>
      </c>
      <c r="BK33" s="55">
        <f t="shared" si="6"/>
        <v>0</v>
      </c>
      <c r="BL33" s="7" t="s">
        <v>63</v>
      </c>
      <c r="BM33" s="55">
        <f t="shared" si="7"/>
        <v>0</v>
      </c>
      <c r="BN33" s="7" t="s">
        <v>62</v>
      </c>
      <c r="BO33" s="7" t="s">
        <v>111</v>
      </c>
    </row>
    <row r="34" spans="2:67" s="1" customFormat="1" ht="22.5" customHeight="1">
      <c r="B34" s="50"/>
      <c r="C34" s="60" t="s">
        <v>105</v>
      </c>
      <c r="D34" s="60" t="s">
        <v>118</v>
      </c>
      <c r="E34" s="61" t="s">
        <v>237</v>
      </c>
      <c r="F34" s="239" t="s">
        <v>238</v>
      </c>
      <c r="G34" s="240"/>
      <c r="H34" s="240"/>
      <c r="I34" s="240"/>
      <c r="J34" s="62" t="s">
        <v>91</v>
      </c>
      <c r="K34" s="63">
        <v>10.35</v>
      </c>
      <c r="L34" s="235"/>
      <c r="M34" s="270"/>
      <c r="N34" s="259">
        <f t="shared" si="12"/>
        <v>0</v>
      </c>
      <c r="O34" s="250"/>
      <c r="P34" s="250"/>
      <c r="Q34" s="250"/>
      <c r="R34" s="180">
        <f t="shared" si="8"/>
        <v>0</v>
      </c>
      <c r="S34" s="58" t="s">
        <v>158</v>
      </c>
      <c r="T34" s="51"/>
      <c r="V34" s="52" t="s">
        <v>0</v>
      </c>
      <c r="W34" s="11" t="s">
        <v>3</v>
      </c>
      <c r="X34" s="88">
        <v>0</v>
      </c>
      <c r="Y34" s="88">
        <f t="shared" si="9"/>
        <v>0</v>
      </c>
      <c r="Z34" s="88">
        <v>0</v>
      </c>
      <c r="AA34" s="88">
        <f t="shared" si="10"/>
        <v>0</v>
      </c>
      <c r="AB34" s="88">
        <v>0</v>
      </c>
      <c r="AC34" s="54">
        <f t="shared" si="11"/>
        <v>0</v>
      </c>
      <c r="AT34" s="7" t="s">
        <v>62</v>
      </c>
      <c r="AV34" s="7" t="s">
        <v>60</v>
      </c>
      <c r="AW34" s="7" t="s">
        <v>29</v>
      </c>
      <c r="BA34" s="7" t="s">
        <v>59</v>
      </c>
      <c r="BG34" s="55">
        <f t="shared" si="2"/>
        <v>0</v>
      </c>
      <c r="BH34" s="55">
        <f t="shared" si="3"/>
        <v>0</v>
      </c>
      <c r="BI34" s="55">
        <f t="shared" si="4"/>
        <v>0</v>
      </c>
      <c r="BJ34" s="55">
        <f t="shared" si="5"/>
        <v>0</v>
      </c>
      <c r="BK34" s="55">
        <f t="shared" si="6"/>
        <v>0</v>
      </c>
      <c r="BL34" s="7" t="s">
        <v>63</v>
      </c>
      <c r="BM34" s="55">
        <f t="shared" si="7"/>
        <v>0</v>
      </c>
      <c r="BN34" s="7" t="s">
        <v>62</v>
      </c>
      <c r="BO34" s="7" t="s">
        <v>113</v>
      </c>
    </row>
    <row r="35" spans="2:67" s="1" customFormat="1" ht="31.5" customHeight="1">
      <c r="B35" s="50"/>
      <c r="C35" s="112"/>
      <c r="D35" s="114" t="s">
        <v>42</v>
      </c>
      <c r="E35" s="114"/>
      <c r="F35" s="114"/>
      <c r="G35" s="114"/>
      <c r="H35" s="114"/>
      <c r="I35" s="114"/>
      <c r="J35" s="114"/>
      <c r="K35" s="114"/>
      <c r="L35" s="114"/>
      <c r="M35" s="114"/>
      <c r="N35" s="250">
        <f>ROUND((SUM(N36:Q39)),2)</f>
        <v>0</v>
      </c>
      <c r="O35" s="251"/>
      <c r="P35" s="251"/>
      <c r="Q35" s="251"/>
      <c r="R35" s="114"/>
      <c r="S35" s="114"/>
      <c r="T35" s="51"/>
      <c r="V35" s="52" t="s">
        <v>0</v>
      </c>
      <c r="W35" s="11" t="s">
        <v>3</v>
      </c>
      <c r="X35" s="88">
        <v>0</v>
      </c>
      <c r="Y35" s="88">
        <f t="shared" si="9"/>
        <v>0</v>
      </c>
      <c r="Z35" s="88">
        <v>0</v>
      </c>
      <c r="AA35" s="88">
        <f t="shared" si="10"/>
        <v>0</v>
      </c>
      <c r="AB35" s="88">
        <v>0</v>
      </c>
      <c r="AC35" s="54">
        <f t="shared" si="11"/>
        <v>0</v>
      </c>
      <c r="AT35" s="7" t="s">
        <v>78</v>
      </c>
      <c r="AV35" s="7" t="s">
        <v>118</v>
      </c>
      <c r="AW35" s="7" t="s">
        <v>29</v>
      </c>
      <c r="BA35" s="7" t="s">
        <v>59</v>
      </c>
      <c r="BG35" s="55">
        <f t="shared" si="2"/>
        <v>0</v>
      </c>
      <c r="BH35" s="55">
        <f t="shared" si="3"/>
        <v>0</v>
      </c>
      <c r="BI35" s="55">
        <f t="shared" si="4"/>
        <v>0</v>
      </c>
      <c r="BJ35" s="55">
        <f t="shared" si="5"/>
        <v>0</v>
      </c>
      <c r="BK35" s="55">
        <f t="shared" si="6"/>
        <v>0</v>
      </c>
      <c r="BL35" s="7" t="s">
        <v>63</v>
      </c>
      <c r="BM35" s="55">
        <f t="shared" si="7"/>
        <v>0</v>
      </c>
      <c r="BN35" s="7" t="s">
        <v>62</v>
      </c>
      <c r="BO35" s="7" t="s">
        <v>115</v>
      </c>
    </row>
    <row r="36" spans="2:67" s="1" customFormat="1" ht="13.5">
      <c r="B36" s="50"/>
      <c r="C36" s="56" t="s">
        <v>107</v>
      </c>
      <c r="D36" s="56" t="s">
        <v>60</v>
      </c>
      <c r="E36" s="57" t="s">
        <v>239</v>
      </c>
      <c r="F36" s="209" t="s">
        <v>240</v>
      </c>
      <c r="G36" s="204"/>
      <c r="H36" s="204"/>
      <c r="I36" s="204"/>
      <c r="J36" s="58" t="s">
        <v>125</v>
      </c>
      <c r="K36" s="59">
        <v>27.8</v>
      </c>
      <c r="L36" s="203"/>
      <c r="M36" s="204"/>
      <c r="N36" s="233">
        <f>ROUND((K36*L36),2)</f>
        <v>0</v>
      </c>
      <c r="O36" s="234"/>
      <c r="P36" s="234"/>
      <c r="Q36" s="234"/>
      <c r="R36" s="179">
        <f t="shared" si="8"/>
        <v>0</v>
      </c>
      <c r="S36" s="58" t="s">
        <v>158</v>
      </c>
      <c r="T36" s="51"/>
      <c r="V36" s="52" t="s">
        <v>0</v>
      </c>
      <c r="W36" s="11" t="s">
        <v>3</v>
      </c>
      <c r="X36" s="88">
        <v>0</v>
      </c>
      <c r="Y36" s="88">
        <f t="shared" si="9"/>
        <v>0</v>
      </c>
      <c r="Z36" s="88">
        <v>0</v>
      </c>
      <c r="AA36" s="88">
        <f t="shared" si="10"/>
        <v>0</v>
      </c>
      <c r="AB36" s="88">
        <v>0</v>
      </c>
      <c r="AC36" s="54">
        <f t="shared" si="11"/>
        <v>0</v>
      </c>
      <c r="AT36" s="7" t="s">
        <v>62</v>
      </c>
      <c r="AV36" s="7" t="s">
        <v>60</v>
      </c>
      <c r="AW36" s="7" t="s">
        <v>29</v>
      </c>
      <c r="BA36" s="7" t="s">
        <v>59</v>
      </c>
      <c r="BG36" s="55">
        <f t="shared" si="2"/>
        <v>0</v>
      </c>
      <c r="BH36" s="55">
        <f t="shared" si="3"/>
        <v>0</v>
      </c>
      <c r="BI36" s="55">
        <f t="shared" si="4"/>
        <v>0</v>
      </c>
      <c r="BJ36" s="55">
        <f t="shared" si="5"/>
        <v>0</v>
      </c>
      <c r="BK36" s="55">
        <f t="shared" si="6"/>
        <v>0</v>
      </c>
      <c r="BL36" s="7" t="s">
        <v>63</v>
      </c>
      <c r="BM36" s="55">
        <f t="shared" si="7"/>
        <v>0</v>
      </c>
      <c r="BN36" s="7" t="s">
        <v>62</v>
      </c>
      <c r="BO36" s="7" t="s">
        <v>117</v>
      </c>
    </row>
    <row r="37" spans="2:67" s="1" customFormat="1" ht="31.5" customHeight="1">
      <c r="B37" s="50"/>
      <c r="C37" s="60" t="s">
        <v>109</v>
      </c>
      <c r="D37" s="60" t="s">
        <v>118</v>
      </c>
      <c r="E37" s="61" t="s">
        <v>241</v>
      </c>
      <c r="F37" s="239" t="s">
        <v>242</v>
      </c>
      <c r="G37" s="240"/>
      <c r="H37" s="240"/>
      <c r="I37" s="240"/>
      <c r="J37" s="62" t="s">
        <v>79</v>
      </c>
      <c r="K37" s="63">
        <v>30</v>
      </c>
      <c r="L37" s="235"/>
      <c r="M37" s="270"/>
      <c r="N37" s="259">
        <f>ROUND((K37*L37),2)</f>
        <v>0</v>
      </c>
      <c r="O37" s="250"/>
      <c r="P37" s="250"/>
      <c r="Q37" s="250"/>
      <c r="R37" s="180">
        <f t="shared" si="8"/>
        <v>0</v>
      </c>
      <c r="S37" s="58" t="s">
        <v>158</v>
      </c>
      <c r="T37" s="51"/>
      <c r="V37" s="52" t="s">
        <v>0</v>
      </c>
      <c r="W37" s="11" t="s">
        <v>3</v>
      </c>
      <c r="X37" s="88">
        <v>0</v>
      </c>
      <c r="Y37" s="88">
        <f t="shared" si="9"/>
        <v>0</v>
      </c>
      <c r="Z37" s="88">
        <v>0</v>
      </c>
      <c r="AA37" s="88">
        <f t="shared" si="10"/>
        <v>0</v>
      </c>
      <c r="AB37" s="88">
        <v>0</v>
      </c>
      <c r="AC37" s="54">
        <f t="shared" si="11"/>
        <v>0</v>
      </c>
      <c r="AT37" s="7" t="s">
        <v>62</v>
      </c>
      <c r="AV37" s="7" t="s">
        <v>60</v>
      </c>
      <c r="AW37" s="7" t="s">
        <v>29</v>
      </c>
      <c r="BA37" s="7" t="s">
        <v>59</v>
      </c>
      <c r="BG37" s="55">
        <f t="shared" si="2"/>
        <v>0</v>
      </c>
      <c r="BH37" s="55">
        <f t="shared" si="3"/>
        <v>0</v>
      </c>
      <c r="BI37" s="55">
        <f t="shared" si="4"/>
        <v>0</v>
      </c>
      <c r="BJ37" s="55">
        <f t="shared" si="5"/>
        <v>0</v>
      </c>
      <c r="BK37" s="55">
        <f t="shared" si="6"/>
        <v>0</v>
      </c>
      <c r="BL37" s="7" t="s">
        <v>63</v>
      </c>
      <c r="BM37" s="55">
        <f t="shared" si="7"/>
        <v>0</v>
      </c>
      <c r="BN37" s="7" t="s">
        <v>62</v>
      </c>
      <c r="BO37" s="7" t="s">
        <v>120</v>
      </c>
    </row>
    <row r="38" spans="2:67" s="1" customFormat="1" ht="31.5" customHeight="1">
      <c r="B38" s="50"/>
      <c r="C38" s="56" t="s">
        <v>111</v>
      </c>
      <c r="D38" s="56" t="s">
        <v>60</v>
      </c>
      <c r="E38" s="57" t="s">
        <v>138</v>
      </c>
      <c r="F38" s="209" t="s">
        <v>139</v>
      </c>
      <c r="G38" s="204"/>
      <c r="H38" s="204"/>
      <c r="I38" s="204"/>
      <c r="J38" s="58" t="s">
        <v>125</v>
      </c>
      <c r="K38" s="59">
        <v>24</v>
      </c>
      <c r="L38" s="203"/>
      <c r="M38" s="204"/>
      <c r="N38" s="233">
        <f>ROUND((K38*L38),2)</f>
        <v>0</v>
      </c>
      <c r="O38" s="234"/>
      <c r="P38" s="234"/>
      <c r="Q38" s="234"/>
      <c r="R38" s="179">
        <f t="shared" si="8"/>
        <v>0</v>
      </c>
      <c r="S38" s="58" t="s">
        <v>158</v>
      </c>
      <c r="T38" s="51"/>
      <c r="V38" s="52" t="s">
        <v>0</v>
      </c>
      <c r="W38" s="11" t="s">
        <v>3</v>
      </c>
      <c r="X38" s="88">
        <v>0</v>
      </c>
      <c r="Y38" s="88">
        <f t="shared" si="9"/>
        <v>0</v>
      </c>
      <c r="Z38" s="88">
        <v>0</v>
      </c>
      <c r="AA38" s="88">
        <f t="shared" si="10"/>
        <v>0</v>
      </c>
      <c r="AB38" s="88">
        <v>0</v>
      </c>
      <c r="AC38" s="54">
        <f t="shared" si="11"/>
        <v>0</v>
      </c>
      <c r="AT38" s="7" t="s">
        <v>62</v>
      </c>
      <c r="AV38" s="7" t="s">
        <v>60</v>
      </c>
      <c r="AW38" s="7" t="s">
        <v>29</v>
      </c>
      <c r="BA38" s="7" t="s">
        <v>59</v>
      </c>
      <c r="BG38" s="55">
        <f t="shared" si="2"/>
        <v>0</v>
      </c>
      <c r="BH38" s="55">
        <f t="shared" si="3"/>
        <v>0</v>
      </c>
      <c r="BI38" s="55">
        <f t="shared" si="4"/>
        <v>0</v>
      </c>
      <c r="BJ38" s="55">
        <f t="shared" si="5"/>
        <v>0</v>
      </c>
      <c r="BK38" s="55">
        <f t="shared" si="6"/>
        <v>0</v>
      </c>
      <c r="BL38" s="7" t="s">
        <v>63</v>
      </c>
      <c r="BM38" s="55">
        <f t="shared" si="7"/>
        <v>0</v>
      </c>
      <c r="BN38" s="7" t="s">
        <v>62</v>
      </c>
      <c r="BO38" s="7" t="s">
        <v>122</v>
      </c>
    </row>
    <row r="39" spans="2:67" s="1" customFormat="1" ht="31.5" customHeight="1">
      <c r="B39" s="50"/>
      <c r="C39" s="56" t="s">
        <v>113</v>
      </c>
      <c r="D39" s="56" t="s">
        <v>60</v>
      </c>
      <c r="E39" s="57" t="s">
        <v>187</v>
      </c>
      <c r="F39" s="209" t="s">
        <v>188</v>
      </c>
      <c r="G39" s="204"/>
      <c r="H39" s="204"/>
      <c r="I39" s="204"/>
      <c r="J39" s="58" t="s">
        <v>125</v>
      </c>
      <c r="K39" s="59">
        <v>24</v>
      </c>
      <c r="L39" s="203"/>
      <c r="M39" s="204"/>
      <c r="N39" s="233">
        <f>ROUND((K39*L39),2)</f>
        <v>0</v>
      </c>
      <c r="O39" s="234"/>
      <c r="P39" s="234"/>
      <c r="Q39" s="234"/>
      <c r="R39" s="179">
        <f t="shared" si="8"/>
        <v>0</v>
      </c>
      <c r="S39" s="58" t="s">
        <v>158</v>
      </c>
      <c r="T39" s="51"/>
      <c r="V39" s="52" t="s">
        <v>0</v>
      </c>
      <c r="W39" s="11" t="s">
        <v>3</v>
      </c>
      <c r="X39" s="88">
        <v>0</v>
      </c>
      <c r="Y39" s="88">
        <f t="shared" si="9"/>
        <v>0</v>
      </c>
      <c r="Z39" s="88">
        <v>0</v>
      </c>
      <c r="AA39" s="88">
        <f t="shared" si="10"/>
        <v>0</v>
      </c>
      <c r="AB39" s="88">
        <v>0</v>
      </c>
      <c r="AC39" s="54">
        <f t="shared" si="11"/>
        <v>0</v>
      </c>
      <c r="AT39" s="7" t="s">
        <v>62</v>
      </c>
      <c r="AV39" s="7" t="s">
        <v>60</v>
      </c>
      <c r="AW39" s="7" t="s">
        <v>29</v>
      </c>
      <c r="BA39" s="7" t="s">
        <v>59</v>
      </c>
      <c r="BG39" s="55">
        <f t="shared" si="2"/>
        <v>0</v>
      </c>
      <c r="BH39" s="55">
        <f t="shared" si="3"/>
        <v>0</v>
      </c>
      <c r="BI39" s="55">
        <f t="shared" si="4"/>
        <v>0</v>
      </c>
      <c r="BJ39" s="55">
        <f t="shared" si="5"/>
        <v>0</v>
      </c>
      <c r="BK39" s="55">
        <f t="shared" si="6"/>
        <v>0</v>
      </c>
      <c r="BL39" s="7" t="s">
        <v>63</v>
      </c>
      <c r="BM39" s="55">
        <f t="shared" si="7"/>
        <v>0</v>
      </c>
      <c r="BN39" s="7" t="s">
        <v>62</v>
      </c>
      <c r="BO39" s="7" t="s">
        <v>124</v>
      </c>
    </row>
    <row r="40" spans="2:67" s="1" customFormat="1" ht="18">
      <c r="B40" s="50"/>
      <c r="C40" s="112"/>
      <c r="D40" s="113" t="s">
        <v>43</v>
      </c>
      <c r="E40" s="113"/>
      <c r="F40" s="113"/>
      <c r="G40" s="113"/>
      <c r="H40" s="113"/>
      <c r="I40" s="113"/>
      <c r="J40" s="113"/>
      <c r="K40" s="113"/>
      <c r="L40" s="149"/>
      <c r="M40" s="149"/>
      <c r="N40" s="267">
        <f>ROUND((N41+N43+N50),2)</f>
        <v>0</v>
      </c>
      <c r="O40" s="268"/>
      <c r="P40" s="268"/>
      <c r="Q40" s="268"/>
      <c r="R40" s="156"/>
      <c r="S40" s="114"/>
      <c r="T40" s="51"/>
      <c r="V40" s="52" t="s">
        <v>0</v>
      </c>
      <c r="W40" s="11" t="s">
        <v>3</v>
      </c>
      <c r="X40" s="88">
        <v>0</v>
      </c>
      <c r="Y40" s="88">
        <f t="shared" si="9"/>
        <v>0</v>
      </c>
      <c r="Z40" s="88">
        <v>0</v>
      </c>
      <c r="AA40" s="88">
        <f t="shared" si="10"/>
        <v>0</v>
      </c>
      <c r="AB40" s="88">
        <v>0</v>
      </c>
      <c r="AC40" s="54">
        <f t="shared" si="11"/>
        <v>0</v>
      </c>
      <c r="AT40" s="7" t="s">
        <v>62</v>
      </c>
      <c r="AV40" s="7" t="s">
        <v>60</v>
      </c>
      <c r="AW40" s="7" t="s">
        <v>29</v>
      </c>
      <c r="BA40" s="7" t="s">
        <v>59</v>
      </c>
      <c r="BG40" s="55">
        <f t="shared" si="2"/>
        <v>0</v>
      </c>
      <c r="BH40" s="55">
        <f t="shared" si="3"/>
        <v>0</v>
      </c>
      <c r="BI40" s="55">
        <f t="shared" si="4"/>
        <v>0</v>
      </c>
      <c r="BJ40" s="55">
        <f t="shared" si="5"/>
        <v>0</v>
      </c>
      <c r="BK40" s="55">
        <f t="shared" si="6"/>
        <v>0</v>
      </c>
      <c r="BL40" s="7" t="s">
        <v>63</v>
      </c>
      <c r="BM40" s="55">
        <f t="shared" si="7"/>
        <v>0</v>
      </c>
      <c r="BN40" s="7" t="s">
        <v>62</v>
      </c>
      <c r="BO40" s="7" t="s">
        <v>127</v>
      </c>
    </row>
    <row r="41" spans="2:67" s="1" customFormat="1" ht="40.5" customHeight="1">
      <c r="B41" s="50"/>
      <c r="C41" s="112"/>
      <c r="D41" s="114" t="s">
        <v>44</v>
      </c>
      <c r="E41" s="114"/>
      <c r="F41" s="114"/>
      <c r="G41" s="114"/>
      <c r="H41" s="114"/>
      <c r="I41" s="114"/>
      <c r="J41" s="114"/>
      <c r="K41" s="114"/>
      <c r="L41" s="157"/>
      <c r="M41" s="157"/>
      <c r="N41" s="269">
        <f>ROUND(N42,2)</f>
        <v>0</v>
      </c>
      <c r="O41" s="249"/>
      <c r="P41" s="249"/>
      <c r="Q41" s="249"/>
      <c r="R41" s="157"/>
      <c r="S41" s="114"/>
      <c r="T41" s="51"/>
      <c r="V41" s="52" t="s">
        <v>0</v>
      </c>
      <c r="W41" s="11" t="s">
        <v>3</v>
      </c>
      <c r="X41" s="88">
        <v>0</v>
      </c>
      <c r="Y41" s="88">
        <f t="shared" si="9"/>
        <v>0</v>
      </c>
      <c r="Z41" s="88">
        <v>0</v>
      </c>
      <c r="AA41" s="88">
        <f t="shared" si="10"/>
        <v>0</v>
      </c>
      <c r="AB41" s="88">
        <v>0</v>
      </c>
      <c r="AC41" s="54">
        <f t="shared" si="11"/>
        <v>0</v>
      </c>
      <c r="AT41" s="7" t="s">
        <v>62</v>
      </c>
      <c r="AV41" s="7" t="s">
        <v>60</v>
      </c>
      <c r="AW41" s="7" t="s">
        <v>29</v>
      </c>
      <c r="BA41" s="7" t="s">
        <v>59</v>
      </c>
      <c r="BG41" s="55">
        <f t="shared" si="2"/>
        <v>0</v>
      </c>
      <c r="BH41" s="55">
        <f t="shared" si="3"/>
        <v>0</v>
      </c>
      <c r="BI41" s="55">
        <f t="shared" si="4"/>
        <v>0</v>
      </c>
      <c r="BJ41" s="55">
        <f t="shared" si="5"/>
        <v>0</v>
      </c>
      <c r="BK41" s="55">
        <f t="shared" si="6"/>
        <v>0</v>
      </c>
      <c r="BL41" s="7" t="s">
        <v>63</v>
      </c>
      <c r="BM41" s="55">
        <f t="shared" si="7"/>
        <v>0</v>
      </c>
      <c r="BN41" s="7" t="s">
        <v>62</v>
      </c>
      <c r="BO41" s="7" t="s">
        <v>129</v>
      </c>
    </row>
    <row r="42" spans="2:67" s="1" customFormat="1" ht="44.25" customHeight="1">
      <c r="B42" s="50"/>
      <c r="C42" s="56" t="s">
        <v>115</v>
      </c>
      <c r="D42" s="56" t="s">
        <v>60</v>
      </c>
      <c r="E42" s="57" t="s">
        <v>199</v>
      </c>
      <c r="F42" s="209" t="s">
        <v>200</v>
      </c>
      <c r="G42" s="204"/>
      <c r="H42" s="204"/>
      <c r="I42" s="204"/>
      <c r="J42" s="58" t="s">
        <v>91</v>
      </c>
      <c r="K42" s="59">
        <v>0.96</v>
      </c>
      <c r="L42" s="203"/>
      <c r="M42" s="204"/>
      <c r="N42" s="233">
        <f>ROUND((K42*L42),2)</f>
        <v>0</v>
      </c>
      <c r="O42" s="234"/>
      <c r="P42" s="234"/>
      <c r="Q42" s="234"/>
      <c r="R42" s="179">
        <f aca="true" t="shared" si="13" ref="R42:R48">ROUND((N42*1.2),2)</f>
        <v>0</v>
      </c>
      <c r="S42" s="58" t="s">
        <v>158</v>
      </c>
      <c r="T42" s="51"/>
      <c r="V42" s="52" t="s">
        <v>0</v>
      </c>
      <c r="W42" s="11" t="s">
        <v>3</v>
      </c>
      <c r="X42" s="88">
        <v>0</v>
      </c>
      <c r="Y42" s="88">
        <f t="shared" si="9"/>
        <v>0</v>
      </c>
      <c r="Z42" s="88">
        <v>0</v>
      </c>
      <c r="AA42" s="88">
        <f t="shared" si="10"/>
        <v>0</v>
      </c>
      <c r="AB42" s="88">
        <v>0</v>
      </c>
      <c r="AC42" s="54">
        <f t="shared" si="11"/>
        <v>0</v>
      </c>
      <c r="AT42" s="7" t="s">
        <v>62</v>
      </c>
      <c r="AV42" s="7" t="s">
        <v>60</v>
      </c>
      <c r="AW42" s="7" t="s">
        <v>29</v>
      </c>
      <c r="BA42" s="7" t="s">
        <v>59</v>
      </c>
      <c r="BG42" s="55">
        <f t="shared" si="2"/>
        <v>0</v>
      </c>
      <c r="BH42" s="55">
        <f t="shared" si="3"/>
        <v>0</v>
      </c>
      <c r="BI42" s="55">
        <f t="shared" si="4"/>
        <v>0</v>
      </c>
      <c r="BJ42" s="55">
        <f t="shared" si="5"/>
        <v>0</v>
      </c>
      <c r="BK42" s="55">
        <f t="shared" si="6"/>
        <v>0</v>
      </c>
      <c r="BL42" s="7" t="s">
        <v>63</v>
      </c>
      <c r="BM42" s="55">
        <f t="shared" si="7"/>
        <v>0</v>
      </c>
      <c r="BN42" s="7" t="s">
        <v>62</v>
      </c>
      <c r="BO42" s="7" t="s">
        <v>131</v>
      </c>
    </row>
    <row r="43" spans="2:67" s="1" customFormat="1" ht="31.5" customHeight="1">
      <c r="B43" s="50"/>
      <c r="C43" s="112"/>
      <c r="D43" s="114" t="s">
        <v>45</v>
      </c>
      <c r="E43" s="114"/>
      <c r="F43" s="114"/>
      <c r="G43" s="114"/>
      <c r="H43" s="114"/>
      <c r="I43" s="114"/>
      <c r="J43" s="114"/>
      <c r="K43" s="114"/>
      <c r="L43" s="114"/>
      <c r="M43" s="151"/>
      <c r="N43" s="250">
        <f>ROUND((SUM(N44:Q48)),2)</f>
        <v>0</v>
      </c>
      <c r="O43" s="251"/>
      <c r="P43" s="251"/>
      <c r="Q43" s="251"/>
      <c r="R43" s="114"/>
      <c r="S43" s="114"/>
      <c r="T43" s="51"/>
      <c r="V43" s="52" t="s">
        <v>0</v>
      </c>
      <c r="W43" s="11" t="s">
        <v>3</v>
      </c>
      <c r="X43" s="88">
        <v>0</v>
      </c>
      <c r="Y43" s="88">
        <f t="shared" si="9"/>
        <v>0</v>
      </c>
      <c r="Z43" s="88">
        <v>0</v>
      </c>
      <c r="AA43" s="88">
        <f t="shared" si="10"/>
        <v>0</v>
      </c>
      <c r="AB43" s="88">
        <v>0</v>
      </c>
      <c r="AC43" s="54">
        <f t="shared" si="11"/>
        <v>0</v>
      </c>
      <c r="AT43" s="7" t="s">
        <v>62</v>
      </c>
      <c r="AV43" s="7" t="s">
        <v>60</v>
      </c>
      <c r="AW43" s="7" t="s">
        <v>29</v>
      </c>
      <c r="BA43" s="7" t="s">
        <v>59</v>
      </c>
      <c r="BG43" s="55" t="e">
        <f>IF(#REF!="základná",#REF!,0)</f>
        <v>#REF!</v>
      </c>
      <c r="BH43" s="55" t="e">
        <f>IF(#REF!="znížená",#REF!,0)</f>
        <v>#REF!</v>
      </c>
      <c r="BI43" s="55" t="e">
        <f>IF(#REF!="zákl. prenesená",#REF!,0)</f>
        <v>#REF!</v>
      </c>
      <c r="BJ43" s="55" t="e">
        <f>IF(#REF!="zníž. prenesená",#REF!,0)</f>
        <v>#REF!</v>
      </c>
      <c r="BK43" s="55" t="e">
        <f>IF(#REF!="nulová",#REF!,0)</f>
        <v>#REF!</v>
      </c>
      <c r="BL43" s="7" t="s">
        <v>63</v>
      </c>
      <c r="BM43" s="55" t="e">
        <f>ROUND(#REF!*#REF!,2)</f>
        <v>#REF!</v>
      </c>
      <c r="BN43" s="7" t="s">
        <v>62</v>
      </c>
      <c r="BO43" s="7" t="s">
        <v>133</v>
      </c>
    </row>
    <row r="44" spans="2:65" s="81" customFormat="1" ht="36.75" customHeight="1">
      <c r="B44" s="41"/>
      <c r="C44" s="56" t="s">
        <v>117</v>
      </c>
      <c r="D44" s="56" t="s">
        <v>60</v>
      </c>
      <c r="E44" s="57" t="s">
        <v>201</v>
      </c>
      <c r="F44" s="209" t="s">
        <v>255</v>
      </c>
      <c r="G44" s="204"/>
      <c r="H44" s="204"/>
      <c r="I44" s="204"/>
      <c r="J44" s="58" t="s">
        <v>79</v>
      </c>
      <c r="K44" s="59">
        <v>1</v>
      </c>
      <c r="L44" s="203"/>
      <c r="M44" s="204"/>
      <c r="N44" s="233">
        <f>ROUND((K44*L44),2)</f>
        <v>0</v>
      </c>
      <c r="O44" s="234"/>
      <c r="P44" s="234"/>
      <c r="Q44" s="234"/>
      <c r="R44" s="179">
        <f t="shared" si="13"/>
        <v>0</v>
      </c>
      <c r="S44" s="58" t="s">
        <v>158</v>
      </c>
      <c r="T44" s="51"/>
      <c r="U44" s="1"/>
      <c r="V44" s="52" t="s">
        <v>0</v>
      </c>
      <c r="W44" s="11" t="s">
        <v>3</v>
      </c>
      <c r="X44" s="88">
        <v>0</v>
      </c>
      <c r="Y44" s="88">
        <f t="shared" si="9"/>
        <v>0</v>
      </c>
      <c r="Z44" s="88">
        <v>0</v>
      </c>
      <c r="AA44" s="88">
        <f t="shared" si="10"/>
        <v>0</v>
      </c>
      <c r="AB44" s="88">
        <v>0</v>
      </c>
      <c r="AC44" s="54">
        <f t="shared" si="11"/>
        <v>0</v>
      </c>
      <c r="AD44" s="1"/>
      <c r="AE44" s="1"/>
      <c r="AT44" s="47" t="s">
        <v>29</v>
      </c>
      <c r="AV44" s="48" t="s">
        <v>22</v>
      </c>
      <c r="AW44" s="48" t="s">
        <v>23</v>
      </c>
      <c r="BA44" s="47" t="s">
        <v>59</v>
      </c>
      <c r="BM44" s="49" t="e">
        <f>BM45+SUM(BM46:BM48)</f>
        <v>#REF!</v>
      </c>
    </row>
    <row r="45" spans="2:67" s="1" customFormat="1" ht="118.5" customHeight="1">
      <c r="B45" s="50"/>
      <c r="C45" s="111"/>
      <c r="D45" s="111"/>
      <c r="E45" s="111"/>
      <c r="F45" s="207" t="s">
        <v>203</v>
      </c>
      <c r="G45" s="208"/>
      <c r="H45" s="208"/>
      <c r="I45" s="208"/>
      <c r="J45" s="111"/>
      <c r="K45" s="111"/>
      <c r="L45" s="150"/>
      <c r="M45" s="150"/>
      <c r="N45" s="250"/>
      <c r="O45" s="251"/>
      <c r="P45" s="251"/>
      <c r="Q45" s="251"/>
      <c r="R45" s="111"/>
      <c r="S45" s="111"/>
      <c r="T45" s="51"/>
      <c r="V45" s="52" t="s">
        <v>0</v>
      </c>
      <c r="W45" s="11" t="s">
        <v>3</v>
      </c>
      <c r="X45" s="88">
        <v>0</v>
      </c>
      <c r="Y45" s="88">
        <f t="shared" si="9"/>
        <v>0</v>
      </c>
      <c r="Z45" s="88">
        <v>0</v>
      </c>
      <c r="AA45" s="88">
        <f t="shared" si="10"/>
        <v>0</v>
      </c>
      <c r="AB45" s="88">
        <v>0</v>
      </c>
      <c r="AC45" s="54">
        <f t="shared" si="11"/>
        <v>0</v>
      </c>
      <c r="AT45" s="7" t="s">
        <v>62</v>
      </c>
      <c r="AV45" s="7" t="s">
        <v>60</v>
      </c>
      <c r="AW45" s="7" t="s">
        <v>29</v>
      </c>
      <c r="BA45" s="7" t="s">
        <v>59</v>
      </c>
      <c r="BG45" s="55" t="e">
        <f>IF(#REF!="základná",#REF!,0)</f>
        <v>#REF!</v>
      </c>
      <c r="BH45" s="55" t="e">
        <f>IF(#REF!="znížená",#REF!,0)</f>
        <v>#REF!</v>
      </c>
      <c r="BI45" s="55" t="e">
        <f>IF(#REF!="zákl. prenesená",#REF!,0)</f>
        <v>#REF!</v>
      </c>
      <c r="BJ45" s="55" t="e">
        <f>IF(#REF!="zníž. prenesená",#REF!,0)</f>
        <v>#REF!</v>
      </c>
      <c r="BK45" s="55" t="e">
        <f>IF(#REF!="nulová",#REF!,0)</f>
        <v>#REF!</v>
      </c>
      <c r="BL45" s="7" t="s">
        <v>63</v>
      </c>
      <c r="BM45" s="55" t="e">
        <f>ROUND(#REF!*#REF!,2)</f>
        <v>#REF!</v>
      </c>
      <c r="BN45" s="7" t="s">
        <v>62</v>
      </c>
      <c r="BO45" s="7" t="s">
        <v>135</v>
      </c>
    </row>
    <row r="46" spans="2:67" s="1" customFormat="1" ht="75.75" customHeight="1">
      <c r="B46" s="50"/>
      <c r="C46" s="56" t="s">
        <v>120</v>
      </c>
      <c r="D46" s="56" t="s">
        <v>60</v>
      </c>
      <c r="E46" s="57" t="s">
        <v>204</v>
      </c>
      <c r="F46" s="209" t="s">
        <v>257</v>
      </c>
      <c r="G46" s="204"/>
      <c r="H46" s="204"/>
      <c r="I46" s="204"/>
      <c r="J46" s="58" t="s">
        <v>79</v>
      </c>
      <c r="K46" s="59">
        <v>11</v>
      </c>
      <c r="L46" s="203"/>
      <c r="M46" s="204"/>
      <c r="N46" s="233">
        <f>ROUND((K46*L46),2)</f>
        <v>0</v>
      </c>
      <c r="O46" s="234"/>
      <c r="P46" s="234"/>
      <c r="Q46" s="234"/>
      <c r="R46" s="179">
        <f t="shared" si="13"/>
        <v>0</v>
      </c>
      <c r="S46" s="58" t="s">
        <v>158</v>
      </c>
      <c r="T46" s="51"/>
      <c r="V46" s="52" t="s">
        <v>0</v>
      </c>
      <c r="W46" s="11" t="s">
        <v>3</v>
      </c>
      <c r="X46" s="88">
        <v>0</v>
      </c>
      <c r="Y46" s="88">
        <f t="shared" si="9"/>
        <v>0</v>
      </c>
      <c r="Z46" s="88">
        <v>0</v>
      </c>
      <c r="AA46" s="88">
        <f t="shared" si="10"/>
        <v>0</v>
      </c>
      <c r="AB46" s="88">
        <v>0</v>
      </c>
      <c r="AC46" s="54">
        <f t="shared" si="11"/>
        <v>0</v>
      </c>
      <c r="AT46" s="7" t="s">
        <v>62</v>
      </c>
      <c r="AV46" s="7" t="s">
        <v>60</v>
      </c>
      <c r="AW46" s="7" t="s">
        <v>29</v>
      </c>
      <c r="BA46" s="7" t="s">
        <v>59</v>
      </c>
      <c r="BG46" s="55" t="e">
        <f>IF(#REF!="základná",#REF!,0)</f>
        <v>#REF!</v>
      </c>
      <c r="BH46" s="55" t="e">
        <f>IF(#REF!="znížená",#REF!,0)</f>
        <v>#REF!</v>
      </c>
      <c r="BI46" s="55" t="e">
        <f>IF(#REF!="zákl. prenesená",#REF!,0)</f>
        <v>#REF!</v>
      </c>
      <c r="BJ46" s="55" t="e">
        <f>IF(#REF!="zníž. prenesená",#REF!,0)</f>
        <v>#REF!</v>
      </c>
      <c r="BK46" s="55" t="e">
        <f>IF(#REF!="nulová",#REF!,0)</f>
        <v>#REF!</v>
      </c>
      <c r="BL46" s="7" t="s">
        <v>63</v>
      </c>
      <c r="BM46" s="55" t="e">
        <f>ROUND(#REF!*#REF!,2)</f>
        <v>#REF!</v>
      </c>
      <c r="BN46" s="7" t="s">
        <v>62</v>
      </c>
      <c r="BO46" s="7" t="s">
        <v>137</v>
      </c>
    </row>
    <row r="47" spans="2:67" s="1" customFormat="1" ht="13.5">
      <c r="B47" s="50"/>
      <c r="C47" s="56" t="s">
        <v>122</v>
      </c>
      <c r="D47" s="56" t="s">
        <v>60</v>
      </c>
      <c r="E47" s="57" t="s">
        <v>206</v>
      </c>
      <c r="F47" s="209" t="s">
        <v>207</v>
      </c>
      <c r="G47" s="204"/>
      <c r="H47" s="204"/>
      <c r="I47" s="204"/>
      <c r="J47" s="58" t="s">
        <v>96</v>
      </c>
      <c r="K47" s="59">
        <v>1</v>
      </c>
      <c r="L47" s="203"/>
      <c r="M47" s="204"/>
      <c r="N47" s="233">
        <f>ROUND((K47*L47),2)</f>
        <v>0</v>
      </c>
      <c r="O47" s="234"/>
      <c r="P47" s="234"/>
      <c r="Q47" s="234"/>
      <c r="R47" s="179">
        <f t="shared" si="13"/>
        <v>0</v>
      </c>
      <c r="S47" s="121" t="s">
        <v>158</v>
      </c>
      <c r="T47" s="51"/>
      <c r="V47" s="52" t="s">
        <v>0</v>
      </c>
      <c r="W47" s="11" t="s">
        <v>3</v>
      </c>
      <c r="X47" s="88">
        <v>0</v>
      </c>
      <c r="Y47" s="88">
        <f t="shared" si="9"/>
        <v>0</v>
      </c>
      <c r="Z47" s="88">
        <v>0</v>
      </c>
      <c r="AA47" s="88">
        <f t="shared" si="10"/>
        <v>0</v>
      </c>
      <c r="AB47" s="88">
        <v>0</v>
      </c>
      <c r="AC47" s="54">
        <f t="shared" si="11"/>
        <v>0</v>
      </c>
      <c r="AT47" s="7" t="s">
        <v>78</v>
      </c>
      <c r="AV47" s="7" t="s">
        <v>118</v>
      </c>
      <c r="AW47" s="7" t="s">
        <v>29</v>
      </c>
      <c r="BA47" s="7" t="s">
        <v>59</v>
      </c>
      <c r="BG47" s="55" t="e">
        <f>IF(#REF!="základná",#REF!,0)</f>
        <v>#REF!</v>
      </c>
      <c r="BH47" s="55" t="e">
        <f>IF(#REF!="znížená",#REF!,0)</f>
        <v>#REF!</v>
      </c>
      <c r="BI47" s="55" t="e">
        <f>IF(#REF!="zákl. prenesená",#REF!,0)</f>
        <v>#REF!</v>
      </c>
      <c r="BJ47" s="55" t="e">
        <f>IF(#REF!="zníž. prenesená",#REF!,0)</f>
        <v>#REF!</v>
      </c>
      <c r="BK47" s="55" t="e">
        <f>IF(#REF!="nulová",#REF!,0)</f>
        <v>#REF!</v>
      </c>
      <c r="BL47" s="7" t="s">
        <v>63</v>
      </c>
      <c r="BM47" s="55" t="e">
        <f>ROUND(#REF!*#REF!,2)</f>
        <v>#REF!</v>
      </c>
      <c r="BN47" s="7" t="s">
        <v>62</v>
      </c>
      <c r="BO47" s="7" t="s">
        <v>141</v>
      </c>
    </row>
    <row r="48" spans="2:67" s="1" customFormat="1" ht="42.75" customHeight="1">
      <c r="B48" s="154"/>
      <c r="C48" s="56" t="s">
        <v>124</v>
      </c>
      <c r="D48" s="56" t="s">
        <v>60</v>
      </c>
      <c r="E48" s="57" t="s">
        <v>208</v>
      </c>
      <c r="F48" s="209" t="s">
        <v>209</v>
      </c>
      <c r="G48" s="204"/>
      <c r="H48" s="204"/>
      <c r="I48" s="204"/>
      <c r="J48" s="58" t="s">
        <v>79</v>
      </c>
      <c r="K48" s="59">
        <v>1</v>
      </c>
      <c r="L48" s="203"/>
      <c r="M48" s="204"/>
      <c r="N48" s="233">
        <f>ROUND((K48*L48),2)</f>
        <v>0</v>
      </c>
      <c r="O48" s="234"/>
      <c r="P48" s="234"/>
      <c r="Q48" s="234"/>
      <c r="R48" s="179">
        <f t="shared" si="13"/>
        <v>0</v>
      </c>
      <c r="S48" s="58" t="s">
        <v>158</v>
      </c>
      <c r="T48" s="155"/>
      <c r="V48" s="52" t="s">
        <v>0</v>
      </c>
      <c r="W48" s="11" t="s">
        <v>3</v>
      </c>
      <c r="X48" s="88">
        <v>0</v>
      </c>
      <c r="Y48" s="88">
        <f t="shared" si="9"/>
        <v>0</v>
      </c>
      <c r="Z48" s="88">
        <v>0</v>
      </c>
      <c r="AA48" s="88">
        <f t="shared" si="10"/>
        <v>0</v>
      </c>
      <c r="AB48" s="88">
        <v>0</v>
      </c>
      <c r="AC48" s="54">
        <f t="shared" si="11"/>
        <v>0</v>
      </c>
      <c r="AT48" s="7" t="s">
        <v>62</v>
      </c>
      <c r="AV48" s="7" t="s">
        <v>60</v>
      </c>
      <c r="AW48" s="7" t="s">
        <v>29</v>
      </c>
      <c r="BA48" s="7" t="s">
        <v>59</v>
      </c>
      <c r="BG48" s="55" t="e">
        <f>IF(#REF!="základná",#REF!,0)</f>
        <v>#REF!</v>
      </c>
      <c r="BH48" s="55" t="e">
        <f>IF(#REF!="znížená",#REF!,0)</f>
        <v>#REF!</v>
      </c>
      <c r="BI48" s="55" t="e">
        <f>IF(#REF!="zákl. prenesená",#REF!,0)</f>
        <v>#REF!</v>
      </c>
      <c r="BJ48" s="55" t="e">
        <f>IF(#REF!="zníž. prenesená",#REF!,0)</f>
        <v>#REF!</v>
      </c>
      <c r="BK48" s="55" t="e">
        <f>IF(#REF!="nulová",#REF!,0)</f>
        <v>#REF!</v>
      </c>
      <c r="BL48" s="7" t="s">
        <v>63</v>
      </c>
      <c r="BM48" s="55" t="e">
        <f>ROUND(#REF!*#REF!,2)</f>
        <v>#REF!</v>
      </c>
      <c r="BN48" s="7" t="s">
        <v>62</v>
      </c>
      <c r="BO48" s="7" t="s">
        <v>143</v>
      </c>
    </row>
    <row r="49" spans="2:31" ht="234.75" customHeight="1">
      <c r="B49" s="153"/>
      <c r="C49" s="111"/>
      <c r="D49" s="111"/>
      <c r="E49" s="111"/>
      <c r="F49" s="207" t="s">
        <v>210</v>
      </c>
      <c r="G49" s="208"/>
      <c r="H49" s="208"/>
      <c r="I49" s="208"/>
      <c r="J49" s="111"/>
      <c r="K49" s="111"/>
      <c r="L49" s="68"/>
      <c r="M49" s="68"/>
      <c r="N49" s="237"/>
      <c r="O49" s="238"/>
      <c r="P49" s="238"/>
      <c r="Q49" s="238"/>
      <c r="R49" s="111"/>
      <c r="S49" s="111"/>
      <c r="T49" s="155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2:20" ht="15">
      <c r="B50" s="153"/>
      <c r="C50" s="112"/>
      <c r="D50" s="114" t="s">
        <v>211</v>
      </c>
      <c r="E50" s="114"/>
      <c r="F50" s="114"/>
      <c r="G50" s="114"/>
      <c r="H50" s="114"/>
      <c r="I50" s="114"/>
      <c r="J50" s="114"/>
      <c r="K50" s="114"/>
      <c r="L50" s="157"/>
      <c r="M50" s="157"/>
      <c r="N50" s="248">
        <f>ROUND((SUM(N51:Q53)),2)</f>
        <v>0</v>
      </c>
      <c r="O50" s="249"/>
      <c r="P50" s="249"/>
      <c r="Q50" s="249"/>
      <c r="R50" s="111"/>
      <c r="S50" s="111"/>
      <c r="T50" s="155"/>
    </row>
    <row r="51" spans="2:20" ht="13.5">
      <c r="B51" s="153"/>
      <c r="C51" s="56" t="s">
        <v>127</v>
      </c>
      <c r="D51" s="56" t="s">
        <v>60</v>
      </c>
      <c r="E51" s="57" t="s">
        <v>212</v>
      </c>
      <c r="F51" s="209" t="s">
        <v>213</v>
      </c>
      <c r="G51" s="204"/>
      <c r="H51" s="204"/>
      <c r="I51" s="204"/>
      <c r="J51" s="58" t="s">
        <v>96</v>
      </c>
      <c r="K51" s="59">
        <v>1</v>
      </c>
      <c r="L51" s="203"/>
      <c r="M51" s="204"/>
      <c r="N51" s="233">
        <f>ROUND((K51*L51),2)</f>
        <v>0</v>
      </c>
      <c r="O51" s="234"/>
      <c r="P51" s="234"/>
      <c r="Q51" s="234"/>
      <c r="R51" s="179">
        <f>ROUND((N51*1.2),2)</f>
        <v>0</v>
      </c>
      <c r="S51" s="58" t="s">
        <v>158</v>
      </c>
      <c r="T51" s="155"/>
    </row>
    <row r="52" spans="2:20" ht="22.5" customHeight="1">
      <c r="B52" s="153"/>
      <c r="C52" s="56" t="s">
        <v>129</v>
      </c>
      <c r="D52" s="56" t="s">
        <v>60</v>
      </c>
      <c r="E52" s="57" t="s">
        <v>214</v>
      </c>
      <c r="F52" s="209" t="s">
        <v>215</v>
      </c>
      <c r="G52" s="204"/>
      <c r="H52" s="204"/>
      <c r="I52" s="204"/>
      <c r="J52" s="58" t="s">
        <v>216</v>
      </c>
      <c r="K52" s="59">
        <v>1</v>
      </c>
      <c r="L52" s="203"/>
      <c r="M52" s="204"/>
      <c r="N52" s="233">
        <f>ROUND((K52*L52),2)</f>
        <v>0</v>
      </c>
      <c r="O52" s="234"/>
      <c r="P52" s="234"/>
      <c r="Q52" s="234"/>
      <c r="R52" s="179">
        <f>ROUND((N52*1.2),2)</f>
        <v>0</v>
      </c>
      <c r="S52" s="58" t="s">
        <v>158</v>
      </c>
      <c r="T52" s="146"/>
    </row>
    <row r="53" spans="2:20" ht="13.5">
      <c r="B53" s="153"/>
      <c r="C53" s="56" t="s">
        <v>131</v>
      </c>
      <c r="D53" s="56" t="s">
        <v>60</v>
      </c>
      <c r="E53" s="57" t="s">
        <v>217</v>
      </c>
      <c r="F53" s="209" t="s">
        <v>218</v>
      </c>
      <c r="G53" s="204"/>
      <c r="H53" s="204"/>
      <c r="I53" s="204"/>
      <c r="J53" s="58" t="s">
        <v>216</v>
      </c>
      <c r="K53" s="59">
        <v>1</v>
      </c>
      <c r="L53" s="203"/>
      <c r="M53" s="204"/>
      <c r="N53" s="233">
        <f>ROUND((K53*L53),2)</f>
        <v>0</v>
      </c>
      <c r="O53" s="234"/>
      <c r="P53" s="234"/>
      <c r="Q53" s="234"/>
      <c r="R53" s="179">
        <f>ROUND((N53*1.2),2)</f>
        <v>0</v>
      </c>
      <c r="S53" s="58" t="s">
        <v>158</v>
      </c>
      <c r="T53" s="146"/>
    </row>
    <row r="54" spans="2:20" ht="14.25" thickBot="1">
      <c r="B54" s="153"/>
      <c r="T54" s="146"/>
    </row>
    <row r="55" spans="2:20" ht="18.75" thickBot="1">
      <c r="B55" s="153"/>
      <c r="F55" s="103" t="s">
        <v>156</v>
      </c>
      <c r="G55" s="104"/>
      <c r="H55" s="104"/>
      <c r="I55" s="104"/>
      <c r="J55" s="104"/>
      <c r="K55" s="220">
        <f>N9</f>
        <v>0</v>
      </c>
      <c r="L55" s="221"/>
      <c r="M55" s="221"/>
      <c r="N55" s="221"/>
      <c r="O55" s="221"/>
      <c r="P55" s="221"/>
      <c r="Q55" s="222"/>
      <c r="R55" s="176"/>
      <c r="S55" s="99" t="s">
        <v>158</v>
      </c>
      <c r="T55" s="146"/>
    </row>
    <row r="56" spans="2:20" ht="18.75" thickBot="1">
      <c r="B56" s="153"/>
      <c r="F56" s="205" t="s">
        <v>2</v>
      </c>
      <c r="G56" s="206"/>
      <c r="H56" s="206"/>
      <c r="I56" s="206"/>
      <c r="J56" s="206"/>
      <c r="K56" s="220">
        <f>K57-K55</f>
        <v>0</v>
      </c>
      <c r="L56" s="221"/>
      <c r="M56" s="221"/>
      <c r="N56" s="221"/>
      <c r="O56" s="221"/>
      <c r="P56" s="221"/>
      <c r="Q56" s="222"/>
      <c r="R56" s="176"/>
      <c r="S56" s="100" t="s">
        <v>158</v>
      </c>
      <c r="T56" s="146"/>
    </row>
    <row r="57" spans="2:20" ht="18.75" thickBot="1">
      <c r="B57" s="153"/>
      <c r="F57" s="93" t="s">
        <v>157</v>
      </c>
      <c r="G57" s="94"/>
      <c r="H57" s="94"/>
      <c r="I57" s="94"/>
      <c r="J57" s="94"/>
      <c r="K57" s="220">
        <f>K55*1.2</f>
        <v>0</v>
      </c>
      <c r="L57" s="221"/>
      <c r="M57" s="221"/>
      <c r="N57" s="221"/>
      <c r="O57" s="221"/>
      <c r="P57" s="221"/>
      <c r="Q57" s="222"/>
      <c r="R57" s="176"/>
      <c r="S57" s="101" t="s">
        <v>158</v>
      </c>
      <c r="T57" s="146"/>
    </row>
  </sheetData>
  <sheetProtection/>
  <mergeCells count="125">
    <mergeCell ref="L29:M29"/>
    <mergeCell ref="L33:M33"/>
    <mergeCell ref="C7:S7"/>
    <mergeCell ref="F46:I46"/>
    <mergeCell ref="L46:M46"/>
    <mergeCell ref="F28:I28"/>
    <mergeCell ref="L28:M28"/>
    <mergeCell ref="F37:I37"/>
    <mergeCell ref="L37:M37"/>
    <mergeCell ref="F45:I45"/>
    <mergeCell ref="F29:I29"/>
    <mergeCell ref="F15:I15"/>
    <mergeCell ref="F32:I32"/>
    <mergeCell ref="F52:I52"/>
    <mergeCell ref="F26:I26"/>
    <mergeCell ref="L26:M26"/>
    <mergeCell ref="F34:I34"/>
    <mergeCell ref="L34:M34"/>
    <mergeCell ref="F30:I30"/>
    <mergeCell ref="L30:M30"/>
    <mergeCell ref="C4:AN4"/>
    <mergeCell ref="F33:I33"/>
    <mergeCell ref="F56:J56"/>
    <mergeCell ref="N9:Q9"/>
    <mergeCell ref="F14:I14"/>
    <mergeCell ref="L14:M14"/>
    <mergeCell ref="N14:Q14"/>
    <mergeCell ref="L22:M22"/>
    <mergeCell ref="N22:Q22"/>
    <mergeCell ref="F18:I18"/>
    <mergeCell ref="C5:AI5"/>
    <mergeCell ref="F16:I16"/>
    <mergeCell ref="L16:M16"/>
    <mergeCell ref="L17:M17"/>
    <mergeCell ref="L15:M15"/>
    <mergeCell ref="F13:I13"/>
    <mergeCell ref="L13:M13"/>
    <mergeCell ref="N13:Q13"/>
    <mergeCell ref="C2:AE2"/>
    <mergeCell ref="F8:I8"/>
    <mergeCell ref="L8:M8"/>
    <mergeCell ref="N8:Q8"/>
    <mergeCell ref="F12:I12"/>
    <mergeCell ref="L12:M12"/>
    <mergeCell ref="N10:Q10"/>
    <mergeCell ref="N11:Q11"/>
    <mergeCell ref="N12:Q12"/>
    <mergeCell ref="C3:AH3"/>
    <mergeCell ref="N18:Q18"/>
    <mergeCell ref="N17:Q17"/>
    <mergeCell ref="F19:I19"/>
    <mergeCell ref="L19:M19"/>
    <mergeCell ref="N19:Q19"/>
    <mergeCell ref="F17:I17"/>
    <mergeCell ref="L18:M18"/>
    <mergeCell ref="F27:I27"/>
    <mergeCell ref="L27:M27"/>
    <mergeCell ref="N27:Q27"/>
    <mergeCell ref="F24:I24"/>
    <mergeCell ref="L24:M24"/>
    <mergeCell ref="F20:I20"/>
    <mergeCell ref="L20:M20"/>
    <mergeCell ref="N20:Q20"/>
    <mergeCell ref="N21:Q21"/>
    <mergeCell ref="F22:I22"/>
    <mergeCell ref="F31:I31"/>
    <mergeCell ref="L31:M31"/>
    <mergeCell ref="N31:Q31"/>
    <mergeCell ref="L32:M32"/>
    <mergeCell ref="N32:Q32"/>
    <mergeCell ref="F23:I23"/>
    <mergeCell ref="L23:M23"/>
    <mergeCell ref="N23:Q23"/>
    <mergeCell ref="N25:Q25"/>
    <mergeCell ref="N24:Q24"/>
    <mergeCell ref="F36:I36"/>
    <mergeCell ref="L36:M36"/>
    <mergeCell ref="N36:Q36"/>
    <mergeCell ref="F39:I39"/>
    <mergeCell ref="L39:M39"/>
    <mergeCell ref="N39:Q39"/>
    <mergeCell ref="F38:I38"/>
    <mergeCell ref="L38:M38"/>
    <mergeCell ref="N37:Q37"/>
    <mergeCell ref="N38:Q38"/>
    <mergeCell ref="F48:I48"/>
    <mergeCell ref="L48:M48"/>
    <mergeCell ref="N48:Q48"/>
    <mergeCell ref="F42:I42"/>
    <mergeCell ref="L42:M42"/>
    <mergeCell ref="N42:Q42"/>
    <mergeCell ref="F44:I44"/>
    <mergeCell ref="L44:M44"/>
    <mergeCell ref="N44:Q44"/>
    <mergeCell ref="N43:Q43"/>
    <mergeCell ref="N35:Q35"/>
    <mergeCell ref="F49:I49"/>
    <mergeCell ref="N49:Q49"/>
    <mergeCell ref="N50:Q50"/>
    <mergeCell ref="F51:I51"/>
    <mergeCell ref="L51:M51"/>
    <mergeCell ref="N51:Q51"/>
    <mergeCell ref="F47:I47"/>
    <mergeCell ref="L47:M47"/>
    <mergeCell ref="N47:Q47"/>
    <mergeCell ref="N41:Q41"/>
    <mergeCell ref="F53:I53"/>
    <mergeCell ref="L53:M53"/>
    <mergeCell ref="N53:Q53"/>
    <mergeCell ref="L52:M52"/>
    <mergeCell ref="N15:Q15"/>
    <mergeCell ref="N16:Q16"/>
    <mergeCell ref="N26:Q26"/>
    <mergeCell ref="N28:Q28"/>
    <mergeCell ref="N34:Q34"/>
    <mergeCell ref="K55:Q55"/>
    <mergeCell ref="K56:Q56"/>
    <mergeCell ref="K57:Q57"/>
    <mergeCell ref="N29:Q29"/>
    <mergeCell ref="N33:Q33"/>
    <mergeCell ref="N30:Q30"/>
    <mergeCell ref="N45:Q45"/>
    <mergeCell ref="N46:Q46"/>
    <mergeCell ref="N52:Q52"/>
    <mergeCell ref="N40:Q40"/>
  </mergeCells>
  <printOptions/>
  <pageMargins left="0.25" right="0.25" top="0.75" bottom="0.75" header="0.3" footer="0.3"/>
  <pageSetup blackAndWhite="1" errors="blank" fitToHeight="10" fitToWidth="1" horizontalDpi="600" verticalDpi="600" orientation="portrait" paperSize="9" scale="67" r:id="rId1"/>
  <ignoredErrors>
    <ignoredError sqref="R12:R20 N12:Q20 N22:Q24 R22:R24 R26:R34 N26:Q34 N36:Q39 R36:R39 N40:N42 R42 N44 R44 R46:R48 N46:Q48 N51:Q53 R51:R53 N50" unlockedFormula="1"/>
    <ignoredError sqref="N21 N25 N35 N4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Lenovo-PC\Lenovo</dc:creator>
  <cp:keywords/>
  <dc:description/>
  <cp:lastModifiedBy>Frivalská, Dáša</cp:lastModifiedBy>
  <cp:lastPrinted>2019-09-19T09:57:36Z</cp:lastPrinted>
  <dcterms:created xsi:type="dcterms:W3CDTF">2018-03-07T13:35:30Z</dcterms:created>
  <dcterms:modified xsi:type="dcterms:W3CDTF">2020-07-13T13:11:55Z</dcterms:modified>
  <cp:category/>
  <cp:version/>
  <cp:contentType/>
  <cp:contentStatus/>
</cp:coreProperties>
</file>