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eta.sramekova\Desktop\MOST\k uverejneniu\"/>
    </mc:Choice>
  </mc:AlternateContent>
  <bookViews>
    <workbookView xWindow="0" yWindow="0" windowWidth="24000" windowHeight="9000" tabRatio="500"/>
  </bookViews>
  <sheets>
    <sheet name="Krycí list" sheetId="2" r:id="rId1"/>
    <sheet name="Rekapitulácia" sheetId="3" r:id="rId2"/>
    <sheet name="Rozpočet most" sheetId="1" r:id="rId3"/>
    <sheet name="Rozpočet VO" sheetId="4" r:id="rId4"/>
  </sheets>
  <externalReferences>
    <externalReference r:id="rId5"/>
  </externalReferences>
  <definedNames>
    <definedName name="_xlnm._FilterDatabase" localSheetId="2" hidden="1">'Rozpočet most'!$A$13:$AMK$13</definedName>
  </definedNames>
  <calcPr calcId="162913" iterateCount="1"/>
</workbook>
</file>

<file path=xl/calcChain.xml><?xml version="1.0" encoding="utf-8"?>
<calcChain xmlns="http://schemas.openxmlformats.org/spreadsheetml/2006/main">
  <c r="E276" i="1" l="1"/>
  <c r="E275" i="1"/>
  <c r="E277" i="1" l="1"/>
  <c r="G274" i="1" s="1"/>
  <c r="I274" i="1" s="1"/>
  <c r="E272" i="1"/>
  <c r="G269" i="1" s="1"/>
  <c r="E266" i="1"/>
  <c r="G265" i="1" s="1"/>
  <c r="I265" i="1" s="1"/>
  <c r="E140" i="1"/>
  <c r="E142" i="1" s="1"/>
  <c r="G139" i="1" s="1"/>
  <c r="I139" i="1" s="1"/>
  <c r="E141" i="1"/>
  <c r="E216" i="1" l="1"/>
  <c r="G212" i="1" s="1"/>
  <c r="I361" i="1" l="1"/>
  <c r="I359" i="1" l="1"/>
  <c r="E354" i="1"/>
  <c r="C7" i="1" l="1"/>
  <c r="E26" i="2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E38" i="4"/>
  <c r="E37" i="4"/>
  <c r="F36" i="4"/>
  <c r="E35" i="4"/>
  <c r="F33" i="4"/>
  <c r="H33" i="4" s="1"/>
  <c r="F32" i="4"/>
  <c r="H32" i="4" s="1"/>
  <c r="E31" i="4"/>
  <c r="H31" i="4" s="1"/>
  <c r="E30" i="4"/>
  <c r="H30" i="4" s="1"/>
  <c r="F29" i="4"/>
  <c r="E28" i="4"/>
  <c r="F27" i="4"/>
  <c r="E26" i="4"/>
  <c r="F25" i="4"/>
  <c r="H25" i="4" s="1"/>
  <c r="F24" i="4"/>
  <c r="H24" i="4" s="1"/>
  <c r="F23" i="4"/>
  <c r="H23" i="4" s="1"/>
  <c r="E22" i="4"/>
  <c r="H22" i="4" s="1"/>
  <c r="F21" i="4"/>
  <c r="H21" i="4" s="1"/>
  <c r="E20" i="4"/>
  <c r="H20" i="4" s="1"/>
  <c r="F19" i="4"/>
  <c r="H19" i="4" s="1"/>
  <c r="E18" i="4"/>
  <c r="H18" i="4" s="1"/>
  <c r="F17" i="4"/>
  <c r="H17" i="4" s="1"/>
  <c r="E16" i="4"/>
  <c r="H16" i="4" s="1"/>
  <c r="E15" i="4"/>
  <c r="H15" i="4" s="1"/>
  <c r="F14" i="4"/>
  <c r="H14" i="4" s="1"/>
  <c r="F13" i="4"/>
  <c r="H13" i="4" s="1"/>
  <c r="F12" i="4"/>
  <c r="H12" i="4" s="1"/>
  <c r="E11" i="4"/>
  <c r="H11" i="4" s="1"/>
  <c r="F10" i="4"/>
  <c r="H10" i="4" s="1"/>
  <c r="E9" i="4"/>
  <c r="H9" i="4" s="1"/>
  <c r="F6" i="4"/>
  <c r="H6" i="4" s="1"/>
  <c r="F5" i="4"/>
  <c r="H5" i="4" s="1"/>
  <c r="B3" i="3"/>
  <c r="C3" i="1" s="1"/>
  <c r="B2" i="3"/>
  <c r="C2" i="1" s="1"/>
  <c r="E16" i="3"/>
  <c r="D16" i="3"/>
  <c r="E15" i="3"/>
  <c r="D15" i="3"/>
  <c r="E14" i="3"/>
  <c r="D14" i="3"/>
  <c r="B8" i="3"/>
  <c r="B5" i="3"/>
  <c r="B4" i="3"/>
  <c r="K45" i="2"/>
  <c r="J44" i="2"/>
  <c r="R44" i="2"/>
  <c r="P42" i="2"/>
  <c r="P41" i="2"/>
  <c r="P40" i="2"/>
  <c r="P39" i="2"/>
  <c r="P38" i="2"/>
  <c r="R35" i="2"/>
  <c r="J35" i="2"/>
  <c r="E35" i="2"/>
  <c r="F58" i="4" l="1"/>
  <c r="E58" i="4"/>
  <c r="H58" i="4"/>
  <c r="C15" i="3" s="1"/>
  <c r="G58" i="4"/>
  <c r="S49" i="2"/>
  <c r="I225" i="1"/>
  <c r="H59" i="4" l="1"/>
  <c r="H60" i="4" s="1"/>
  <c r="E42" i="1"/>
  <c r="E38" i="1"/>
  <c r="I79" i="1" l="1"/>
  <c r="E111" i="1" l="1"/>
  <c r="E108" i="1"/>
  <c r="E107" i="1"/>
  <c r="E106" i="1"/>
  <c r="E105" i="1"/>
  <c r="E104" i="1"/>
  <c r="E103" i="1"/>
  <c r="E102" i="1"/>
  <c r="E101" i="1"/>
  <c r="E100" i="1"/>
  <c r="I256" i="1"/>
  <c r="E257" i="1"/>
  <c r="I136" i="1"/>
  <c r="I95" i="1"/>
  <c r="I353" i="1"/>
  <c r="E355" i="1"/>
  <c r="I123" i="1"/>
  <c r="E127" i="1"/>
  <c r="G126" i="1" s="1"/>
  <c r="I126" i="1" s="1"/>
  <c r="I119" i="1"/>
  <c r="E120" i="1"/>
  <c r="E347" i="1"/>
  <c r="E109" i="1" l="1"/>
  <c r="E112" i="1" s="1"/>
  <c r="G98" i="1" s="1"/>
  <c r="I98" i="1" s="1"/>
  <c r="E356" i="1"/>
  <c r="E263" i="1"/>
  <c r="G262" i="1" s="1"/>
  <c r="I262" i="1" s="1"/>
  <c r="G298" i="1"/>
  <c r="I298" i="1" s="1"/>
  <c r="I301" i="1"/>
  <c r="E302" i="1"/>
  <c r="E305" i="1"/>
  <c r="G304" i="1" s="1"/>
  <c r="I304" i="1" s="1"/>
  <c r="E314" i="1"/>
  <c r="G313" i="1" s="1"/>
  <c r="I313" i="1" s="1"/>
  <c r="E310" i="1"/>
  <c r="E309" i="1"/>
  <c r="E308" i="1"/>
  <c r="I23" i="1"/>
  <c r="I350" i="1"/>
  <c r="E346" i="1"/>
  <c r="E345" i="1"/>
  <c r="E341" i="1"/>
  <c r="E340" i="1"/>
  <c r="I339" i="1"/>
  <c r="E337" i="1"/>
  <c r="I336" i="1"/>
  <c r="E333" i="1"/>
  <c r="E334" i="1" s="1"/>
  <c r="I331" i="1"/>
  <c r="I328" i="1"/>
  <c r="E325" i="1"/>
  <c r="E326" i="1" s="1"/>
  <c r="G323" i="1" s="1"/>
  <c r="I323" i="1" s="1"/>
  <c r="E320" i="1"/>
  <c r="E319" i="1"/>
  <c r="E318" i="1"/>
  <c r="E296" i="1"/>
  <c r="I295" i="1"/>
  <c r="E292" i="1"/>
  <c r="E291" i="1"/>
  <c r="E287" i="1"/>
  <c r="I286" i="1"/>
  <c r="E283" i="1"/>
  <c r="E282" i="1"/>
  <c r="E281" i="1"/>
  <c r="I269" i="1"/>
  <c r="E260" i="1"/>
  <c r="I259" i="1"/>
  <c r="E254" i="1"/>
  <c r="G251" i="1" s="1"/>
  <c r="I251" i="1" s="1"/>
  <c r="I248" i="1"/>
  <c r="E245" i="1"/>
  <c r="E244" i="1"/>
  <c r="I240" i="1"/>
  <c r="E237" i="1"/>
  <c r="E236" i="1"/>
  <c r="I235" i="1"/>
  <c r="E233" i="1"/>
  <c r="G231" i="1" s="1"/>
  <c r="I231" i="1" s="1"/>
  <c r="I228" i="1"/>
  <c r="E223" i="1"/>
  <c r="G222" i="1" s="1"/>
  <c r="I222" i="1" s="1"/>
  <c r="E220" i="1"/>
  <c r="G219" i="1" s="1"/>
  <c r="I219" i="1" s="1"/>
  <c r="E210" i="1"/>
  <c r="G209" i="1" s="1"/>
  <c r="I209" i="1" s="1"/>
  <c r="E206" i="1"/>
  <c r="E205" i="1"/>
  <c r="E201" i="1"/>
  <c r="E200" i="1"/>
  <c r="G196" i="1"/>
  <c r="I196" i="1" s="1"/>
  <c r="E194" i="1"/>
  <c r="G193" i="1" s="1"/>
  <c r="I193" i="1" s="1"/>
  <c r="E191" i="1"/>
  <c r="G190" i="1" s="1"/>
  <c r="G187" i="1"/>
  <c r="I187" i="1" s="1"/>
  <c r="E184" i="1"/>
  <c r="E183" i="1"/>
  <c r="E179" i="1"/>
  <c r="E177" i="1"/>
  <c r="E176" i="1"/>
  <c r="E175" i="1"/>
  <c r="E174" i="1"/>
  <c r="E173" i="1"/>
  <c r="E166" i="1"/>
  <c r="E162" i="1"/>
  <c r="E161" i="1"/>
  <c r="E160" i="1"/>
  <c r="E159" i="1"/>
  <c r="E158" i="1"/>
  <c r="E157" i="1"/>
  <c r="E156" i="1"/>
  <c r="I155" i="1"/>
  <c r="E152" i="1"/>
  <c r="E151" i="1"/>
  <c r="E150" i="1"/>
  <c r="E149" i="1"/>
  <c r="E148" i="1"/>
  <c r="E147" i="1"/>
  <c r="E133" i="1"/>
  <c r="I132" i="1"/>
  <c r="E130" i="1"/>
  <c r="I129" i="1"/>
  <c r="E116" i="1"/>
  <c r="E115" i="1"/>
  <c r="E92" i="1"/>
  <c r="E91" i="1"/>
  <c r="E90" i="1"/>
  <c r="I85" i="1"/>
  <c r="E81" i="1"/>
  <c r="E80" i="1"/>
  <c r="E77" i="1"/>
  <c r="G76" i="1" s="1"/>
  <c r="I76" i="1" s="1"/>
  <c r="E74" i="1"/>
  <c r="I73" i="1"/>
  <c r="E70" i="1"/>
  <c r="E69" i="1"/>
  <c r="I68" i="1"/>
  <c r="E64" i="1"/>
  <c r="E63" i="1"/>
  <c r="E61" i="1"/>
  <c r="E60" i="1"/>
  <c r="E55" i="1"/>
  <c r="E54" i="1"/>
  <c r="E53" i="1"/>
  <c r="E52" i="1"/>
  <c r="E50" i="1"/>
  <c r="E49" i="1"/>
  <c r="E48" i="1"/>
  <c r="E47" i="1"/>
  <c r="E41" i="1"/>
  <c r="E39" i="1"/>
  <c r="E35" i="1"/>
  <c r="E34" i="1"/>
  <c r="E33" i="1"/>
  <c r="E32" i="1"/>
  <c r="E30" i="1"/>
  <c r="E29" i="1"/>
  <c r="E28" i="1"/>
  <c r="E27" i="1"/>
  <c r="I21" i="1"/>
  <c r="I19" i="1"/>
  <c r="I17" i="1"/>
  <c r="I15" i="1"/>
  <c r="I13" i="1"/>
  <c r="E169" i="1" l="1"/>
  <c r="G165" i="1" s="1"/>
  <c r="I165" i="1" s="1"/>
  <c r="E348" i="1"/>
  <c r="G344" i="1" s="1"/>
  <c r="I344" i="1" s="1"/>
  <c r="E65" i="1"/>
  <c r="E83" i="1"/>
  <c r="E238" i="1"/>
  <c r="E293" i="1"/>
  <c r="G289" i="1" s="1"/>
  <c r="I289" i="1" s="1"/>
  <c r="E117" i="1"/>
  <c r="G114" i="1" s="1"/>
  <c r="I114" i="1" s="1"/>
  <c r="E185" i="1"/>
  <c r="G182" i="1" s="1"/>
  <c r="I182" i="1" s="1"/>
  <c r="E202" i="1"/>
  <c r="G199" i="1" s="1"/>
  <c r="I199" i="1" s="1"/>
  <c r="E207" i="1"/>
  <c r="G204" i="1" s="1"/>
  <c r="I204" i="1" s="1"/>
  <c r="E342" i="1"/>
  <c r="I190" i="1"/>
  <c r="E246" i="1"/>
  <c r="G243" i="1" s="1"/>
  <c r="I243" i="1" s="1"/>
  <c r="E311" i="1"/>
  <c r="G307" i="1" s="1"/>
  <c r="I307" i="1" s="1"/>
  <c r="E71" i="1"/>
  <c r="E93" i="1"/>
  <c r="G88" i="1" s="1"/>
  <c r="I88" i="1" s="1"/>
  <c r="E163" i="1"/>
  <c r="E36" i="1"/>
  <c r="E284" i="1"/>
  <c r="G280" i="1" s="1"/>
  <c r="I280" i="1" s="1"/>
  <c r="E31" i="1"/>
  <c r="E153" i="1"/>
  <c r="G146" i="1" s="1"/>
  <c r="I146" i="1" s="1"/>
  <c r="E321" i="1"/>
  <c r="G316" i="1" s="1"/>
  <c r="I316" i="1" s="1"/>
  <c r="E51" i="1"/>
  <c r="E56" i="1"/>
  <c r="E62" i="1"/>
  <c r="E180" i="1"/>
  <c r="G171" i="1" s="1"/>
  <c r="I171" i="1" s="1"/>
  <c r="E66" i="1" l="1"/>
  <c r="G59" i="1" s="1"/>
  <c r="I59" i="1" s="1"/>
  <c r="E37" i="1"/>
  <c r="E44" i="1" s="1"/>
  <c r="G26" i="1" s="1"/>
  <c r="I26" i="1" s="1"/>
  <c r="E57" i="1"/>
  <c r="G46" i="1" s="1"/>
  <c r="I46" i="1" s="1"/>
  <c r="I212" i="1"/>
  <c r="I367" i="1" l="1"/>
  <c r="C14" i="3" s="1"/>
  <c r="C16" i="3" s="1"/>
  <c r="E38" i="2" s="1"/>
  <c r="E44" i="2" s="1"/>
  <c r="S47" i="2" s="1"/>
  <c r="R47" i="2" l="1"/>
  <c r="O48" i="2" s="1"/>
  <c r="S48" i="2" l="1"/>
  <c r="R48" i="2"/>
  <c r="R50" i="2" s="1"/>
</calcChain>
</file>

<file path=xl/sharedStrings.xml><?xml version="1.0" encoding="utf-8"?>
<sst xmlns="http://schemas.openxmlformats.org/spreadsheetml/2006/main" count="774" uniqueCount="477">
  <si>
    <t>KÓD CPV</t>
  </si>
  <si>
    <t>KÓD SP</t>
  </si>
  <si>
    <t>45.00.00</t>
  </si>
  <si>
    <t>Geodetické práce - vykonávané pred výstavbou-určenie priebehu nadzemného alebo podzemného existujúceho vedenia</t>
  </si>
  <si>
    <t>kpl</t>
  </si>
  <si>
    <t>Geodetické práce - vykonávané v priebehu výstavby - výškové merania</t>
  </si>
  <si>
    <t>Geodetické práce - vykonávané po výstavbe - zameranie skutočného vyhotovenia stavby</t>
  </si>
  <si>
    <t>Projektové práce - náklady na vypracovanie dokumentácie na vykonanie prác</t>
  </si>
  <si>
    <t>Projektové práce - náklady na dokumentáciu skutočného zhotovenia stavby (DSRS)</t>
  </si>
  <si>
    <t xml:space="preserve">Dočasné dopravné značenie - zriadenie, prevádzka, údržba, odstránenie - podľa projektu </t>
  </si>
  <si>
    <t>00010401</t>
  </si>
  <si>
    <t>Zmluvné požiadavky poplatky za skládky vybúraných hmôt a sutí</t>
  </si>
  <si>
    <t>t</t>
  </si>
  <si>
    <t>I.etapa -  prechodové dosky 7*8,1*0,3*2=</t>
  </si>
  <si>
    <t>- úložné prahy 0,8*2,63*(13,96+13,70)=</t>
  </si>
  <si>
    <t>- nosníky 10ks*6,44=</t>
  </si>
  <si>
    <t>- rímsa 1,8*0,4*19,9=</t>
  </si>
  <si>
    <t>Medzisúčet</t>
  </si>
  <si>
    <t>II.etapa -  prechodové dosky 7*8,9*0,3*2=</t>
  </si>
  <si>
    <t>- úložné prahy 0,8*2,63*(10,45+10,55)=</t>
  </si>
  <si>
    <t>- nosníky 9ks*6,44=</t>
  </si>
  <si>
    <t>- rímsa 1,6*0,4*19,9=</t>
  </si>
  <si>
    <t>Frezovaný asf. Materiál 3009,33*0,127t/m2</t>
  </si>
  <si>
    <t>Obrubníky</t>
  </si>
  <si>
    <t>Kamenivo</t>
  </si>
  <si>
    <t>Vybúraný asfal. Materiál</t>
  </si>
  <si>
    <t>spolu</t>
  </si>
  <si>
    <t>45.11.11</t>
  </si>
  <si>
    <t>05010105</t>
  </si>
  <si>
    <t>Búranie konštrukcií základov, železobetónových</t>
  </si>
  <si>
    <t>m3</t>
  </si>
  <si>
    <t>- úložné prahy 0,8*2,63*(13,96+13,70)*0,2=</t>
  </si>
  <si>
    <t>- nosníky (10ks*6,44)*0,2=</t>
  </si>
  <si>
    <t>- úložné prahy 0,8*2,63*(10,45+10,55)*0,2=</t>
  </si>
  <si>
    <t>- nosníky (9ks*6,44)*0,2=</t>
  </si>
  <si>
    <t>Spolu</t>
  </si>
  <si>
    <t>RP090405</t>
  </si>
  <si>
    <t>Doplňujúce práce, diamantové rezanie</t>
  </si>
  <si>
    <t>m2</t>
  </si>
  <si>
    <t>I. etapa - úložné prahy 2,63*(13,96+13,7)+2,63*0,8*2*2=</t>
  </si>
  <si>
    <t>nosníky (dvojice) 0,85*18*5=</t>
  </si>
  <si>
    <t>II. etapa - úložné prahy 2,63*(10,45+10,55)+2,63*0,8*2*2=</t>
  </si>
  <si>
    <t>nosníky (dvojice) 0,85*18*4=</t>
  </si>
  <si>
    <t>45.11.10</t>
  </si>
  <si>
    <t>05020207</t>
  </si>
  <si>
    <t>Vybúranie, odstránenie konštrukcií - zariaďovacích predmetov kovových</t>
  </si>
  <si>
    <t>m</t>
  </si>
  <si>
    <t>Zábradlia 20*2=</t>
  </si>
  <si>
    <t>Zvodidlá 15+21+27+19=</t>
  </si>
  <si>
    <t>05030262</t>
  </si>
  <si>
    <t>Odstránenie spevnených plôch a vozoviek, podkladov bitúmenových</t>
  </si>
  <si>
    <t>hr. 100mm chodníky v podjazde  3*50*2</t>
  </si>
  <si>
    <t>05030264</t>
  </si>
  <si>
    <t>Odstránenie spevnených plôch a vozoviek, podkladov z kameniva hrubého drveného</t>
  </si>
  <si>
    <t>hr. nad 300mm 3009,33/3=</t>
  </si>
  <si>
    <t>05030304</t>
  </si>
  <si>
    <t>Odstránenie spevnených plôch a vozoviek, obrubníkov a krajníkov betónových</t>
  </si>
  <si>
    <t>I.etapa -  20,3+15=</t>
  </si>
  <si>
    <t>II.etapa -  26+18=</t>
  </si>
  <si>
    <t>Podjazd – 50*2</t>
  </si>
  <si>
    <t>05080200</t>
  </si>
  <si>
    <t>Doprava vybúraných hmôt vodorovná</t>
  </si>
  <si>
    <t>do 15km 2165t</t>
  </si>
  <si>
    <t>05090362</t>
  </si>
  <si>
    <t>Doplňujúce práce, frézovanie bitúmenového krytu, podkladu</t>
  </si>
  <si>
    <t>hr.50mm</t>
  </si>
  <si>
    <t>I.etapa - (8,1*19,6+9*18+8*20,3)*0,15/0,05=</t>
  </si>
  <si>
    <t>II.etapa - (8,5*20,3+9*18+9*20,6)*0,15/0,05=</t>
  </si>
  <si>
    <t>Podjazd – 50*7,5</t>
  </si>
  <si>
    <t>vrátane zarezaní vozovky pozdĺžneho a priečneho pri napojeniach jednotlivých vrstiev</t>
  </si>
  <si>
    <t>05090605</t>
  </si>
  <si>
    <t>Doplňujúce práce, otryskanie železobetónovej konštrukcie</t>
  </si>
  <si>
    <t>ks</t>
  </si>
  <si>
    <t>do Ø30mm 0,47€/cm</t>
  </si>
  <si>
    <t>45.11.23</t>
  </si>
  <si>
    <t>01020200</t>
  </si>
  <si>
    <t>Odkopávky a prekopávky nezapažené</t>
  </si>
  <si>
    <t>I.etapa -  11,5*(8,245+5,715)/2*2,515+12*(7,85+5,72)/2*2,125=</t>
  </si>
  <si>
    <t>II.etapa -  11,0*(8,245+5,715)/2*2,515+12*(7,85+5,72)/2*2,125=</t>
  </si>
  <si>
    <t>01030201</t>
  </si>
  <si>
    <t>Hĺbené vykopávky rýh š. do 600 mm</t>
  </si>
  <si>
    <t>01040100</t>
  </si>
  <si>
    <t>Konštrukcie z hornín - skládky</t>
  </si>
  <si>
    <t>02010221</t>
  </si>
  <si>
    <t>Zlepšovanie základovej pôdy, lôžko pre trativody a vankúše pod základy, z betónu prosteho</t>
  </si>
  <si>
    <t>19,5*0,8*0,3*2</t>
  </si>
  <si>
    <t>02010309</t>
  </si>
  <si>
    <t>Zlepšovanie základovej pôdy, trativody kompletné z potrubia plastického</t>
  </si>
  <si>
    <t>odvodnenie rubu opory cez krídlo vrátane chráničky cez krídlo PVC 160mm (19,5+2*10)*2</t>
  </si>
  <si>
    <t xml:space="preserve">S vyvedením na svah kužeľa </t>
  </si>
  <si>
    <t>45.21.20</t>
  </si>
  <si>
    <t>11050202</t>
  </si>
  <si>
    <t>Zvislé konštrukcie inžinierskych stavieb, opory z betónu železového C35/45</t>
  </si>
  <si>
    <t>I. etapa - úložné prahy 2,285*13,36*0,39+2,5*13,81*0,34+0,55*0,55*0,2*10+0,55*0,55*0,24*10=</t>
  </si>
  <si>
    <t>- záverné múriky 1,675*10,1*0,45+1,715*9,9*0,45=</t>
  </si>
  <si>
    <t>II. etapa - úložné prahy 2,285*10,79*0,39+2,5*10,73*0,34+0,55*0,55*0,2*9+0,55*0,55*0,24*9</t>
  </si>
  <si>
    <t>- záverné múriky 1,7*9,6*0,45+1,7*8,9*0,45=</t>
  </si>
  <si>
    <t>I.etapa krídla – ((1,665+2,275)/2*1,675+1*2,275))*1,9+((1,725+2,28)/2*3,39+1,06*2,2)*(1,59+2,15)/2</t>
  </si>
  <si>
    <t>II.etapa krídla – ((1,645+2,275)/2*2,91+1*2,275)*0,625+((1,67+2,28)/2*1,885+1,0*2,3)*1,125</t>
  </si>
  <si>
    <t>11050211</t>
  </si>
  <si>
    <t>Zvislé konštrukcie inžinierskych stavieb, opory, debnenie tradičné</t>
  </si>
  <si>
    <t>I. etapa - úložné prahy (2,285+13,36)*2*0,39+(2,5+13,81)*2*0,34+(0,55+0,55)*2*0,2*10+(0,55+0,55)*2*0,24*10=</t>
  </si>
  <si>
    <t>- záverné múriky 1,675*(10,1+0,45)*2+1,715*(9,9+0,45)*2=</t>
  </si>
  <si>
    <t>II. etapa - úložné prahy (2,285+10,79)*2*0,39+(2,5+10,73)*2*0,34+(0,55+0,55)*2*0,2*9+(0,55+0,55)*2*0,24*9</t>
  </si>
  <si>
    <t>- záverné múriky 1,7*(9,6+0,45)*2+1,7*(8,9+0,45)*2=</t>
  </si>
  <si>
    <t>I.etapa krídla – ((1,665+2,275)/2*1,675*2+0,5*2,275+1,9*1,665)+((1,725+2,28)/2*3,39*2+0,5*2,2+2,15*1,725)</t>
  </si>
  <si>
    <t>II.etapa krídla – ((1,645+2,275)/2*2,91*2+0,5*2,275+0,625*1,645)+((1,67+2,28)/2*1,885*2+0,5*2,3+1,67*1,125=</t>
  </si>
  <si>
    <t>Podkladný betón hr.100mm pod krídla 0,1*(2,1+2,0+1,0+1,35+0,6*4)*2=</t>
  </si>
  <si>
    <t>11050221</t>
  </si>
  <si>
    <t>Zvislé konštrukcie inžinierskych stavieb, opory, výstuž z betonárskej ocele</t>
  </si>
  <si>
    <t>B500 B 13106,56- 3695kg</t>
  </si>
  <si>
    <r>
      <rPr>
        <i/>
        <sz val="10"/>
        <color rgb="FF000000"/>
        <rFont val="Arial"/>
        <family val="2"/>
        <charset val="238"/>
      </rPr>
      <t xml:space="preserve">B500 B kotevné tŕne </t>
    </r>
    <r>
      <rPr>
        <i/>
        <sz val="10"/>
        <color rgb="FF000000"/>
        <rFont val="Arial"/>
        <family val="2"/>
        <charset val="1"/>
      </rPr>
      <t>Ø25-500, 155</t>
    </r>
    <r>
      <rPr>
        <i/>
        <sz val="10"/>
        <color rgb="FF000000"/>
        <rFont val="Arial"/>
        <family val="2"/>
        <charset val="238"/>
      </rPr>
      <t>kg</t>
    </r>
  </si>
  <si>
    <t>11050602</t>
  </si>
  <si>
    <t>Zvislé konštrukcie inžinierskych stavieb, rímsy z betónu železového</t>
  </si>
  <si>
    <t>I.etapa dobetonávka C35/45 XC4,XD3, XF4 1,7</t>
  </si>
  <si>
    <t>R1 (3,49+2,51)/2*1,885*0,24=</t>
  </si>
  <si>
    <t>R2 (5,835+4,86)*(1,755+1,915)*0,24=</t>
  </si>
  <si>
    <t>R3 1,94*6,02*0,24=</t>
  </si>
  <si>
    <t>R4 (7,455+6,495)*1,745*0,24=</t>
  </si>
  <si>
    <t>R5 (3,455+4,4)*(1,865+1,725)/2*0,24=</t>
  </si>
  <si>
    <t xml:space="preserve">II.etapa - </t>
  </si>
  <si>
    <t xml:space="preserve">R6 až R10 ((3,885+3,515)/2*(0,735+0,67)/2+(6,36+6)/2*0,675+6,02*0,7+(6,205+5,8)/2*(0,7+0,76)/2+(1,255+0,765)/2*2,345+(0,765*0,855-0,765*0,41/2))*0,24=  </t>
  </si>
  <si>
    <t>vrátane úpravy pracovných škár tmelom UV stabilným v zmysle výkresu tvaru ríms</t>
  </si>
  <si>
    <t>11050611</t>
  </si>
  <si>
    <t>Zvislé konštrukcie inžinierskych stavieb, rímsy, debnenie tradičné</t>
  </si>
  <si>
    <t>I.etapa -  (25,815+2,1*6)*0,24=</t>
  </si>
  <si>
    <t>II.etapa -  (25,475+0,7*5+1,255)*0,25=</t>
  </si>
  <si>
    <t>11050621</t>
  </si>
  <si>
    <t>Zvislé konštrukcie inžinierskych stavieb, rímsy, výstuž z betonárskej ocele</t>
  </si>
  <si>
    <t>11080102</t>
  </si>
  <si>
    <t>Vodorovné nosné konštrukcie inžinierskych stavieb, prechodové dosky z betónu železového</t>
  </si>
  <si>
    <t>prechodová doska 17*(2,8+0,3)*0,35*2=</t>
  </si>
  <si>
    <t>Podkladný betón hr.100mm  17*(2,8+0,3+0,1)*0,1*2=</t>
  </si>
  <si>
    <t>11080111</t>
  </si>
  <si>
    <t>Vodorovné nosné konštrukcie inžinierskych stavieb, prechodové dosky, debnenie tradičné</t>
  </si>
  <si>
    <t>(0,35+0,10)*19,5*2=</t>
  </si>
  <si>
    <t>11080121</t>
  </si>
  <si>
    <t>Vodorovné nosné konštrukcie inžinierskych stavieb, prechodové dosky, výstuž z betonárskej ocele</t>
  </si>
  <si>
    <t>B500 B 3695kg</t>
  </si>
  <si>
    <t>11080202</t>
  </si>
  <si>
    <t>Vodorovné nosné konštrukcie inžinierskych stavieb, mostné dosky, klenby z betónu železového</t>
  </si>
  <si>
    <t>Doska C35/45 XD3, XF2 18,6*19,44*0,2=</t>
  </si>
  <si>
    <t>Priečniky (22,165*0,55-0,42*0,08*0,54*2*19-0,18*0,42*0,5*19)*2=</t>
  </si>
  <si>
    <t>11080211</t>
  </si>
  <si>
    <t>Vodorovné nosné konštrukcie inžinierskych stavieb, mostné dosky, klenby, debnenie tradičné</t>
  </si>
  <si>
    <t>Boky dosky 18,6*0,2*3=</t>
  </si>
  <si>
    <t>Priečniky (1,06+0,625+0,85)*22,165*2+0,625*0,85*4=</t>
  </si>
  <si>
    <t>11080213</t>
  </si>
  <si>
    <t>Vodorovné nosné konštrukcie inžinierskych stavieb, mostné dosky, debnenie zabudované</t>
  </si>
  <si>
    <t>11080221</t>
  </si>
  <si>
    <t>Vodorovné nosné konštrukcie inžinierskych stavieb, mostné dosky, klenby, výstuž z betonárskej ocele</t>
  </si>
  <si>
    <t>B500 B spriahovacia doska 8183,9kg</t>
  </si>
  <si>
    <t>B500 B kotvenie mostného záveru 915kg</t>
  </si>
  <si>
    <t>15080102</t>
  </si>
  <si>
    <t>Prefabrikované časti ríms (25,813+25,475)*0,15*0,8=</t>
  </si>
  <si>
    <t>15080208</t>
  </si>
  <si>
    <t>Obostavaný priestor: 0,85*18*19,15=</t>
  </si>
  <si>
    <t>21080409</t>
  </si>
  <si>
    <t>Vodorovné nosné konštrukcie, kĺby a ložiská, kĺb zo železobetónu</t>
  </si>
  <si>
    <r>
      <rPr>
        <i/>
        <sz val="10"/>
        <color rgb="FF000000"/>
        <rFont val="Arial"/>
        <family val="2"/>
        <charset val="238"/>
      </rPr>
      <t xml:space="preserve">žiarové zinkovanie tŕňa </t>
    </r>
    <r>
      <rPr>
        <i/>
        <sz val="10"/>
        <color rgb="FF000000"/>
        <rFont val="Arial"/>
        <family val="2"/>
        <charset val="1"/>
      </rPr>
      <t>Ø25-500 po 500mm (19,5/0,5+1)*2=80ks (spolu 155 kg) + dodávka s osadením styrodurových vložiek</t>
    </r>
  </si>
  <si>
    <t>21200116</t>
  </si>
  <si>
    <t>Podkladné a vedľajšie konštrukcie, výplň za oporami a protimrazové kliny zo štrkopiesku</t>
  </si>
  <si>
    <t>vrátane plávajúcej PVC fólie hr. 1mm a 2x geotextílie 19,5*8,5*2=331,5m2 podľa VL4/201.01</t>
  </si>
  <si>
    <t>Štrkodrva 0/32 19,5*8*2,3*2</t>
  </si>
  <si>
    <t>21250106</t>
  </si>
  <si>
    <t>Doplňujúce konštrukcie, zvodidlá oceľové</t>
  </si>
  <si>
    <t>Napojenie na pôvodné zvodidlo 4*12m</t>
  </si>
  <si>
    <t>21250206</t>
  </si>
  <si>
    <t>Doplňujúce konštrukcie, zábradlia oceľové</t>
  </si>
  <si>
    <t>21250206.1</t>
  </si>
  <si>
    <t>kg</t>
  </si>
  <si>
    <t>dvojmadlový zábradľový systém severná opora 40,464+34,79+53,226+68,517+239,28=</t>
  </si>
  <si>
    <t xml:space="preserve">dvojmadlový zábradľový systém južná opora 33,184+35,99+17,06+13,86+58,55= </t>
  </si>
  <si>
    <t>21250320</t>
  </si>
  <si>
    <t>Doplňujúce konštrukcie, odvodnenie mostov, odvodňovače</t>
  </si>
  <si>
    <t>Odvodňovač 300/500 6ks, odvodnenie izolácie 2 ks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</si>
  <si>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</si>
  <si>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</si>
  <si>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</si>
  <si>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</si>
  <si>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45.22.11</t>
  </si>
  <si>
    <t>21250426</t>
  </si>
  <si>
    <t>Doplňujúce konštrukcie, dilatačné zariadenia, mostné závery povrchové posun</t>
  </si>
  <si>
    <r>
      <rPr>
        <i/>
        <sz val="10"/>
        <color rgb="FF000000"/>
        <rFont val="Arial"/>
        <family val="2"/>
        <charset val="238"/>
      </rPr>
      <t xml:space="preserve">MZ </t>
    </r>
    <r>
      <rPr>
        <i/>
        <sz val="10"/>
        <color rgb="FF000000"/>
        <rFont val="Arial"/>
        <family val="2"/>
        <charset val="1"/>
      </rPr>
      <t>±20mm 22,2*2 montáž po polovičkách v jednotlivých etapách</t>
    </r>
  </si>
  <si>
    <t>21250906</t>
  </si>
  <si>
    <t>Doplňujúce konštrukcie, drobné zariadenia oceľové</t>
  </si>
  <si>
    <t>45.22.19</t>
  </si>
  <si>
    <t>61010101</t>
  </si>
  <si>
    <t>Izolácie proti vode a zemnej vlhkosti, bežných konštrukcií náterivami a tmelmi</t>
  </si>
  <si>
    <t>rub krídiel a úložného prahu (19,5+3,1+3,1)*2,5*2=</t>
  </si>
  <si>
    <t>prechodová doska 17*(2,8+0,3)*2+19,5*0,35*2=</t>
  </si>
  <si>
    <t>Líco krídiel 3,9*2/2+3*2/2+2,7*2/2+4,5*2/2=</t>
  </si>
  <si>
    <t>61010501</t>
  </si>
  <si>
    <t>Izolácie proti vode a zemnej vlhkosti, mostoviek náterivami a tmelmi</t>
  </si>
  <si>
    <t>Pečatenie mostovky 18,57*19,44</t>
  </si>
  <si>
    <t>61010502</t>
  </si>
  <si>
    <t>Izolácie proti vode a zemnej vlhkosti, mostoviek pásmi</t>
  </si>
  <si>
    <t>Mostovka 361</t>
  </si>
  <si>
    <t>Presah na prechodovú dosku 1m 19,5*1*2</t>
  </si>
  <si>
    <t>61010505</t>
  </si>
  <si>
    <t>Izolácie proti vode a zemnej vlhkosti, mostoviek ochrannými a podkladnými textíliami</t>
  </si>
  <si>
    <t>rub záverného múrika, plošná drenážna geotextília 1,5*19,5*2</t>
  </si>
  <si>
    <t>45.23.10</t>
  </si>
  <si>
    <t>22010103</t>
  </si>
  <si>
    <t>Podkladné a krycie vrstvy bez spojiva nestmelené, kamenivo drvené</t>
  </si>
  <si>
    <t>22020421</t>
  </si>
  <si>
    <t>Podkladné a krycie vrstvy s hydraulickým spojivom, cementobetónové jednovrstvové, kamenivo spevnené cementom</t>
  </si>
  <si>
    <t>45.23.11</t>
  </si>
  <si>
    <t>22030330</t>
  </si>
  <si>
    <t>Podkladné a krycie vrstvy z asfaltových zmesí, bitúmenové postreky, nátery,posypy spojovací postrek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</si>
  <si>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</si>
  <si>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</si>
  <si>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</si>
  <si>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</si>
  <si>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22030643</t>
  </si>
  <si>
    <t>Podkladné a krycie vrstvy z asfaltových zmesí, bitúmenové vrstvy, asfaltový koberec drenážny</t>
  </si>
  <si>
    <t xml:space="preserve">Drenážny plastbetónový kanálik 100x45mm </t>
  </si>
  <si>
    <t>Pri MZ 19,55*2*0,1=</t>
  </si>
  <si>
    <t>Popri obrube (18,6-2*0,25)*0,1=</t>
  </si>
  <si>
    <t>Okolo odvodňovačov (0,4*2+0,6)*6*0,1+2*0,4*0,4=</t>
  </si>
  <si>
    <t>22040752</t>
  </si>
  <si>
    <t>Kryty dláždené,chodníkov komunikácií,rigolov - vyplnenie škár elastickou zálievkou</t>
  </si>
  <si>
    <t>Debnená škára 20/80 obruba-vozovka 2*26m</t>
  </si>
  <si>
    <t>Vozovka-MZ 44,4*4=</t>
  </si>
  <si>
    <t>22250356</t>
  </si>
  <si>
    <t>Doplňujúce konštrukcie, zvodidlá prefabrikované</t>
  </si>
  <si>
    <t>22250980</t>
  </si>
  <si>
    <t>Doplňujúce konštrukcie,  obrubníky chodníkové</t>
  </si>
  <si>
    <t>Okolo vyustenia drenáže 1*4*4</t>
  </si>
  <si>
    <t>22251284</t>
  </si>
  <si>
    <t>Doplňujúce konštrukcie,  kábelovody z rúr alebo dielcov plastových</t>
  </si>
  <si>
    <t>DN 100 5*(26+4*2)m</t>
  </si>
  <si>
    <t>45.24.11</t>
  </si>
  <si>
    <t>11200101</t>
  </si>
  <si>
    <t>Podkladné konštrukcie, podkladné vrstvy, z betónu prostého</t>
  </si>
  <si>
    <t>V pokračovaní verejného chodníka vydláždenie za rímsami (1,5*2,11+1,5*2,1)*0,1=</t>
  </si>
  <si>
    <t>Vyustenie drenáže na svahových kuželoch 0,8*0,8*4*0,1=</t>
  </si>
  <si>
    <t>31210303</t>
  </si>
  <si>
    <t>Spevnené plochy, dlažby z  lomového  kameňa</t>
  </si>
  <si>
    <t>V pokračovaní verejného chodníka vydláždenie za rímsami 1,5*2,11+1,5*2,1=</t>
  </si>
  <si>
    <t>Vyustenie drenáže na svahových kuželoch 0,8*0,8*4=</t>
  </si>
  <si>
    <t>45.25.9</t>
  </si>
  <si>
    <t>03050111</t>
  </si>
  <si>
    <t>Ochranné konštrukcie, zábradlie na vonkajších voľných stranách  objektov</t>
  </si>
  <si>
    <t>20*3</t>
  </si>
  <si>
    <t>45.41.9</t>
  </si>
  <si>
    <t>13091513</t>
  </si>
  <si>
    <t>Vonkajšie povrchy stien, reprofilácia zvislých a šikmých plôch maltou sanačnou</t>
  </si>
  <si>
    <t>DDZ v 2 etapách výstavbyv zmysle PD</t>
  </si>
  <si>
    <t>Ochranná vrstva izolácie na moste AC11 PMB 45/80-75  17*20,2*0,045=</t>
  </si>
  <si>
    <t>Obrusná vrstva SMA11 PMB 45/80-75 40mm 17*(25*2+20,2)*0,04=</t>
  </si>
  <si>
    <t>Ložná vrstva na predpolí AC11 PMB 45/80-75 50mm: 17*24,8*2*0,05=</t>
  </si>
  <si>
    <t>Podkladná vrstva na predpolí AC22 PMB  45/80-75  70mm 17*9*2*0,07=</t>
  </si>
  <si>
    <t>17*(25*2+20,2)*2+17*9*2=</t>
  </si>
  <si>
    <t>17*9*2*0,2</t>
  </si>
  <si>
    <t>21250528</t>
  </si>
  <si>
    <t>Doplňujúce konštrukcie, mostné zábrany a ochrany, protidotykové zábrany</t>
  </si>
  <si>
    <t>Premiestnenie a ukotvenie závesov trolejov 2ks</t>
  </si>
  <si>
    <t>hr. Napr. dosky Cemvin 24mm 0,5*17*18</t>
  </si>
  <si>
    <t>v mieste výkopov 17*9*2*0,2=</t>
  </si>
  <si>
    <t>okolo dlažby s lomovým kameňom 40m</t>
  </si>
  <si>
    <t>Pozdĺž krídiel na koncoch mosta (1,488+3)/2*4,6+8*2,61/2+4,67*2/2+8,67*2/2=</t>
  </si>
  <si>
    <t>01040202</t>
  </si>
  <si>
    <t>Výkop pre obrubníky 40*0,5*0,5=</t>
  </si>
  <si>
    <t>Konštrukcie z hornín - násypy so zhutnením</t>
  </si>
  <si>
    <t>Pozdĺž krídiel na koncoch mosta ((1,488+3)/2*4,6+8*2,61/2+4,67*2/2+8,67*2/2)*1,5=</t>
  </si>
  <si>
    <t>Líca opôr lokálne ručne murársky hr. 100mm 22*0,5*2=</t>
  </si>
  <si>
    <t>03040307</t>
  </si>
  <si>
    <t>Lešenie priestorové, lešeňová podlaha s priečnikmi alebo pozdĺžnikmi</t>
  </si>
  <si>
    <t>Prístup k sanovaným povrchom (montáž, demontáž, nájom)</t>
  </si>
  <si>
    <t>Medzi prechodovou doskou a záverným múrikom hr. 25mm 19,5*0,55*2</t>
  </si>
  <si>
    <t>P.č.129 vrt 14-250, 540*0,25</t>
  </si>
  <si>
    <t xml:space="preserve">do Ø20mm 0,44€/cm Výkres č.4.3 </t>
  </si>
  <si>
    <t>P.č.130 vrt 16-250, 600*0,25</t>
  </si>
  <si>
    <t>P.č.139 vrt 16-250, 250*0,25</t>
  </si>
  <si>
    <t>P.č.151 vrt 20-250, 7*0,25</t>
  </si>
  <si>
    <t>P.č.152 vrt 16-250, 20*0,25</t>
  </si>
  <si>
    <t>P.č.140 vrt 16-250, 321*0,25</t>
  </si>
  <si>
    <t>P.č.155 vrt 20-250, 4*0,25</t>
  </si>
  <si>
    <t>P.č.157 vrt 20-250, 11*0,25</t>
  </si>
  <si>
    <t>P.č.159 vrt 20-250, 11*0,25</t>
  </si>
  <si>
    <t>P.č.160 vrt 28-250, 50*0,25</t>
  </si>
  <si>
    <t>05090500.1</t>
  </si>
  <si>
    <t>Spolu vlepenej výstuže do 16mm 1764ks a 50ks do 22mm, celková dĺžka vrtov</t>
  </si>
  <si>
    <t>Spolu betón m3</t>
  </si>
  <si>
    <t>Betón 323,2m3*2,3t/m3</t>
  </si>
  <si>
    <t>Zemina741,02 m3*1,7t/m3</t>
  </si>
  <si>
    <t>21080407</t>
  </si>
  <si>
    <t>Vodorovné nosné konštrukcie, kĺby a ložiská elastomerové a gumené</t>
  </si>
  <si>
    <t>KRYCÍ LIST ROZPOČTU</t>
  </si>
  <si>
    <t>Názov stavby</t>
  </si>
  <si>
    <t>JKSO</t>
  </si>
  <si>
    <t xml:space="preserve"> </t>
  </si>
  <si>
    <t>Kód stavby</t>
  </si>
  <si>
    <t>MATO_GFI_exped</t>
  </si>
  <si>
    <t>Názov objektu</t>
  </si>
  <si>
    <t>EČO</t>
  </si>
  <si>
    <t/>
  </si>
  <si>
    <t>Kód objektu</t>
  </si>
  <si>
    <t>SO 02_statika_Matej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</si>
  <si>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</si>
  <si>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</si>
  <si>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</si>
  <si>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</si>
  <si>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</si>
  <si>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</si>
  <si>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</si>
  <si>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</si>
  <si>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</si>
  <si>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Zhotoviteľ</t>
  </si>
  <si>
    <t>Rozpočet číslo</t>
  </si>
  <si>
    <t>Spracoval</t>
  </si>
  <si>
    <t>Dňa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</si>
  <si>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</si>
  <si>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</si>
  <si>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</si>
  <si>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</si>
  <si>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</si>
  <si>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</si>
  <si>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</si>
  <si>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</si>
  <si>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</si>
  <si>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</si>
  <si>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</si>
  <si>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</si>
  <si>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</si>
  <si>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</si>
  <si>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</si>
  <si>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HSV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</si>
  <si>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</si>
  <si>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</si>
  <si>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</si>
  <si>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</si>
  <si>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</si>
  <si>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</si>
  <si>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</si>
  <si>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</si>
  <si>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</si>
  <si>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</si>
  <si>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</si>
  <si>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</si>
  <si>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</si>
  <si>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</si>
  <si>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</si>
  <si>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</si>
  <si>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</si>
  <si>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</si>
  <si>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</si>
  <si>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</si>
  <si>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</si>
  <si>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</si>
  <si>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</si>
  <si>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</si>
  <si>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</si>
  <si>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20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</si>
  <si>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</si>
  <si>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</si>
  <si>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</si>
  <si>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</si>
  <si>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</si>
  <si>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</si>
  <si>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</si>
  <si>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</si>
  <si>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Most na Triede arm. gen. L. Svobodu</t>
  </si>
  <si>
    <t>Košice</t>
  </si>
  <si>
    <t>REKAPITULÁCIA ROZPOČTU</t>
  </si>
  <si>
    <t>Stavba:</t>
  </si>
  <si>
    <t>Objekt:</t>
  </si>
  <si>
    <t>Časť:</t>
  </si>
  <si>
    <t xml:space="preserve">JKSO: </t>
  </si>
  <si>
    <t>Objednávateľ:</t>
  </si>
  <si>
    <t>Zhotoviteľ:</t>
  </si>
  <si>
    <t>Dátum:</t>
  </si>
  <si>
    <t>Kód</t>
  </si>
  <si>
    <t>Popis</t>
  </si>
  <si>
    <t>Cena celkom</t>
  </si>
  <si>
    <t>Hmotnosť celkom</t>
  </si>
  <si>
    <t>Suť celkom</t>
  </si>
  <si>
    <t>Celkom</t>
  </si>
  <si>
    <t>SO 01</t>
  </si>
  <si>
    <t>SO 02</t>
  </si>
  <si>
    <t>Most</t>
  </si>
  <si>
    <t>Verejné osvetlenie</t>
  </si>
  <si>
    <t>ROZPOČET</t>
  </si>
  <si>
    <t>JKSO:</t>
  </si>
  <si>
    <t>P.Č.</t>
  </si>
  <si>
    <t>MJ</t>
  </si>
  <si>
    <t>Množstvo celkom</t>
  </si>
  <si>
    <t>Cena jednotková</t>
  </si>
  <si>
    <t>Sadzba DPH</t>
  </si>
  <si>
    <t>Množstvo</t>
  </si>
  <si>
    <t>Materiál</t>
  </si>
  <si>
    <t>EUR bez DPH</t>
  </si>
  <si>
    <t>DEMONTÁŽNE PRÁCE</t>
  </si>
  <si>
    <t>Demontáž káblového vedenia</t>
  </si>
  <si>
    <t>Demontáž káblového dočasného vedenia</t>
  </si>
  <si>
    <t>MONTÁŽNE PRÁCE</t>
  </si>
  <si>
    <t>nástenná konzola NK 1000/60</t>
  </si>
  <si>
    <t>Montáž - Výložník</t>
  </si>
  <si>
    <t>Montáž - Svietidlo LED</t>
  </si>
  <si>
    <t>Výkop v zeleni do hĺbky 80 cm, zatrávnenie, odvoz výkopku na skládku, pokládka kábla, fólia,zásyp, uvedenie do pôvodného stavu</t>
  </si>
  <si>
    <t>Výkop v chodníku do hĺbky 80 cm, zatrávnenie, odvoz výkopku na skládku, pokládka kábla, fólia, zásyp, uvedenie do pôvodného stavu</t>
  </si>
  <si>
    <r>
      <t xml:space="preserve">Fólia BLESK  30cm  výstražná červená </t>
    </r>
    <r>
      <rPr>
        <sz val="10"/>
        <color indexed="10"/>
        <rFont val="Arial"/>
        <family val="2"/>
        <charset val="238"/>
      </rPr>
      <t xml:space="preserve"> </t>
    </r>
  </si>
  <si>
    <t>Kábel 1- AYKY-J 4x25 - silový s hliníkovým jadrom</t>
  </si>
  <si>
    <t>Montáž - silový kábel  750-1000 V (v mm2) voľne uložený AYKY 1 kV do 4x25</t>
  </si>
  <si>
    <t>Kábel silový s Cu jadrom CYKY-J 3x2,5</t>
  </si>
  <si>
    <t>Montáž - silový kábel Cu 750-1000 V (v mm2) CYKY 1 kV do 4x50</t>
  </si>
  <si>
    <t>Pokládka chráničky priemeru do 63mm do výkopu</t>
  </si>
  <si>
    <t>Rúrka KSX-PE  čierná  50 - chránička káblová  pevná</t>
  </si>
  <si>
    <t>Pokládka chráničky do priemeru 63mm do výkopu</t>
  </si>
  <si>
    <t xml:space="preserve">Pokladka chráničky  do priemeru 63mm a úchyt na betónovej zábrane </t>
  </si>
  <si>
    <t>Pokladka chráničky  do priemeru 63mm a úchyt v rímse mosta</t>
  </si>
  <si>
    <t>Príchytka plastová pre pevnú chráničku 5350_KB</t>
  </si>
  <si>
    <t>Montáž príchytiek pre pevnú chraničku 5350 KB</t>
  </si>
  <si>
    <t>Obojstranná príchytka kovová pre pevné rúrky ČSN pr. 54 mm.</t>
  </si>
  <si>
    <t xml:space="preserve">Montáž obojstrannej príchytky </t>
  </si>
  <si>
    <t>Stožiarová svorkovnica  TB-2 stožiarová bez poistiek 4 žily</t>
  </si>
  <si>
    <t>Poistka valcová 500V AC, 6A, 100kA, gG - poistka 6A D01 E14 do stožiarovej svorkovnice</t>
  </si>
  <si>
    <t>Montáž svorkovnice stožiarovej, pripevnenie svorkovnice, úprava káblov, montáž do 15 ks vodičov do priemeru 25 mm, montáž poistky, zapojenie vývodu pre svietidlo, uzatvorenie svorkovnice min IP 43.</t>
  </si>
  <si>
    <t>Ukončenie vodičov . vč. zapojenia a vodičovej koncovky do 25 mm2</t>
  </si>
  <si>
    <t>ELEKTROINŠTALAČNÁ KRABICA 653.04</t>
  </si>
  <si>
    <t xml:space="preserve">Montáž elektroinštalačnej krabice </t>
  </si>
  <si>
    <t>PG priechodka 36</t>
  </si>
  <si>
    <t>PG priechodka 16</t>
  </si>
  <si>
    <t>RVO</t>
  </si>
  <si>
    <t>MONTÁŽ SAMONOSNÉHO KÁBLA</t>
  </si>
  <si>
    <t>MONTÁŽ BETÓNOVÉHO STOŽIARA</t>
  </si>
  <si>
    <t>OSTATNÉ</t>
  </si>
  <si>
    <t>Podružný materiál</t>
  </si>
  <si>
    <t>Podiel pridružených výkonov</t>
  </si>
  <si>
    <t>Odvoz sutiny na skládku</t>
  </si>
  <si>
    <t>Zameranie inžinierských sieti</t>
  </si>
  <si>
    <t>Revízia</t>
  </si>
  <si>
    <t>Doprava</t>
  </si>
  <si>
    <t>km</t>
  </si>
  <si>
    <t>Montážna plošina</t>
  </si>
  <si>
    <t>hod</t>
  </si>
  <si>
    <t>Doprava plošina</t>
  </si>
  <si>
    <t>Celkom bez DPH</t>
  </si>
  <si>
    <t>DPH (20%)</t>
  </si>
  <si>
    <t>Celkom s DPH</t>
  </si>
  <si>
    <t>Mesto Košice</t>
  </si>
  <si>
    <t>Stavby Slovakia s.r.o.</t>
  </si>
  <si>
    <t>Na moste 25,475+25,813 s úpravou proti prepadu snehu, úroveň zachytenia H2</t>
  </si>
  <si>
    <t>S úpravou proti prepadu snehu 25,82 m</t>
  </si>
  <si>
    <t>Vodorovné a zvislé potrubie DN150 so závesmi so zvedením do kanalizácie podchodu</t>
  </si>
  <si>
    <t>Kotvenie ríms – upresní sa počet výpočtom po výbere typu zvodidiel - 110ks</t>
  </si>
  <si>
    <t>Ochrana pod rímsami 18,6*(2,2+1) (izolácie navrhnutá z vystužených natavovaných asfaltových izolačných pásov (v zmysle STN 73 6242))</t>
  </si>
  <si>
    <t>dočasné betónové zvodidlá v osi mosta oddeľujúce etapy 68m (montáž, demontáž a nájom na dobu výstavby)</t>
  </si>
  <si>
    <t>Chodníkový odvodňovací žľab 300/300 mm</t>
  </si>
  <si>
    <t>Vodorovné nosné konštrukcie pre mostné stavby, nosníky z dielcov žel. betónových predpätých, vrátane dopravy a uloženia</t>
  </si>
  <si>
    <t>Plošné dielce železobetónové vrátane dopravy a uloženie</t>
  </si>
  <si>
    <r>
      <t>Musia vyhovieť F</t>
    </r>
    <r>
      <rPr>
        <i/>
        <sz val="6"/>
        <color rgb="FF000000"/>
        <rFont val="Arial"/>
        <family val="2"/>
        <charset val="238"/>
      </rPr>
      <t>k,</t>
    </r>
    <r>
      <rPr>
        <i/>
        <sz val="10"/>
        <color rgb="FF000000"/>
        <rFont val="Arial"/>
        <family val="2"/>
        <charset val="238"/>
      </rPr>
      <t>min=140kN, F</t>
    </r>
    <r>
      <rPr>
        <i/>
        <sz val="6"/>
        <color rgb="FF000000"/>
        <rFont val="Arial"/>
        <family val="2"/>
        <charset val="238"/>
      </rPr>
      <t>d,</t>
    </r>
    <r>
      <rPr>
        <i/>
        <sz val="10"/>
        <color rgb="FF000000"/>
        <rFont val="Arial"/>
        <family val="2"/>
        <charset val="238"/>
      </rPr>
      <t>max=550kN, cena D+M</t>
    </r>
  </si>
  <si>
    <t>84010815</t>
  </si>
  <si>
    <t>Náter omietok a betónových povrchov</t>
  </si>
  <si>
    <t>Zvislé líce opôr hr. 20mm nástrekom certifikovanou tixotropnou sanačnou maltou 22*6,6*2+8,2*6,1-4*6/2+6,5*8,5-5*2,5/2+7*9-2,5*4/2+6*7,5-6*4,5/2=</t>
  </si>
  <si>
    <t>Ochranný zjednocujúci náter zviských líc opôr 470</t>
  </si>
  <si>
    <t>Vysokotlaký vodný lúč 800 bar - VVL 800 bar, líca opôr 490m2</t>
  </si>
  <si>
    <t>91251xxx</t>
  </si>
  <si>
    <t>B500 B Výstuž podložiskových bločkov 760,76 kg</t>
  </si>
  <si>
    <t>B500 B priečniky 1969,39+305,5kg</t>
  </si>
  <si>
    <t>B500 B 1817,47kg+spony 13,27 kg</t>
  </si>
  <si>
    <t>11010101</t>
  </si>
  <si>
    <t>Základy, pásy z betónu prostého, tr. C 16/20 (B 20)</t>
  </si>
  <si>
    <t>Podkladný betón hr.100mm pod krídla (3,95*0,925+2,9*1,45+2,45*4,4+3,25*2,2)*0,1=</t>
  </si>
  <si>
    <t>21250528.1</t>
  </si>
  <si>
    <t>Priestorová oceľová konštrukcia (D+M+Nájom)  napr. Staxo + fošny a hranoly (cca 15m3)  7,5*30*6=</t>
  </si>
  <si>
    <t>Ochrana pre prechod peších v šírke 3m vrátane ochrany trolejov podľa schváleného VTD objednávateľom</t>
  </si>
  <si>
    <t>22250776</t>
  </si>
  <si>
    <t>Doplňujúce konštrukcie,  vodorovné dopravné značenie striekané a náterové</t>
  </si>
  <si>
    <t>TDZ Vodiace čiary s predznačením 125*2*0,25=</t>
  </si>
  <si>
    <t>TDZ Deliace čiary s predznačením 125*2*0,125+100*2*0,125*2/3=</t>
  </si>
  <si>
    <t>Strieška nad trolejom (vid výkres 6.4) 1,2*1,6*2=</t>
  </si>
  <si>
    <t>Dočasné prekotvenie a spätné návrátenie kotvenia trakčného vedenia trolejbusov</t>
  </si>
  <si>
    <t>Jadrové vŕtanie s vlepením betonárskej výstuže do vyvŕtaných dier na Hilti HIT RE 500 alebo ekvivalent.</t>
  </si>
  <si>
    <t>Philips BGP282 T25 1 xLED35-4S/740 DW10 alebo ekvivalent.</t>
  </si>
  <si>
    <t>Rúrka KF 09050 BA dvojplášťová  červená KOPOFLEX 50 alebo ekvivalent. - chránička káblová ohybná, spevnená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</si>
</sst>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"/>
    <numFmt numFmtId="165" formatCode="#,##0\_x0000_"/>
    <numFmt numFmtId="166" formatCode="#,##0.0000"/>
    <numFmt numFmtId="167" formatCode="#,##0.000"/>
    <numFmt numFmtId="168" formatCode="_-* #,##0.00\ [$€-1]_-;\-* #,##0.00\ [$€-1]_-;_-* &quot;-&quot;??\ [$€-1]_-;_-@_-"/>
    <numFmt numFmtId="169" formatCode="#,##0.000;\-#,##0.000"/>
  </numFmts>
  <fonts count="41" x14ac:knownFonts="1">
    <font>
      <sz val="11"/>
      <color rgb="FF00000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u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1"/>
    </font>
    <font>
      <b/>
      <i/>
      <sz val="10"/>
      <name val="Arial CE"/>
      <family val="2"/>
      <charset val="238"/>
    </font>
    <font>
      <b/>
      <i/>
      <sz val="10"/>
      <name val="Arial"/>
      <family val="2"/>
      <charset val="238"/>
    </font>
    <font>
      <i/>
      <sz val="10"/>
      <name val="Arial CE"/>
      <family val="2"/>
      <charset val="238"/>
    </font>
    <font>
      <b/>
      <sz val="11"/>
      <color rgb="FF000000"/>
      <name val="Arial CE"/>
      <family val="2"/>
      <charset val="238"/>
    </font>
    <font>
      <i/>
      <sz val="6"/>
      <color rgb="FF000000"/>
      <name val="Arial"/>
      <family val="2"/>
      <charset val="238"/>
    </font>
    <font>
      <b/>
      <sz val="18"/>
      <color indexed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800080"/>
      <name val="Arial"/>
      <family val="2"/>
      <charset val="238"/>
    </font>
    <font>
      <b/>
      <u/>
      <sz val="8"/>
      <color rgb="FFFA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  <charset val="238"/>
    </font>
    <font>
      <b/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 applyBorder="0"/>
    <xf numFmtId="0" fontId="8" fillId="0" borderId="0"/>
    <xf numFmtId="0" fontId="4" fillId="0" borderId="0"/>
    <xf numFmtId="0" fontId="3" fillId="0" borderId="0"/>
    <xf numFmtId="0" fontId="36" fillId="0" borderId="0" applyAlignment="0">
      <alignment vertical="top" wrapText="1"/>
      <protection locked="0"/>
    </xf>
    <xf numFmtId="0" fontId="36" fillId="0" borderId="0" applyAlignment="0">
      <alignment vertical="top" wrapText="1"/>
      <protection locked="0"/>
    </xf>
    <xf numFmtId="0" fontId="2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354">
    <xf numFmtId="0" fontId="0" fillId="0" borderId="0" xfId="0"/>
    <xf numFmtId="0" fontId="9" fillId="0" borderId="0" xfId="0" applyFont="1"/>
    <xf numFmtId="0" fontId="9" fillId="0" borderId="0" xfId="0" applyFont="1" applyAlignment="1"/>
    <xf numFmtId="49" fontId="9" fillId="0" borderId="0" xfId="0" applyNumberFormat="1" applyFont="1" applyAlignment="1">
      <alignment wrapText="1"/>
    </xf>
    <xf numFmtId="2" fontId="9" fillId="0" borderId="0" xfId="0" applyNumberFormat="1" applyFont="1"/>
    <xf numFmtId="1" fontId="9" fillId="0" borderId="0" xfId="0" applyNumberFormat="1" applyFont="1"/>
    <xf numFmtId="49" fontId="9" fillId="0" borderId="0" xfId="0" applyNumberFormat="1" applyFont="1" applyBorder="1" applyAlignment="1">
      <alignment wrapText="1"/>
    </xf>
    <xf numFmtId="0" fontId="9" fillId="0" borderId="0" xfId="0" applyFont="1" applyBorder="1"/>
    <xf numFmtId="1" fontId="9" fillId="0" borderId="0" xfId="0" applyNumberFormat="1" applyFont="1" applyBorder="1"/>
    <xf numFmtId="0" fontId="9" fillId="0" borderId="6" xfId="0" applyFont="1" applyBorder="1"/>
    <xf numFmtId="49" fontId="13" fillId="0" borderId="0" xfId="0" applyNumberFormat="1" applyFont="1" applyBorder="1" applyAlignment="1">
      <alignment wrapText="1"/>
    </xf>
    <xf numFmtId="2" fontId="13" fillId="0" borderId="0" xfId="0" applyNumberFormat="1" applyFont="1" applyBorder="1" applyAlignment="1">
      <alignment horizontal="right" readingOrder="1"/>
    </xf>
    <xf numFmtId="2" fontId="14" fillId="0" borderId="0" xfId="0" applyNumberFormat="1" applyFont="1" applyBorder="1" applyAlignment="1">
      <alignment horizontal="right" readingOrder="1"/>
    </xf>
    <xf numFmtId="49" fontId="13" fillId="0" borderId="0" xfId="0" applyNumberFormat="1" applyFont="1" applyBorder="1" applyAlignment="1">
      <alignment horizontal="right" wrapText="1"/>
    </xf>
    <xf numFmtId="2" fontId="13" fillId="0" borderId="7" xfId="0" applyNumberFormat="1" applyFont="1" applyBorder="1" applyAlignment="1">
      <alignment horizontal="right" readingOrder="1"/>
    </xf>
    <xf numFmtId="2" fontId="13" fillId="0" borderId="8" xfId="0" applyNumberFormat="1" applyFont="1" applyBorder="1" applyAlignment="1">
      <alignment horizontal="right" readingOrder="1"/>
    </xf>
    <xf numFmtId="49" fontId="13" fillId="0" borderId="0" xfId="0" applyNumberFormat="1" applyFont="1" applyBorder="1" applyAlignment="1">
      <alignment horizontal="left" wrapText="1"/>
    </xf>
    <xf numFmtId="2" fontId="13" fillId="0" borderId="0" xfId="0" applyNumberFormat="1" applyFont="1" applyBorder="1" applyAlignment="1">
      <alignment wrapText="1"/>
    </xf>
    <xf numFmtId="2" fontId="14" fillId="0" borderId="0" xfId="0" applyNumberFormat="1" applyFont="1" applyBorder="1" applyAlignment="1">
      <alignment wrapText="1"/>
    </xf>
    <xf numFmtId="0" fontId="17" fillId="0" borderId="6" xfId="2" applyFont="1" applyBorder="1" applyAlignment="1"/>
    <xf numFmtId="0" fontId="15" fillId="0" borderId="6" xfId="0" applyFont="1" applyBorder="1"/>
    <xf numFmtId="0" fontId="15" fillId="0" borderId="0" xfId="0" applyFont="1" applyBorder="1"/>
    <xf numFmtId="0" fontId="15" fillId="0" borderId="0" xfId="0" applyFont="1"/>
    <xf numFmtId="49" fontId="10" fillId="0" borderId="0" xfId="0" applyNumberFormat="1" applyFont="1" applyBorder="1" applyAlignment="1">
      <alignment wrapText="1"/>
    </xf>
    <xf numFmtId="49" fontId="9" fillId="0" borderId="9" xfId="0" applyNumberFormat="1" applyFont="1" applyBorder="1" applyAlignment="1">
      <alignment wrapText="1"/>
    </xf>
    <xf numFmtId="0" fontId="9" fillId="0" borderId="0" xfId="0" applyFont="1" applyBorder="1" applyAlignment="1"/>
    <xf numFmtId="2" fontId="12" fillId="0" borderId="6" xfId="2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/>
    <xf numFmtId="0" fontId="9" fillId="0" borderId="1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1" fillId="0" borderId="6" xfId="2" applyFont="1" applyBorder="1" applyAlignment="1">
      <alignment horizontal="right"/>
    </xf>
    <xf numFmtId="49" fontId="11" fillId="0" borderId="6" xfId="0" applyNumberFormat="1" applyFont="1" applyBorder="1" applyAlignment="1">
      <alignment horizontal="right" vertical="top" wrapText="1"/>
    </xf>
    <xf numFmtId="49" fontId="11" fillId="0" borderId="6" xfId="3" quotePrefix="1" applyNumberFormat="1" applyFont="1" applyBorder="1" applyAlignment="1">
      <alignment horizontal="right" vertical="top"/>
    </xf>
    <xf numFmtId="49" fontId="11" fillId="0" borderId="6" xfId="0" applyNumberFormat="1" applyFont="1" applyBorder="1" applyAlignment="1">
      <alignment horizontal="right" vertical="top"/>
    </xf>
    <xf numFmtId="0" fontId="17" fillId="0" borderId="6" xfId="2" applyFont="1" applyBorder="1" applyAlignment="1">
      <alignment horizontal="right"/>
    </xf>
    <xf numFmtId="0" fontId="11" fillId="0" borderId="10" xfId="2" applyFont="1" applyBorder="1" applyAlignment="1">
      <alignment horizontal="right"/>
    </xf>
    <xf numFmtId="49" fontId="11" fillId="0" borderId="6" xfId="0" applyNumberFormat="1" applyFont="1" applyBorder="1" applyAlignment="1">
      <alignment horizontal="right"/>
    </xf>
    <xf numFmtId="0" fontId="11" fillId="0" borderId="6" xfId="2" applyFont="1" applyBorder="1" applyAlignment="1"/>
    <xf numFmtId="0" fontId="11" fillId="0" borderId="10" xfId="2" applyFont="1" applyBorder="1" applyAlignment="1"/>
    <xf numFmtId="2" fontId="13" fillId="0" borderId="11" xfId="0" applyNumberFormat="1" applyFont="1" applyBorder="1" applyAlignment="1">
      <alignment horizontal="right" readingOrder="1"/>
    </xf>
    <xf numFmtId="2" fontId="13" fillId="0" borderId="13" xfId="0" applyNumberFormat="1" applyFont="1" applyBorder="1" applyAlignment="1">
      <alignment horizontal="right" readingOrder="1"/>
    </xf>
    <xf numFmtId="2" fontId="13" fillId="0" borderId="9" xfId="0" applyNumberFormat="1" applyFont="1" applyBorder="1" applyAlignment="1">
      <alignment horizontal="right" readingOrder="1"/>
    </xf>
    <xf numFmtId="2" fontId="13" fillId="0" borderId="0" xfId="0" applyNumberFormat="1" applyFont="1" applyAlignment="1">
      <alignment horizontal="right" readingOrder="1"/>
    </xf>
    <xf numFmtId="2" fontId="13" fillId="0" borderId="14" xfId="0" applyNumberFormat="1" applyFont="1" applyBorder="1" applyAlignment="1">
      <alignment horizontal="right" readingOrder="1"/>
    </xf>
    <xf numFmtId="49" fontId="11" fillId="0" borderId="6" xfId="2" quotePrefix="1" applyNumberFormat="1" applyFont="1" applyBorder="1" applyAlignment="1">
      <alignment horizontal="right"/>
    </xf>
    <xf numFmtId="49" fontId="11" fillId="0" borderId="6" xfId="2" quotePrefix="1" applyNumberFormat="1" applyFont="1" applyBorder="1" applyAlignment="1">
      <alignment horizontal="left" vertical="top"/>
    </xf>
    <xf numFmtId="0" fontId="0" fillId="0" borderId="15" xfId="0" applyNumberFormat="1" applyFont="1" applyFill="1" applyBorder="1" applyAlignment="1" applyProtection="1"/>
    <xf numFmtId="0" fontId="0" fillId="0" borderId="16" xfId="0" applyNumberFormat="1" applyFont="1" applyFill="1" applyBorder="1" applyAlignment="1" applyProtection="1"/>
    <xf numFmtId="0" fontId="0" fillId="0" borderId="17" xfId="0" applyNumberFormat="1" applyFont="1" applyFill="1" applyBorder="1" applyAlignment="1" applyProtection="1"/>
    <xf numFmtId="0" fontId="0" fillId="0" borderId="0" xfId="0" applyFont="1" applyProtection="1">
      <protection locked="0"/>
    </xf>
    <xf numFmtId="0" fontId="22" fillId="0" borderId="16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0" fillId="0" borderId="8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/>
    <xf numFmtId="0" fontId="23" fillId="0" borderId="15" xfId="0" applyNumberFormat="1" applyFont="1" applyFill="1" applyBorder="1" applyAlignment="1" applyProtection="1">
      <alignment vertical="center"/>
    </xf>
    <xf numFmtId="0" fontId="23" fillId="0" borderId="16" xfId="0" applyNumberFormat="1" applyFont="1" applyFill="1" applyBorder="1" applyAlignment="1" applyProtection="1">
      <alignment vertical="center"/>
    </xf>
    <xf numFmtId="0" fontId="23" fillId="0" borderId="17" xfId="0" applyNumberFormat="1" applyFont="1" applyFill="1" applyBorder="1" applyAlignment="1" applyProtection="1">
      <alignment vertical="center"/>
    </xf>
    <xf numFmtId="0" fontId="23" fillId="0" borderId="19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Alignment="1" applyProtection="1">
      <alignment vertical="center"/>
    </xf>
    <xf numFmtId="164" fontId="24" fillId="0" borderId="20" xfId="0" applyNumberFormat="1" applyFont="1" applyFill="1" applyBorder="1" applyAlignment="1" applyProtection="1">
      <alignment vertical="center"/>
    </xf>
    <xf numFmtId="164" fontId="24" fillId="0" borderId="21" xfId="0" applyNumberFormat="1" applyFont="1" applyFill="1" applyBorder="1" applyAlignment="1" applyProtection="1">
      <alignment vertical="center"/>
    </xf>
    <xf numFmtId="0" fontId="23" fillId="0" borderId="22" xfId="0" applyNumberFormat="1" applyFont="1" applyFill="1" applyBorder="1" applyAlignment="1" applyProtection="1">
      <alignment vertical="center"/>
    </xf>
    <xf numFmtId="0" fontId="23" fillId="0" borderId="23" xfId="0" applyNumberFormat="1" applyFont="1" applyFill="1" applyBorder="1" applyAlignment="1" applyProtection="1">
      <alignment vertical="center"/>
    </xf>
    <xf numFmtId="0" fontId="24" fillId="0" borderId="24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25" xfId="0" applyNumberFormat="1" applyFont="1" applyFill="1" applyBorder="1" applyAlignment="1" applyProtection="1">
      <alignment vertical="center"/>
    </xf>
    <xf numFmtId="164" fontId="24" fillId="0" borderId="24" xfId="0" applyNumberFormat="1" applyFont="1" applyFill="1" applyBorder="1" applyAlignment="1" applyProtection="1">
      <alignment vertical="center"/>
    </xf>
    <xf numFmtId="164" fontId="24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3" fillId="0" borderId="21" xfId="0" applyNumberFormat="1" applyFont="1" applyFill="1" applyBorder="1" applyAlignment="1" applyProtection="1">
      <alignment vertical="center"/>
    </xf>
    <xf numFmtId="164" fontId="24" fillId="0" borderId="29" xfId="0" applyNumberFormat="1" applyFont="1" applyFill="1" applyBorder="1" applyAlignment="1" applyProtection="1">
      <alignment vertical="center"/>
    </xf>
    <xf numFmtId="164" fontId="24" fillId="0" borderId="30" xfId="0" applyNumberFormat="1" applyFont="1" applyFill="1" applyBorder="1" applyAlignment="1" applyProtection="1">
      <alignment vertical="center"/>
    </xf>
    <xf numFmtId="164" fontId="24" fillId="0" borderId="31" xfId="0" applyNumberFormat="1" applyFont="1" applyFill="1" applyBorder="1" applyAlignment="1" applyProtection="1">
      <alignment vertical="center"/>
    </xf>
    <xf numFmtId="0" fontId="23" fillId="0" borderId="32" xfId="0" applyNumberFormat="1" applyFont="1" applyFill="1" applyBorder="1" applyAlignment="1" applyProtection="1">
      <alignment vertical="center"/>
    </xf>
    <xf numFmtId="164" fontId="24" fillId="0" borderId="26" xfId="0" applyNumberFormat="1" applyFont="1" applyFill="1" applyBorder="1" applyAlignment="1" applyProtection="1">
      <alignment vertical="center"/>
    </xf>
    <xf numFmtId="0" fontId="23" fillId="0" borderId="27" xfId="0" applyNumberFormat="1" applyFont="1" applyFill="1" applyBorder="1" applyAlignment="1" applyProtection="1">
      <alignment vertical="center"/>
    </xf>
    <xf numFmtId="0" fontId="23" fillId="0" borderId="28" xfId="0" applyNumberFormat="1" applyFont="1" applyFill="1" applyBorder="1" applyAlignment="1" applyProtection="1">
      <alignment vertical="center"/>
    </xf>
    <xf numFmtId="164" fontId="24" fillId="0" borderId="0" xfId="0" applyNumberFormat="1" applyFont="1" applyFill="1" applyAlignment="1" applyProtection="1">
      <alignment vertical="center"/>
    </xf>
    <xf numFmtId="0" fontId="25" fillId="0" borderId="0" xfId="0" applyNumberFormat="1" applyFont="1" applyFill="1" applyAlignment="1" applyProtection="1">
      <alignment vertical="center"/>
    </xf>
    <xf numFmtId="0" fontId="23" fillId="0" borderId="31" xfId="0" applyNumberFormat="1" applyFont="1" applyFill="1" applyBorder="1" applyAlignment="1" applyProtection="1">
      <alignment vertical="center"/>
    </xf>
    <xf numFmtId="164" fontId="24" fillId="0" borderId="32" xfId="0" applyNumberFormat="1" applyFont="1" applyFill="1" applyBorder="1" applyAlignment="1" applyProtection="1">
      <alignment vertical="center"/>
    </xf>
    <xf numFmtId="49" fontId="24" fillId="0" borderId="29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Alignment="1" applyProtection="1">
      <alignment vertical="center"/>
    </xf>
    <xf numFmtId="0" fontId="23" fillId="0" borderId="18" xfId="0" applyNumberFormat="1" applyFont="1" applyFill="1" applyBorder="1" applyAlignment="1" applyProtection="1">
      <alignment vertical="center"/>
    </xf>
    <xf numFmtId="0" fontId="23" fillId="0" borderId="8" xfId="0" applyNumberFormat="1" applyFont="1" applyFill="1" applyBorder="1" applyAlignment="1" applyProtection="1">
      <alignment vertical="center"/>
    </xf>
    <xf numFmtId="0" fontId="23" fillId="0" borderId="11" xfId="0" applyNumberFormat="1" applyFont="1" applyFill="1" applyBorder="1" applyAlignment="1" applyProtection="1">
      <alignment vertical="center"/>
    </xf>
    <xf numFmtId="0" fontId="23" fillId="0" borderId="33" xfId="0" applyNumberFormat="1" applyFont="1" applyFill="1" applyBorder="1" applyAlignment="1" applyProtection="1">
      <alignment vertical="center"/>
    </xf>
    <xf numFmtId="0" fontId="23" fillId="0" borderId="34" xfId="0" applyNumberFormat="1" applyFont="1" applyFill="1" applyBorder="1" applyAlignment="1" applyProtection="1">
      <alignment vertical="center"/>
    </xf>
    <xf numFmtId="0" fontId="12" fillId="0" borderId="34" xfId="0" applyNumberFormat="1" applyFont="1" applyFill="1" applyBorder="1" applyAlignment="1" applyProtection="1">
      <alignment vertical="center"/>
    </xf>
    <xf numFmtId="0" fontId="23" fillId="0" borderId="35" xfId="0" applyNumberFormat="1" applyFont="1" applyFill="1" applyBorder="1" applyAlignment="1" applyProtection="1">
      <alignment vertical="center"/>
    </xf>
    <xf numFmtId="0" fontId="23" fillId="0" borderId="36" xfId="0" applyNumberFormat="1" applyFont="1" applyFill="1" applyBorder="1" applyAlignment="1" applyProtection="1">
      <alignment vertical="center"/>
    </xf>
    <xf numFmtId="0" fontId="23" fillId="0" borderId="37" xfId="0" applyNumberFormat="1" applyFont="1" applyFill="1" applyBorder="1" applyAlignment="1" applyProtection="1">
      <alignment vertical="center"/>
    </xf>
    <xf numFmtId="0" fontId="23" fillId="0" borderId="38" xfId="0" applyNumberFormat="1" applyFont="1" applyFill="1" applyBorder="1" applyAlignment="1" applyProtection="1">
      <alignment vertical="center"/>
    </xf>
    <xf numFmtId="0" fontId="23" fillId="0" borderId="39" xfId="0" applyNumberFormat="1" applyFont="1" applyFill="1" applyBorder="1" applyAlignment="1" applyProtection="1">
      <alignment vertical="center"/>
    </xf>
    <xf numFmtId="0" fontId="23" fillId="0" borderId="40" xfId="0" applyNumberFormat="1" applyFont="1" applyFill="1" applyBorder="1" applyAlignment="1" applyProtection="1">
      <alignment vertical="center"/>
    </xf>
    <xf numFmtId="3" fontId="0" fillId="0" borderId="41" xfId="0" applyNumberFormat="1" applyFont="1" applyFill="1" applyBorder="1" applyAlignment="1" applyProtection="1">
      <alignment vertical="center"/>
    </xf>
    <xf numFmtId="3" fontId="0" fillId="0" borderId="42" xfId="0" applyNumberFormat="1" applyFont="1" applyFill="1" applyBorder="1" applyAlignment="1" applyProtection="1">
      <alignment vertical="center"/>
    </xf>
    <xf numFmtId="165" fontId="7" fillId="0" borderId="43" xfId="0" applyNumberFormat="1" applyFont="1" applyFill="1" applyBorder="1" applyAlignment="1" applyProtection="1">
      <alignment horizontal="right" vertical="center" wrapText="1"/>
    </xf>
    <xf numFmtId="4" fontId="7" fillId="0" borderId="44" xfId="0" applyNumberFormat="1" applyFont="1" applyFill="1" applyBorder="1" applyAlignment="1" applyProtection="1">
      <alignment horizontal="right" vertical="center" wrapText="1"/>
    </xf>
    <xf numFmtId="3" fontId="0" fillId="0" borderId="43" xfId="0" applyNumberFormat="1" applyFont="1" applyFill="1" applyBorder="1" applyAlignment="1" applyProtection="1">
      <alignment vertical="center"/>
    </xf>
    <xf numFmtId="3" fontId="0" fillId="0" borderId="44" xfId="0" applyNumberFormat="1" applyFont="1" applyFill="1" applyBorder="1" applyAlignment="1" applyProtection="1">
      <alignment vertical="center"/>
    </xf>
    <xf numFmtId="3" fontId="7" fillId="0" borderId="42" xfId="0" applyNumberFormat="1" applyFont="1" applyFill="1" applyBorder="1" applyAlignment="1" applyProtection="1">
      <alignment vertical="center" wrapText="1"/>
    </xf>
    <xf numFmtId="4" fontId="7" fillId="0" borderId="42" xfId="0" applyNumberFormat="1" applyFont="1" applyFill="1" applyBorder="1" applyAlignment="1" applyProtection="1">
      <alignment horizontal="right" vertical="center" wrapText="1"/>
    </xf>
    <xf numFmtId="3" fontId="0" fillId="0" borderId="45" xfId="0" applyNumberFormat="1" applyFont="1" applyFill="1" applyBorder="1" applyAlignment="1" applyProtection="1">
      <alignment vertical="center"/>
    </xf>
    <xf numFmtId="164" fontId="12" fillId="0" borderId="34" xfId="0" applyNumberFormat="1" applyFont="1" applyFill="1" applyBorder="1" applyAlignment="1" applyProtection="1">
      <alignment vertical="center" wrapText="1"/>
    </xf>
    <xf numFmtId="0" fontId="27" fillId="0" borderId="36" xfId="0" applyNumberFormat="1" applyFont="1" applyFill="1" applyBorder="1" applyAlignment="1" applyProtection="1">
      <alignment vertical="center"/>
    </xf>
    <xf numFmtId="0" fontId="27" fillId="0" borderId="38" xfId="0" applyNumberFormat="1" applyFont="1" applyFill="1" applyBorder="1" applyAlignment="1" applyProtection="1">
      <alignment vertical="center"/>
    </xf>
    <xf numFmtId="0" fontId="12" fillId="0" borderId="39" xfId="0" applyNumberFormat="1" applyFont="1" applyFill="1" applyBorder="1" applyAlignment="1" applyProtection="1">
      <alignment vertical="center"/>
    </xf>
    <xf numFmtId="0" fontId="12" fillId="0" borderId="37" xfId="0" applyNumberFormat="1" applyFont="1" applyFill="1" applyBorder="1" applyAlignment="1" applyProtection="1">
      <alignment vertical="center"/>
    </xf>
    <xf numFmtId="0" fontId="12" fillId="0" borderId="40" xfId="0" applyNumberFormat="1" applyFont="1" applyFill="1" applyBorder="1" applyAlignment="1" applyProtection="1">
      <alignment vertical="center"/>
    </xf>
    <xf numFmtId="0" fontId="12" fillId="0" borderId="38" xfId="0" applyNumberFormat="1" applyFont="1" applyFill="1" applyBorder="1" applyAlignment="1" applyProtection="1">
      <alignment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0" fontId="28" fillId="0" borderId="20" xfId="0" applyNumberFormat="1" applyFont="1" applyFill="1" applyBorder="1" applyAlignment="1" applyProtection="1">
      <alignment vertical="center"/>
    </xf>
    <xf numFmtId="0" fontId="23" fillId="0" borderId="29" xfId="0" applyNumberFormat="1" applyFont="1" applyFill="1" applyBorder="1" applyAlignment="1" applyProtection="1">
      <alignment vertical="center"/>
    </xf>
    <xf numFmtId="4" fontId="7" fillId="0" borderId="30" xfId="0" applyNumberFormat="1" applyFont="1" applyFill="1" applyBorder="1" applyAlignment="1" applyProtection="1">
      <alignment horizontal="right" vertical="center" wrapText="1"/>
    </xf>
    <xf numFmtId="49" fontId="23" fillId="0" borderId="47" xfId="0" applyNumberFormat="1" applyFont="1" applyFill="1" applyBorder="1" applyAlignment="1" applyProtection="1">
      <alignment vertical="center"/>
    </xf>
    <xf numFmtId="0" fontId="23" fillId="0" borderId="30" xfId="0" applyNumberFormat="1" applyFont="1" applyFill="1" applyBorder="1" applyAlignment="1" applyProtection="1">
      <alignment vertical="center"/>
    </xf>
    <xf numFmtId="4" fontId="0" fillId="0" borderId="30" xfId="0" applyNumberFormat="1" applyFont="1" applyFill="1" applyBorder="1" applyAlignment="1" applyProtection="1">
      <alignment horizontal="right" vertical="center"/>
    </xf>
    <xf numFmtId="3" fontId="0" fillId="0" borderId="31" xfId="0" applyNumberFormat="1" applyFont="1" applyFill="1" applyBorder="1" applyAlignment="1" applyProtection="1">
      <alignment vertical="center"/>
    </xf>
    <xf numFmtId="0" fontId="29" fillId="0" borderId="31" xfId="0" applyNumberFormat="1" applyFont="1" applyFill="1" applyBorder="1" applyAlignment="1" applyProtection="1">
      <alignment horizontal="right" vertical="center"/>
    </xf>
    <xf numFmtId="10" fontId="29" fillId="0" borderId="32" xfId="0" applyNumberFormat="1" applyFont="1" applyFill="1" applyBorder="1" applyAlignment="1" applyProtection="1">
      <alignment horizontal="left" vertical="center" wrapText="1"/>
    </xf>
    <xf numFmtId="0" fontId="23" fillId="0" borderId="47" xfId="0" applyNumberFormat="1" applyFont="1" applyFill="1" applyBorder="1" applyAlignment="1" applyProtection="1">
      <alignment vertical="center"/>
    </xf>
    <xf numFmtId="0" fontId="23" fillId="0" borderId="26" xfId="0" applyNumberFormat="1" applyFont="1" applyFill="1" applyBorder="1" applyAlignment="1" applyProtection="1">
      <alignment vertical="center"/>
    </xf>
    <xf numFmtId="1" fontId="23" fillId="0" borderId="48" xfId="0" applyNumberFormat="1" applyFont="1" applyFill="1" applyBorder="1" applyAlignment="1" applyProtection="1">
      <alignment horizontal="center" vertical="center"/>
    </xf>
    <xf numFmtId="3" fontId="0" fillId="0" borderId="30" xfId="0" applyNumberFormat="1" applyFont="1" applyFill="1" applyBorder="1" applyAlignment="1" applyProtection="1">
      <alignment vertical="center"/>
    </xf>
    <xf numFmtId="0" fontId="28" fillId="0" borderId="30" xfId="0" applyNumberFormat="1" applyFont="1" applyFill="1" applyBorder="1" applyAlignment="1" applyProtection="1">
      <alignment vertical="center"/>
    </xf>
    <xf numFmtId="4" fontId="7" fillId="0" borderId="33" xfId="0" applyNumberFormat="1" applyFont="1" applyFill="1" applyBorder="1" applyAlignment="1" applyProtection="1">
      <alignment horizontal="right" vertical="center" wrapText="1"/>
    </xf>
    <xf numFmtId="49" fontId="23" fillId="0" borderId="35" xfId="0" applyNumberFormat="1" applyFont="1" applyFill="1" applyBorder="1" applyAlignment="1" applyProtection="1">
      <alignment vertical="center"/>
    </xf>
    <xf numFmtId="4" fontId="0" fillId="0" borderId="33" xfId="0" applyNumberFormat="1" applyFont="1" applyFill="1" applyBorder="1" applyAlignment="1" applyProtection="1">
      <alignment horizontal="right" vertical="center"/>
    </xf>
    <xf numFmtId="3" fontId="0" fillId="0" borderId="35" xfId="0" applyNumberFormat="1" applyFont="1" applyFill="1" applyBorder="1" applyAlignment="1" applyProtection="1">
      <alignment vertical="center"/>
    </xf>
    <xf numFmtId="1" fontId="23" fillId="0" borderId="49" xfId="0" applyNumberFormat="1" applyFont="1" applyFill="1" applyBorder="1" applyAlignment="1" applyProtection="1">
      <alignment horizontal="center" vertical="center"/>
    </xf>
    <xf numFmtId="0" fontId="23" fillId="0" borderId="44" xfId="0" applyNumberFormat="1" applyFont="1" applyFill="1" applyBorder="1" applyAlignment="1" applyProtection="1">
      <alignment vertical="center"/>
    </xf>
    <xf numFmtId="0" fontId="23" fillId="0" borderId="42" xfId="0" applyNumberFormat="1" applyFont="1" applyFill="1" applyBorder="1" applyAlignment="1" applyProtection="1">
      <alignment vertical="center"/>
    </xf>
    <xf numFmtId="0" fontId="23" fillId="0" borderId="43" xfId="0" applyNumberFormat="1" applyFont="1" applyFill="1" applyBorder="1" applyAlignment="1" applyProtection="1">
      <alignment vertical="center"/>
    </xf>
    <xf numFmtId="4" fontId="7" fillId="0" borderId="50" xfId="0" applyNumberFormat="1" applyFont="1" applyFill="1" applyBorder="1" applyAlignment="1" applyProtection="1">
      <alignment horizontal="right" vertical="center" wrapText="1"/>
    </xf>
    <xf numFmtId="49" fontId="23" fillId="0" borderId="11" xfId="0" applyNumberFormat="1" applyFont="1" applyFill="1" applyBorder="1" applyAlignment="1" applyProtection="1">
      <alignment vertical="center"/>
    </xf>
    <xf numFmtId="4" fontId="7" fillId="0" borderId="34" xfId="0" applyNumberFormat="1" applyFont="1" applyFill="1" applyBorder="1" applyAlignment="1" applyProtection="1">
      <alignment horizontal="right" vertical="center" wrapText="1"/>
    </xf>
    <xf numFmtId="3" fontId="7" fillId="0" borderId="8" xfId="0" applyNumberFormat="1" applyFont="1" applyFill="1" applyBorder="1" applyAlignment="1" applyProtection="1">
      <alignment vertical="center" wrapText="1"/>
    </xf>
    <xf numFmtId="0" fontId="12" fillId="0" borderId="15" xfId="0" applyNumberFormat="1" applyFont="1" applyFill="1" applyBorder="1" applyAlignment="1" applyProtection="1">
      <alignment vertical="top"/>
    </xf>
    <xf numFmtId="0" fontId="23" fillId="0" borderId="51" xfId="0" applyNumberFormat="1" applyFont="1" applyFill="1" applyBorder="1" applyAlignment="1" applyProtection="1">
      <alignment vertical="center"/>
    </xf>
    <xf numFmtId="0" fontId="23" fillId="0" borderId="52" xfId="0" applyNumberFormat="1" applyFont="1" applyFill="1" applyBorder="1" applyAlignment="1" applyProtection="1">
      <alignment vertical="center"/>
    </xf>
    <xf numFmtId="1" fontId="27" fillId="0" borderId="36" xfId="0" applyNumberFormat="1" applyFont="1" applyFill="1" applyBorder="1" applyAlignment="1" applyProtection="1">
      <alignment vertical="center"/>
    </xf>
    <xf numFmtId="0" fontId="23" fillId="0" borderId="24" xfId="0" applyNumberFormat="1" applyFont="1" applyFill="1" applyBorder="1" applyAlignment="1" applyProtection="1">
      <alignment vertical="center"/>
    </xf>
    <xf numFmtId="166" fontId="23" fillId="0" borderId="35" xfId="0" applyNumberFormat="1" applyFont="1" applyFill="1" applyBorder="1" applyAlignment="1" applyProtection="1">
      <alignment horizontal="right" vertical="center"/>
    </xf>
    <xf numFmtId="0" fontId="23" fillId="0" borderId="53" xfId="0" applyNumberFormat="1" applyFont="1" applyFill="1" applyBorder="1" applyAlignment="1" applyProtection="1"/>
    <xf numFmtId="0" fontId="23" fillId="0" borderId="26" xfId="0" applyNumberFormat="1" applyFont="1" applyFill="1" applyBorder="1" applyAlignment="1" applyProtection="1"/>
    <xf numFmtId="3" fontId="24" fillId="0" borderId="30" xfId="0" applyNumberFormat="1" applyFont="1" applyFill="1" applyBorder="1" applyAlignment="1" applyProtection="1">
      <alignment horizontal="right" vertical="center" wrapText="1"/>
    </xf>
    <xf numFmtId="4" fontId="24" fillId="0" borderId="31" xfId="0" applyNumberFormat="1" applyFont="1" applyFill="1" applyBorder="1" applyAlignment="1" applyProtection="1">
      <alignment horizontal="right" vertical="center" wrapText="1"/>
    </xf>
    <xf numFmtId="4" fontId="7" fillId="0" borderId="26" xfId="0" applyNumberFormat="1" applyFont="1" applyFill="1" applyBorder="1" applyAlignment="1" applyProtection="1">
      <alignment horizontal="right" vertical="center" wrapText="1"/>
    </xf>
    <xf numFmtId="166" fontId="23" fillId="0" borderId="54" xfId="0" applyNumberFormat="1" applyFont="1" applyFill="1" applyBorder="1" applyAlignment="1" applyProtection="1">
      <alignment horizontal="right" vertical="center"/>
    </xf>
    <xf numFmtId="0" fontId="12" fillId="0" borderId="55" xfId="0" applyNumberFormat="1" applyFont="1" applyFill="1" applyBorder="1" applyAlignment="1" applyProtection="1">
      <alignment vertical="top"/>
    </xf>
    <xf numFmtId="0" fontId="23" fillId="0" borderId="20" xfId="0" applyNumberFormat="1" applyFont="1" applyFill="1" applyBorder="1" applyAlignment="1" applyProtection="1">
      <alignment vertical="center"/>
    </xf>
    <xf numFmtId="166" fontId="23" fillId="0" borderId="47" xfId="0" applyNumberFormat="1" applyFont="1" applyFill="1" applyBorder="1" applyAlignment="1" applyProtection="1">
      <alignment horizontal="right" vertical="center"/>
    </xf>
    <xf numFmtId="0" fontId="12" fillId="0" borderId="44" xfId="0" applyNumberFormat="1" applyFont="1" applyFill="1" applyBorder="1" applyAlignment="1" applyProtection="1">
      <alignment vertical="center"/>
    </xf>
    <xf numFmtId="4" fontId="11" fillId="0" borderId="56" xfId="0" applyNumberFormat="1" applyFont="1" applyFill="1" applyBorder="1" applyAlignment="1" applyProtection="1">
      <alignment horizontal="right" vertical="center" wrapText="1"/>
    </xf>
    <xf numFmtId="0" fontId="23" fillId="0" borderId="57" xfId="0" applyNumberFormat="1" applyFont="1" applyFill="1" applyBorder="1" applyAlignment="1" applyProtection="1">
      <alignment vertical="center"/>
    </xf>
    <xf numFmtId="0" fontId="0" fillId="0" borderId="37" xfId="0" applyNumberFormat="1" applyFont="1" applyFill="1" applyBorder="1" applyAlignment="1" applyProtection="1">
      <alignment vertical="center"/>
    </xf>
    <xf numFmtId="0" fontId="23" fillId="0" borderId="18" xfId="0" applyNumberFormat="1" applyFont="1" applyFill="1" applyBorder="1" applyAlignment="1" applyProtection="1"/>
    <xf numFmtId="0" fontId="23" fillId="0" borderId="58" xfId="0" applyNumberFormat="1" applyFont="1" applyFill="1" applyBorder="1" applyAlignment="1" applyProtection="1">
      <alignment vertical="center"/>
    </xf>
    <xf numFmtId="0" fontId="23" fillId="0" borderId="50" xfId="0" applyNumberFormat="1" applyFont="1" applyFill="1" applyBorder="1" applyAlignment="1" applyProtection="1"/>
    <xf numFmtId="0" fontId="23" fillId="0" borderId="45" xfId="0" applyNumberFormat="1" applyFont="1" applyFill="1" applyBorder="1" applyAlignment="1" applyProtection="1">
      <alignment vertical="center"/>
    </xf>
    <xf numFmtId="49" fontId="30" fillId="3" borderId="0" xfId="0" applyNumberFormat="1" applyFont="1" applyFill="1" applyAlignment="1" applyProtection="1"/>
    <xf numFmtId="49" fontId="26" fillId="3" borderId="0" xfId="0" applyNumberFormat="1" applyFont="1" applyFill="1" applyAlignment="1" applyProtection="1"/>
    <xf numFmtId="2" fontId="0" fillId="0" borderId="0" xfId="0" applyNumberFormat="1" applyFont="1" applyProtection="1">
      <protection locked="0"/>
    </xf>
    <xf numFmtId="49" fontId="31" fillId="3" borderId="0" xfId="0" applyNumberFormat="1" applyFont="1" applyFill="1" applyAlignment="1" applyProtection="1">
      <alignment vertical="center"/>
    </xf>
    <xf numFmtId="0" fontId="24" fillId="4" borderId="0" xfId="0" applyNumberFormat="1" applyFont="1" applyFill="1" applyAlignment="1" applyProtection="1">
      <alignment horizontal="left" vertical="center"/>
    </xf>
    <xf numFmtId="49" fontId="26" fillId="3" borderId="0" xfId="0" applyNumberFormat="1" applyFont="1" applyFill="1" applyAlignment="1" applyProtection="1">
      <alignment vertical="center"/>
    </xf>
    <xf numFmtId="49" fontId="24" fillId="3" borderId="0" xfId="0" applyNumberFormat="1" applyFont="1" applyFill="1" applyAlignment="1" applyProtection="1">
      <alignment horizontal="center" vertical="center"/>
    </xf>
    <xf numFmtId="0" fontId="24" fillId="4" borderId="0" xfId="0" applyNumberFormat="1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</xf>
    <xf numFmtId="49" fontId="24" fillId="3" borderId="0" xfId="0" applyNumberFormat="1" applyFont="1" applyFill="1" applyAlignment="1" applyProtection="1">
      <alignment vertical="center"/>
    </xf>
    <xf numFmtId="49" fontId="24" fillId="4" borderId="0" xfId="0" applyNumberFormat="1" applyFont="1" applyFill="1" applyAlignment="1" applyProtection="1">
      <alignment vertical="center"/>
    </xf>
    <xf numFmtId="49" fontId="24" fillId="3" borderId="0" xfId="0" applyNumberFormat="1" applyFont="1" applyFill="1" applyAlignment="1" applyProtection="1">
      <alignment horizontal="left" vertical="center"/>
    </xf>
    <xf numFmtId="49" fontId="24" fillId="5" borderId="61" xfId="0" applyNumberFormat="1" applyFont="1" applyFill="1" applyBorder="1" applyAlignment="1" applyProtection="1">
      <alignment horizontal="center" vertical="center" wrapText="1"/>
    </xf>
    <xf numFmtId="49" fontId="24" fillId="5" borderId="38" xfId="0" applyNumberFormat="1" applyFont="1" applyFill="1" applyBorder="1" applyAlignment="1" applyProtection="1">
      <alignment horizontal="center" vertical="center" wrapText="1"/>
    </xf>
    <xf numFmtId="1" fontId="24" fillId="5" borderId="63" xfId="0" applyNumberFormat="1" applyFont="1" applyFill="1" applyBorder="1" applyAlignment="1" applyProtection="1">
      <alignment horizontal="center" vertical="center" wrapText="1"/>
    </xf>
    <xf numFmtId="1" fontId="24" fillId="5" borderId="43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 applyProtection="1"/>
    <xf numFmtId="165" fontId="32" fillId="0" borderId="0" xfId="0" applyNumberFormat="1" applyFont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167" fontId="32" fillId="0" borderId="0" xfId="0" applyNumberFormat="1" applyFont="1" applyAlignment="1" applyProtection="1">
      <alignment horizontal="right" vertical="center"/>
    </xf>
    <xf numFmtId="0" fontId="32" fillId="0" borderId="0" xfId="0" applyFont="1" applyAlignment="1">
      <alignment vertical="center"/>
    </xf>
    <xf numFmtId="165" fontId="33" fillId="0" borderId="0" xfId="0" applyNumberFormat="1" applyFont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167" fontId="33" fillId="0" borderId="0" xfId="0" applyNumberFormat="1" applyFont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7" fontId="34" fillId="0" borderId="0" xfId="0" applyNumberFormat="1" applyFont="1" applyAlignment="1">
      <alignment horizontal="right" vertical="center"/>
    </xf>
    <xf numFmtId="49" fontId="24" fillId="3" borderId="0" xfId="0" applyNumberFormat="1" applyFont="1" applyFill="1" applyAlignment="1" applyProtection="1"/>
    <xf numFmtId="49" fontId="24" fillId="4" borderId="0" xfId="0" applyNumberFormat="1" applyFont="1" applyFill="1" applyAlignment="1" applyProtection="1">
      <alignment horizontal="left" vertical="center"/>
    </xf>
    <xf numFmtId="49" fontId="24" fillId="6" borderId="59" xfId="0" applyNumberFormat="1" applyFont="1" applyFill="1" applyBorder="1" applyAlignment="1" applyProtection="1">
      <alignment horizontal="center" vertical="center" wrapText="1"/>
    </xf>
    <xf numFmtId="49" fontId="24" fillId="6" borderId="60" xfId="0" applyNumberFormat="1" applyFont="1" applyFill="1" applyBorder="1" applyAlignment="1" applyProtection="1">
      <alignment horizontal="center" vertical="center" wrapText="1"/>
    </xf>
    <xf numFmtId="1" fontId="24" fillId="6" borderId="49" xfId="0" applyNumberFormat="1" applyFont="1" applyFill="1" applyBorder="1" applyAlignment="1" applyProtection="1">
      <alignment horizontal="center" vertical="center" wrapText="1"/>
    </xf>
    <xf numFmtId="1" fontId="24" fillId="6" borderId="62" xfId="0" applyNumberFormat="1" applyFont="1" applyFill="1" applyBorder="1" applyAlignment="1" applyProtection="1">
      <alignment horizontal="center" vertical="center" wrapText="1"/>
    </xf>
    <xf numFmtId="0" fontId="11" fillId="0" borderId="5" xfId="2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24" fillId="6" borderId="64" xfId="0" applyNumberFormat="1" applyFont="1" applyFill="1" applyBorder="1" applyAlignment="1" applyProtection="1">
      <alignment horizontal="center" vertical="center" wrapText="1"/>
    </xf>
    <xf numFmtId="168" fontId="35" fillId="0" borderId="0" xfId="0" applyNumberFormat="1" applyFont="1" applyBorder="1"/>
    <xf numFmtId="49" fontId="24" fillId="3" borderId="0" xfId="0" applyNumberFormat="1" applyFont="1" applyFill="1" applyAlignment="1" applyProtection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/>
    <xf numFmtId="1" fontId="24" fillId="6" borderId="33" xfId="0" applyNumberFormat="1" applyFont="1" applyFill="1" applyBorder="1" applyAlignment="1" applyProtection="1">
      <alignment horizontal="center" vertical="center" wrapText="1"/>
    </xf>
    <xf numFmtId="2" fontId="12" fillId="0" borderId="19" xfId="2" applyNumberFormat="1" applyFont="1" applyBorder="1" applyAlignment="1">
      <alignment horizontal="right"/>
    </xf>
    <xf numFmtId="2" fontId="18" fillId="0" borderId="19" xfId="2" applyNumberFormat="1" applyFont="1" applyBorder="1" applyAlignment="1">
      <alignment horizontal="right"/>
    </xf>
    <xf numFmtId="2" fontId="12" fillId="0" borderId="65" xfId="2" applyNumberFormat="1" applyFont="1" applyBorder="1" applyAlignment="1">
      <alignment horizontal="right"/>
    </xf>
    <xf numFmtId="0" fontId="9" fillId="0" borderId="19" xfId="0" applyFont="1" applyBorder="1"/>
    <xf numFmtId="0" fontId="0" fillId="0" borderId="19" xfId="0" applyBorder="1"/>
    <xf numFmtId="0" fontId="15" fillId="0" borderId="19" xfId="0" applyFont="1" applyBorder="1"/>
    <xf numFmtId="168" fontId="9" fillId="0" borderId="6" xfId="0" applyNumberFormat="1" applyFont="1" applyBorder="1"/>
    <xf numFmtId="168" fontId="0" fillId="0" borderId="6" xfId="0" applyNumberFormat="1" applyBorder="1"/>
    <xf numFmtId="168" fontId="15" fillId="0" borderId="6" xfId="0" applyNumberFormat="1" applyFont="1" applyBorder="1"/>
    <xf numFmtId="49" fontId="35" fillId="0" borderId="0" xfId="0" applyNumberFormat="1" applyFont="1" applyBorder="1" applyAlignment="1">
      <alignment wrapText="1"/>
    </xf>
    <xf numFmtId="49" fontId="24" fillId="6" borderId="1" xfId="0" applyNumberFormat="1" applyFont="1" applyFill="1" applyBorder="1" applyAlignment="1" applyProtection="1">
      <alignment horizontal="center" vertical="center" wrapText="1"/>
    </xf>
    <xf numFmtId="0" fontId="11" fillId="6" borderId="66" xfId="2" applyFont="1" applyFill="1" applyBorder="1" applyAlignment="1"/>
    <xf numFmtId="0" fontId="11" fillId="6" borderId="66" xfId="2" applyFont="1" applyFill="1" applyBorder="1" applyAlignment="1">
      <alignment horizontal="center"/>
    </xf>
    <xf numFmtId="49" fontId="24" fillId="6" borderId="66" xfId="0" applyNumberFormat="1" applyFont="1" applyFill="1" applyBorder="1" applyAlignment="1" applyProtection="1">
      <alignment horizontal="center" vertical="center" wrapText="1"/>
    </xf>
    <xf numFmtId="49" fontId="24" fillId="6" borderId="67" xfId="0" applyNumberFormat="1" applyFont="1" applyFill="1" applyBorder="1" applyAlignment="1" applyProtection="1">
      <alignment horizontal="center" vertical="center" wrapText="1"/>
    </xf>
    <xf numFmtId="49" fontId="24" fillId="6" borderId="68" xfId="0" applyNumberFormat="1" applyFont="1" applyFill="1" applyBorder="1" applyAlignment="1" applyProtection="1">
      <alignment horizontal="center" wrapText="1"/>
    </xf>
    <xf numFmtId="1" fontId="24" fillId="6" borderId="69" xfId="0" applyNumberFormat="1" applyFont="1" applyFill="1" applyBorder="1" applyAlignment="1" applyProtection="1">
      <alignment horizontal="center" vertical="center" wrapText="1"/>
    </xf>
    <xf numFmtId="1" fontId="24" fillId="6" borderId="70" xfId="0" applyNumberFormat="1" applyFont="1" applyFill="1" applyBorder="1" applyAlignment="1" applyProtection="1">
      <alignment horizontal="center" wrapText="1"/>
    </xf>
    <xf numFmtId="0" fontId="9" fillId="0" borderId="71" xfId="0" applyFont="1" applyBorder="1" applyAlignment="1">
      <alignment horizontal="center"/>
    </xf>
    <xf numFmtId="49" fontId="9" fillId="2" borderId="71" xfId="0" applyNumberFormat="1" applyFont="1" applyFill="1" applyBorder="1" applyAlignment="1">
      <alignment horizontal="center" readingOrder="1"/>
    </xf>
    <xf numFmtId="49" fontId="11" fillId="0" borderId="0" xfId="0" applyNumberFormat="1" applyFont="1" applyBorder="1" applyAlignment="1">
      <alignment horizontal="left" vertical="top" wrapText="1"/>
    </xf>
    <xf numFmtId="0" fontId="11" fillId="0" borderId="0" xfId="3" applyFont="1" applyBorder="1" applyAlignment="1">
      <alignment vertical="top" wrapText="1"/>
    </xf>
    <xf numFmtId="0" fontId="19" fillId="0" borderId="0" xfId="3" applyFont="1" applyBorder="1" applyAlignment="1">
      <alignment vertical="top" wrapText="1"/>
    </xf>
    <xf numFmtId="0" fontId="20" fillId="0" borderId="72" xfId="0" applyFont="1" applyBorder="1" applyAlignment="1">
      <alignment horizontal="center"/>
    </xf>
    <xf numFmtId="0" fontId="20" fillId="0" borderId="0" xfId="0" applyFont="1" applyBorder="1"/>
    <xf numFmtId="0" fontId="0" fillId="0" borderId="0" xfId="0" applyBorder="1" applyAlignment="1">
      <alignment horizontal="right"/>
    </xf>
    <xf numFmtId="0" fontId="0" fillId="0" borderId="71" xfId="0" applyBorder="1" applyAlignment="1">
      <alignment horizontal="center"/>
    </xf>
    <xf numFmtId="0" fontId="11" fillId="0" borderId="0" xfId="0" applyFont="1" applyBorder="1" applyAlignment="1">
      <alignment vertical="top" wrapText="1"/>
    </xf>
    <xf numFmtId="0" fontId="11" fillId="0" borderId="0" xfId="2" applyFont="1" applyBorder="1" applyAlignment="1">
      <alignment vertical="top" wrapText="1"/>
    </xf>
    <xf numFmtId="49" fontId="15" fillId="2" borderId="71" xfId="0" applyNumberFormat="1" applyFont="1" applyFill="1" applyBorder="1" applyAlignment="1">
      <alignment horizontal="center" readingOrder="1"/>
    </xf>
    <xf numFmtId="0" fontId="19" fillId="0" borderId="0" xfId="0" applyFont="1" applyBorder="1" applyAlignment="1">
      <alignment vertical="top" wrapText="1"/>
    </xf>
    <xf numFmtId="0" fontId="9" fillId="0" borderId="65" xfId="0" applyFont="1" applyBorder="1"/>
    <xf numFmtId="168" fontId="9" fillId="0" borderId="10" xfId="0" applyNumberFormat="1" applyFont="1" applyBorder="1"/>
    <xf numFmtId="49" fontId="9" fillId="2" borderId="73" xfId="0" applyNumberFormat="1" applyFont="1" applyFill="1" applyBorder="1" applyAlignment="1">
      <alignment horizontal="center" readingOrder="1"/>
    </xf>
    <xf numFmtId="0" fontId="37" fillId="0" borderId="1" xfId="9" applyFont="1" applyFill="1" applyBorder="1" applyAlignment="1" applyProtection="1">
      <alignment horizontal="center" vertical="center" wrapText="1"/>
    </xf>
    <xf numFmtId="0" fontId="37" fillId="7" borderId="66" xfId="9" applyFont="1" applyFill="1" applyBorder="1" applyAlignment="1" applyProtection="1">
      <alignment horizontal="center" vertical="center" wrapText="1"/>
    </xf>
    <xf numFmtId="0" fontId="37" fillId="7" borderId="66" xfId="9" applyFont="1" applyFill="1" applyBorder="1" applyAlignment="1">
      <alignment horizontal="center" vertical="center" wrapText="1"/>
      <protection locked="0"/>
    </xf>
    <xf numFmtId="0" fontId="37" fillId="7" borderId="2" xfId="9" applyFont="1" applyFill="1" applyBorder="1" applyAlignment="1">
      <alignment horizontal="center" vertical="center" wrapText="1"/>
      <protection locked="0"/>
    </xf>
    <xf numFmtId="0" fontId="37" fillId="7" borderId="3" xfId="9" applyFont="1" applyFill="1" applyBorder="1" applyAlignment="1">
      <alignment horizontal="center" vertical="center" wrapText="1"/>
      <protection locked="0"/>
    </xf>
    <xf numFmtId="0" fontId="36" fillId="0" borderId="35" xfId="9" applyFont="1" applyBorder="1" applyAlignment="1">
      <alignment horizontal="left" vertical="center"/>
      <protection locked="0"/>
    </xf>
    <xf numFmtId="0" fontId="36" fillId="0" borderId="64" xfId="9" applyFont="1" applyBorder="1" applyAlignment="1">
      <alignment horizontal="left" vertical="center"/>
      <protection locked="0"/>
    </xf>
    <xf numFmtId="0" fontId="37" fillId="0" borderId="69" xfId="9" applyFont="1" applyFill="1" applyBorder="1" applyAlignment="1" applyProtection="1">
      <alignment horizontal="left" vertical="center" wrapText="1"/>
    </xf>
    <xf numFmtId="0" fontId="37" fillId="7" borderId="64" xfId="9" applyFont="1" applyFill="1" applyBorder="1" applyAlignment="1" applyProtection="1">
      <alignment horizontal="left" vertical="center" wrapText="1"/>
    </xf>
    <xf numFmtId="169" fontId="37" fillId="7" borderId="64" xfId="9" applyNumberFormat="1" applyFont="1" applyFill="1" applyBorder="1" applyAlignment="1" applyProtection="1">
      <alignment horizontal="right" vertical="center" wrapText="1"/>
    </xf>
    <xf numFmtId="0" fontId="37" fillId="7" borderId="64" xfId="9" applyFont="1" applyFill="1" applyBorder="1" applyAlignment="1">
      <alignment horizontal="center" vertical="center" wrapText="1"/>
      <protection locked="0"/>
    </xf>
    <xf numFmtId="0" fontId="37" fillId="7" borderId="68" xfId="9" applyFont="1" applyFill="1" applyBorder="1" applyAlignment="1">
      <alignment horizontal="center" vertical="center" wrapText="1"/>
      <protection locked="0"/>
    </xf>
    <xf numFmtId="0" fontId="37" fillId="0" borderId="64" xfId="9" applyFont="1" applyFill="1" applyBorder="1" applyAlignment="1" applyProtection="1">
      <alignment horizontal="left" vertical="center" wrapText="1"/>
    </xf>
    <xf numFmtId="169" fontId="37" fillId="0" borderId="64" xfId="9" applyNumberFormat="1" applyFont="1" applyFill="1" applyBorder="1" applyAlignment="1" applyProtection="1">
      <alignment horizontal="right" vertical="center" wrapText="1"/>
    </xf>
    <xf numFmtId="0" fontId="37" fillId="0" borderId="64" xfId="9" applyFont="1" applyFill="1" applyBorder="1" applyAlignment="1">
      <alignment horizontal="center" vertical="center" wrapText="1"/>
      <protection locked="0"/>
    </xf>
    <xf numFmtId="0" fontId="37" fillId="8" borderId="64" xfId="9" applyFont="1" applyFill="1" applyBorder="1" applyAlignment="1">
      <alignment horizontal="center" vertical="center" wrapText="1"/>
      <protection locked="0"/>
    </xf>
    <xf numFmtId="0" fontId="37" fillId="0" borderId="74" xfId="9" applyFont="1" applyFill="1" applyBorder="1" applyAlignment="1">
      <alignment horizontal="center" vertical="center" wrapText="1"/>
      <protection locked="0"/>
    </xf>
    <xf numFmtId="2" fontId="37" fillId="0" borderId="69" xfId="9" applyNumberFormat="1" applyFont="1" applyFill="1" applyBorder="1" applyAlignment="1">
      <alignment horizontal="left" vertical="center" wrapText="1"/>
      <protection locked="0"/>
    </xf>
    <xf numFmtId="2" fontId="38" fillId="0" borderId="64" xfId="9" applyNumberFormat="1" applyFont="1" applyFill="1" applyBorder="1" applyAlignment="1">
      <alignment horizontal="left" vertical="center" wrapText="1"/>
      <protection locked="0"/>
    </xf>
    <xf numFmtId="2" fontId="38" fillId="0" borderId="64" xfId="9" applyNumberFormat="1" applyFont="1" applyFill="1" applyBorder="1" applyAlignment="1">
      <alignment horizontal="right" vertical="center" wrapText="1"/>
      <protection locked="0"/>
    </xf>
    <xf numFmtId="4" fontId="38" fillId="0" borderId="64" xfId="9" applyNumberFormat="1" applyFont="1" applyFill="1" applyBorder="1" applyAlignment="1">
      <alignment horizontal="right" vertical="center" wrapText="1"/>
      <protection locked="0"/>
    </xf>
    <xf numFmtId="4" fontId="38" fillId="8" borderId="64" xfId="9" applyNumberFormat="1" applyFont="1" applyFill="1" applyBorder="1" applyAlignment="1">
      <alignment horizontal="right" vertical="center" wrapText="1"/>
      <protection locked="0"/>
    </xf>
    <xf numFmtId="4" fontId="38" fillId="0" borderId="74" xfId="9" applyNumberFormat="1" applyFont="1" applyFill="1" applyBorder="1" applyAlignment="1">
      <alignment horizontal="right" vertical="center" wrapText="1"/>
      <protection locked="0"/>
    </xf>
    <xf numFmtId="2" fontId="38" fillId="0" borderId="69" xfId="10" applyNumberFormat="1" applyFont="1" applyFill="1" applyBorder="1" applyAlignment="1">
      <alignment horizontal="left" vertical="center" wrapText="1"/>
      <protection locked="0"/>
    </xf>
    <xf numFmtId="2" fontId="38" fillId="0" borderId="64" xfId="10" applyNumberFormat="1" applyFont="1" applyFill="1" applyBorder="1" applyAlignment="1">
      <alignment horizontal="left" vertical="center" wrapText="1"/>
      <protection locked="0"/>
    </xf>
    <xf numFmtId="1" fontId="38" fillId="0" borderId="64" xfId="10" applyNumberFormat="1" applyFont="1" applyFill="1" applyBorder="1" applyAlignment="1">
      <alignment horizontal="right" vertical="center" wrapText="1"/>
      <protection locked="0"/>
    </xf>
    <xf numFmtId="4" fontId="38" fillId="0" borderId="64" xfId="10" applyNumberFormat="1" applyFont="1" applyFill="1" applyBorder="1" applyAlignment="1">
      <alignment horizontal="right" vertical="center" wrapText="1"/>
      <protection locked="0"/>
    </xf>
    <xf numFmtId="1" fontId="38" fillId="0" borderId="64" xfId="9" applyNumberFormat="1" applyFont="1" applyFill="1" applyBorder="1" applyAlignment="1">
      <alignment horizontal="right" vertical="center" wrapText="1"/>
      <protection locked="0"/>
    </xf>
    <xf numFmtId="2" fontId="38" fillId="0" borderId="69" xfId="9" applyNumberFormat="1" applyFont="1" applyFill="1" applyBorder="1" applyAlignment="1">
      <alignment horizontal="left" vertical="center" wrapText="1"/>
      <protection locked="0"/>
    </xf>
    <xf numFmtId="0" fontId="10" fillId="0" borderId="72" xfId="0" applyFont="1" applyBorder="1"/>
    <xf numFmtId="2" fontId="8" fillId="0" borderId="69" xfId="9" applyNumberFormat="1" applyFont="1" applyFill="1" applyBorder="1" applyAlignment="1">
      <alignment horizontal="left" vertical="center" wrapText="1"/>
      <protection locked="0"/>
    </xf>
    <xf numFmtId="0" fontId="36" fillId="0" borderId="35" xfId="9" applyFont="1" applyFill="1" applyBorder="1" applyAlignment="1">
      <alignment horizontal="left" vertical="center"/>
      <protection locked="0"/>
    </xf>
    <xf numFmtId="0" fontId="36" fillId="0" borderId="64" xfId="9" applyFont="1" applyFill="1" applyBorder="1" applyAlignment="1">
      <alignment horizontal="left" vertical="center"/>
      <protection locked="0"/>
    </xf>
    <xf numFmtId="4" fontId="38" fillId="8" borderId="64" xfId="10" applyNumberFormat="1" applyFont="1" applyFill="1" applyBorder="1" applyAlignment="1">
      <alignment horizontal="right" vertical="center" wrapText="1"/>
      <protection locked="0"/>
    </xf>
    <xf numFmtId="49" fontId="38" fillId="0" borderId="69" xfId="9" applyNumberFormat="1" applyFont="1" applyFill="1" applyBorder="1" applyAlignment="1">
      <alignment horizontal="left" vertical="center" wrapText="1"/>
      <protection locked="0"/>
    </xf>
    <xf numFmtId="0" fontId="36" fillId="0" borderId="72" xfId="9" applyFont="1" applyFill="1" applyBorder="1" applyAlignment="1">
      <alignment horizontal="left" vertical="center" wrapText="1"/>
      <protection locked="0"/>
    </xf>
    <xf numFmtId="0" fontId="36" fillId="0" borderId="0" xfId="9" applyFont="1" applyBorder="1" applyAlignment="1">
      <alignment horizontal="left" vertical="center" wrapText="1"/>
      <protection locked="0"/>
    </xf>
    <xf numFmtId="169" fontId="36" fillId="0" borderId="0" xfId="9" applyNumberFormat="1" applyFont="1" applyBorder="1" applyAlignment="1">
      <alignment horizontal="right" vertical="center"/>
      <protection locked="0"/>
    </xf>
    <xf numFmtId="169" fontId="36" fillId="8" borderId="64" xfId="9" applyNumberFormat="1" applyFont="1" applyFill="1" applyBorder="1" applyAlignment="1">
      <alignment horizontal="right" vertical="center"/>
      <protection locked="0"/>
    </xf>
    <xf numFmtId="169" fontId="36" fillId="0" borderId="64" xfId="9" applyNumberFormat="1" applyFont="1" applyBorder="1" applyAlignment="1">
      <alignment horizontal="right" vertical="center"/>
      <protection locked="0"/>
    </xf>
    <xf numFmtId="169" fontId="36" fillId="0" borderId="74" xfId="9" applyNumberFormat="1" applyFont="1" applyBorder="1" applyAlignment="1">
      <alignment horizontal="right" vertical="center"/>
      <protection locked="0"/>
    </xf>
    <xf numFmtId="2" fontId="38" fillId="9" borderId="64" xfId="10" applyNumberFormat="1" applyFont="1" applyFill="1" applyBorder="1" applyAlignment="1">
      <alignment horizontal="left" vertical="center" wrapText="1"/>
      <protection locked="0"/>
    </xf>
    <xf numFmtId="2" fontId="38" fillId="9" borderId="64" xfId="10" applyNumberFormat="1" applyFont="1" applyFill="1" applyBorder="1" applyAlignment="1">
      <alignment horizontal="right" vertical="center" wrapText="1"/>
      <protection locked="0"/>
    </xf>
    <xf numFmtId="4" fontId="38" fillId="9" borderId="64" xfId="10" applyNumberFormat="1" applyFont="1" applyFill="1" applyBorder="1" applyAlignment="1">
      <alignment horizontal="right" vertical="center" wrapText="1"/>
      <protection locked="0"/>
    </xf>
    <xf numFmtId="4" fontId="38" fillId="9" borderId="74" xfId="10" applyNumberFormat="1" applyFont="1" applyFill="1" applyBorder="1" applyAlignment="1">
      <alignment horizontal="right" vertical="center" wrapText="1"/>
      <protection locked="0"/>
    </xf>
    <xf numFmtId="2" fontId="38" fillId="0" borderId="64" xfId="10" applyNumberFormat="1" applyFont="1" applyFill="1" applyBorder="1" applyAlignment="1">
      <alignment horizontal="right" vertical="center" wrapText="1"/>
      <protection locked="0"/>
    </xf>
    <xf numFmtId="169" fontId="36" fillId="8" borderId="64" xfId="10" applyNumberFormat="1" applyFont="1" applyFill="1" applyBorder="1" applyAlignment="1">
      <alignment horizontal="right" vertical="center"/>
      <protection locked="0"/>
    </xf>
    <xf numFmtId="4" fontId="38" fillId="0" borderId="74" xfId="10" applyNumberFormat="1" applyFont="1" applyFill="1" applyBorder="1" applyAlignment="1">
      <alignment horizontal="right" vertical="center" wrapText="1"/>
      <protection locked="0"/>
    </xf>
    <xf numFmtId="2" fontId="37" fillId="0" borderId="69" xfId="10" applyNumberFormat="1" applyFont="1" applyFill="1" applyBorder="1" applyAlignment="1">
      <alignment horizontal="left" vertical="center" wrapText="1"/>
      <protection locked="0"/>
    </xf>
    <xf numFmtId="2" fontId="38" fillId="0" borderId="64" xfId="9" applyNumberFormat="1" applyFont="1" applyBorder="1" applyAlignment="1">
      <alignment horizontal="left" vertical="center" wrapText="1"/>
      <protection locked="0"/>
    </xf>
    <xf numFmtId="2" fontId="38" fillId="0" borderId="75" xfId="9" applyNumberFormat="1" applyFont="1" applyFill="1" applyBorder="1" applyAlignment="1">
      <alignment horizontal="left" vertical="center" wrapText="1"/>
      <protection locked="0"/>
    </xf>
    <xf numFmtId="2" fontId="38" fillId="0" borderId="34" xfId="9" applyNumberFormat="1" applyFont="1" applyBorder="1" applyAlignment="1">
      <alignment horizontal="left" vertical="center" wrapText="1"/>
      <protection locked="0"/>
    </xf>
    <xf numFmtId="2" fontId="38" fillId="0" borderId="34" xfId="9" applyNumberFormat="1" applyFont="1" applyBorder="1" applyAlignment="1">
      <alignment horizontal="right" vertical="center" wrapText="1"/>
      <protection locked="0"/>
    </xf>
    <xf numFmtId="4" fontId="38" fillId="0" borderId="34" xfId="9" applyNumberFormat="1" applyFont="1" applyBorder="1" applyAlignment="1">
      <alignment horizontal="right" vertical="center" wrapText="1"/>
      <protection locked="0"/>
    </xf>
    <xf numFmtId="4" fontId="38" fillId="0" borderId="64" xfId="9" applyNumberFormat="1" applyFont="1" applyBorder="1" applyAlignment="1">
      <alignment horizontal="right" vertical="center" wrapText="1"/>
      <protection locked="0"/>
    </xf>
    <xf numFmtId="0" fontId="40" fillId="0" borderId="75" xfId="9" applyFont="1" applyFill="1" applyBorder="1" applyAlignment="1">
      <alignment horizontal="left" vertical="center" wrapText="1"/>
      <protection locked="0"/>
    </xf>
    <xf numFmtId="0" fontId="40" fillId="0" borderId="34" xfId="9" applyFont="1" applyBorder="1" applyAlignment="1">
      <alignment horizontal="left" vertical="center" wrapText="1"/>
      <protection locked="0"/>
    </xf>
    <xf numFmtId="169" fontId="40" fillId="0" borderId="34" xfId="9" applyNumberFormat="1" applyFont="1" applyBorder="1" applyAlignment="1">
      <alignment horizontal="right" vertical="center" wrapText="1"/>
      <protection locked="0"/>
    </xf>
    <xf numFmtId="169" fontId="38" fillId="8" borderId="64" xfId="9" applyNumberFormat="1" applyFont="1" applyFill="1" applyBorder="1" applyAlignment="1">
      <alignment horizontal="right" vertical="center" wrapText="1"/>
      <protection locked="0"/>
    </xf>
    <xf numFmtId="169" fontId="38" fillId="0" borderId="64" xfId="9" applyNumberFormat="1" applyFont="1" applyBorder="1" applyAlignment="1">
      <alignment horizontal="right" vertical="center" wrapText="1"/>
      <protection locked="0"/>
    </xf>
    <xf numFmtId="4" fontId="37" fillId="0" borderId="74" xfId="9" applyNumberFormat="1" applyFont="1" applyBorder="1" applyAlignment="1">
      <alignment horizontal="right" vertical="center" wrapText="1"/>
      <protection locked="0"/>
    </xf>
    <xf numFmtId="0" fontId="38" fillId="0" borderId="75" xfId="9" applyFont="1" applyFill="1" applyBorder="1" applyAlignment="1">
      <alignment horizontal="left" vertical="center" wrapText="1"/>
      <protection locked="0"/>
    </xf>
    <xf numFmtId="0" fontId="38" fillId="0" borderId="34" xfId="9" applyFont="1" applyBorder="1" applyAlignment="1">
      <alignment horizontal="left" vertical="center" wrapText="1"/>
      <protection locked="0"/>
    </xf>
    <xf numFmtId="169" fontId="38" fillId="0" borderId="34" xfId="9" applyNumberFormat="1" applyFont="1" applyBorder="1" applyAlignment="1">
      <alignment horizontal="right" vertical="center" wrapText="1"/>
      <protection locked="0"/>
    </xf>
    <xf numFmtId="4" fontId="38" fillId="0" borderId="74" xfId="9" applyNumberFormat="1" applyFont="1" applyBorder="1" applyAlignment="1">
      <alignment horizontal="right" vertical="center" wrapText="1"/>
      <protection locked="0"/>
    </xf>
    <xf numFmtId="0" fontId="40" fillId="0" borderId="76" xfId="9" applyFont="1" applyFill="1" applyBorder="1" applyAlignment="1">
      <alignment horizontal="left" vertical="center" wrapText="1"/>
      <protection locked="0"/>
    </xf>
    <xf numFmtId="0" fontId="38" fillId="0" borderId="77" xfId="9" applyFont="1" applyBorder="1" applyAlignment="1">
      <alignment horizontal="left" vertical="center" wrapText="1"/>
      <protection locked="0"/>
    </xf>
    <xf numFmtId="169" fontId="38" fillId="0" borderId="77" xfId="9" applyNumberFormat="1" applyFont="1" applyBorder="1" applyAlignment="1">
      <alignment horizontal="right" vertical="center" wrapText="1"/>
      <protection locked="0"/>
    </xf>
    <xf numFmtId="169" fontId="38" fillId="8" borderId="4" xfId="9" applyNumberFormat="1" applyFont="1" applyFill="1" applyBorder="1" applyAlignment="1">
      <alignment horizontal="right" vertical="center" wrapText="1"/>
      <protection locked="0"/>
    </xf>
    <xf numFmtId="169" fontId="38" fillId="0" borderId="4" xfId="9" applyNumberFormat="1" applyFont="1" applyBorder="1" applyAlignment="1">
      <alignment horizontal="right" vertical="center" wrapText="1"/>
      <protection locked="0"/>
    </xf>
    <xf numFmtId="4" fontId="37" fillId="0" borderId="78" xfId="9" applyNumberFormat="1" applyFont="1" applyBorder="1" applyAlignment="1">
      <alignment horizontal="right" vertical="center" wrapText="1"/>
      <protection locked="0"/>
    </xf>
    <xf numFmtId="0" fontId="40" fillId="0" borderId="18" xfId="9" applyFont="1" applyFill="1" applyBorder="1" applyAlignment="1">
      <alignment horizontal="left" vertical="center" wrapText="1"/>
      <protection locked="0"/>
    </xf>
    <xf numFmtId="0" fontId="38" fillId="0" borderId="8" xfId="9" applyFont="1" applyBorder="1" applyAlignment="1">
      <alignment horizontal="left" vertical="center" wrapText="1"/>
      <protection locked="0"/>
    </xf>
    <xf numFmtId="169" fontId="38" fillId="0" borderId="8" xfId="9" applyNumberFormat="1" applyFont="1" applyBorder="1" applyAlignment="1">
      <alignment horizontal="right" vertical="center" wrapText="1"/>
      <protection locked="0"/>
    </xf>
    <xf numFmtId="169" fontId="38" fillId="8" borderId="8" xfId="9" applyNumberFormat="1" applyFont="1" applyFill="1" applyBorder="1" applyAlignment="1">
      <alignment horizontal="right" vertical="center" wrapText="1"/>
      <protection locked="0"/>
    </xf>
    <xf numFmtId="4" fontId="37" fillId="0" borderId="18" xfId="9" applyNumberFormat="1" applyFont="1" applyBorder="1" applyAlignment="1">
      <alignment horizontal="right" vertical="center" wrapText="1"/>
      <protection locked="0"/>
    </xf>
    <xf numFmtId="4" fontId="37" fillId="0" borderId="64" xfId="9" applyNumberFormat="1" applyFont="1" applyBorder="1" applyAlignment="1">
      <alignment horizontal="right" vertical="center" wrapText="1"/>
      <protection locked="0"/>
    </xf>
    <xf numFmtId="4" fontId="38" fillId="9" borderId="64" xfId="9" applyNumberFormat="1" applyFont="1" applyFill="1" applyBorder="1" applyAlignment="1">
      <alignment horizontal="right" vertical="center" wrapText="1"/>
      <protection locked="0"/>
    </xf>
    <xf numFmtId="49" fontId="38" fillId="9" borderId="64" xfId="9" applyNumberFormat="1" applyFont="1" applyFill="1" applyBorder="1" applyAlignment="1">
      <alignment horizontal="left" vertical="center" wrapText="1"/>
      <protection locked="0"/>
    </xf>
    <xf numFmtId="2" fontId="38" fillId="9" borderId="64" xfId="9" applyNumberFormat="1" applyFont="1" applyFill="1" applyBorder="1" applyAlignment="1">
      <alignment horizontal="left" vertical="center" wrapText="1"/>
      <protection locked="0"/>
    </xf>
    <xf numFmtId="2" fontId="38" fillId="9" borderId="64" xfId="9" applyNumberFormat="1" applyFont="1" applyFill="1" applyBorder="1" applyAlignment="1">
      <alignment horizontal="right" vertical="center" wrapText="1"/>
      <protection locked="0"/>
    </xf>
    <xf numFmtId="49" fontId="38" fillId="9" borderId="64" xfId="10" applyNumberFormat="1" applyFont="1" applyFill="1" applyBorder="1" applyAlignment="1">
      <alignment horizontal="left" vertical="center" wrapText="1"/>
      <protection locked="0"/>
    </xf>
    <xf numFmtId="49" fontId="38" fillId="9" borderId="64" xfId="10" applyNumberFormat="1" applyFont="1" applyFill="1" applyBorder="1" applyAlignment="1">
      <alignment horizontal="left" vertical="top" wrapText="1"/>
      <protection locked="0"/>
    </xf>
    <xf numFmtId="0" fontId="36" fillId="9" borderId="64" xfId="9" applyFont="1" applyFill="1" applyBorder="1" applyAlignment="1">
      <alignment horizontal="left" vertical="center" wrapText="1"/>
      <protection locked="0"/>
    </xf>
    <xf numFmtId="169" fontId="36" fillId="9" borderId="64" xfId="9" applyNumberFormat="1" applyFont="1" applyFill="1" applyBorder="1" applyAlignment="1">
      <alignment horizontal="right" vertical="center"/>
      <protection locked="0"/>
    </xf>
    <xf numFmtId="2" fontId="37" fillId="9" borderId="64" xfId="9" applyNumberFormat="1" applyFont="1" applyFill="1" applyBorder="1" applyAlignment="1">
      <alignment horizontal="left" vertical="center" wrapText="1"/>
      <protection locked="0"/>
    </xf>
    <xf numFmtId="169" fontId="36" fillId="9" borderId="64" xfId="10" applyNumberFormat="1" applyFont="1" applyFill="1" applyBorder="1" applyAlignment="1">
      <alignment horizontal="right" vertical="center"/>
      <protection locked="0"/>
    </xf>
    <xf numFmtId="0" fontId="40" fillId="9" borderId="64" xfId="9" applyFont="1" applyFill="1" applyBorder="1" applyAlignment="1">
      <alignment horizontal="left" vertical="center" wrapText="1"/>
      <protection locked="0"/>
    </xf>
    <xf numFmtId="169" fontId="40" fillId="9" borderId="64" xfId="9" applyNumberFormat="1" applyFont="1" applyFill="1" applyBorder="1" applyAlignment="1">
      <alignment horizontal="right" vertical="center" wrapText="1"/>
      <protection locked="0"/>
    </xf>
    <xf numFmtId="169" fontId="38" fillId="9" borderId="64" xfId="9" applyNumberFormat="1" applyFont="1" applyFill="1" applyBorder="1" applyAlignment="1">
      <alignment horizontal="right" vertical="center" wrapText="1"/>
      <protection locked="0"/>
    </xf>
    <xf numFmtId="4" fontId="37" fillId="9" borderId="64" xfId="9" applyNumberFormat="1" applyFont="1" applyFill="1" applyBorder="1" applyAlignment="1">
      <alignment horizontal="right" vertical="center" wrapText="1"/>
      <protection locked="0"/>
    </xf>
    <xf numFmtId="0" fontId="38" fillId="9" borderId="64" xfId="9" applyFont="1" applyFill="1" applyBorder="1" applyAlignment="1">
      <alignment horizontal="left" vertical="center" wrapText="1"/>
      <protection locked="0"/>
    </xf>
    <xf numFmtId="0" fontId="36" fillId="0" borderId="64" xfId="9" applyFont="1" applyFill="1" applyBorder="1" applyAlignment="1">
      <alignment horizontal="left" vertical="center" wrapText="1"/>
      <protection locked="0"/>
    </xf>
    <xf numFmtId="169" fontId="36" fillId="0" borderId="64" xfId="9" applyNumberFormat="1" applyFont="1" applyFill="1" applyBorder="1" applyAlignment="1">
      <alignment horizontal="right" vertical="center"/>
      <protection locked="0"/>
    </xf>
    <xf numFmtId="0" fontId="36" fillId="0" borderId="64" xfId="9" applyFont="1" applyBorder="1" applyAlignment="1">
      <alignment horizontal="left" vertical="center" wrapText="1"/>
      <protection locked="0"/>
    </xf>
    <xf numFmtId="49" fontId="24" fillId="6" borderId="61" xfId="0" applyNumberFormat="1" applyFont="1" applyFill="1" applyBorder="1" applyAlignment="1" applyProtection="1">
      <alignment horizontal="center" vertical="center" wrapText="1"/>
    </xf>
    <xf numFmtId="1" fontId="24" fillId="6" borderId="63" xfId="0" applyNumberFormat="1" applyFont="1" applyFill="1" applyBorder="1" applyAlignment="1" applyProtection="1">
      <alignment horizontal="center" vertical="center" wrapText="1"/>
    </xf>
    <xf numFmtId="49" fontId="11" fillId="0" borderId="6" xfId="16" quotePrefix="1" applyNumberFormat="1" applyFont="1" applyBorder="1" applyAlignment="1">
      <alignment horizontal="left" vertical="top"/>
    </xf>
    <xf numFmtId="0" fontId="12" fillId="0" borderId="0" xfId="15" applyFont="1" applyAlignment="1">
      <alignment vertical="top" wrapText="1"/>
    </xf>
    <xf numFmtId="49" fontId="13" fillId="9" borderId="0" xfId="0" applyNumberFormat="1" applyFont="1" applyFill="1" applyBorder="1" applyAlignment="1">
      <alignment wrapText="1"/>
    </xf>
    <xf numFmtId="49" fontId="9" fillId="9" borderId="0" xfId="0" applyNumberFormat="1" applyFont="1" applyFill="1" applyBorder="1" applyAlignment="1">
      <alignment wrapText="1"/>
    </xf>
    <xf numFmtId="0" fontId="11" fillId="9" borderId="0" xfId="17" applyFont="1" applyFill="1" applyAlignment="1">
      <alignment vertical="top" wrapText="1"/>
    </xf>
    <xf numFmtId="0" fontId="24" fillId="0" borderId="20" xfId="0" applyNumberFormat="1" applyFont="1" applyFill="1" applyBorder="1" applyAlignment="1" applyProtection="1">
      <alignment horizontal="left" vertical="center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4" fillId="0" borderId="24" xfId="0" applyNumberFormat="1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24" fillId="0" borderId="25" xfId="0" applyNumberFormat="1" applyFont="1" applyFill="1" applyBorder="1" applyAlignment="1" applyProtection="1">
      <alignment horizontal="left" vertical="center" wrapText="1"/>
    </xf>
    <xf numFmtId="0" fontId="24" fillId="0" borderId="26" xfId="0" applyNumberFormat="1" applyFont="1" applyFill="1" applyBorder="1" applyAlignment="1" applyProtection="1">
      <alignment horizontal="left" vertical="center" wrapText="1"/>
    </xf>
    <xf numFmtId="0" fontId="24" fillId="0" borderId="27" xfId="0" applyNumberFormat="1" applyFont="1" applyFill="1" applyBorder="1" applyAlignment="1" applyProtection="1">
      <alignment horizontal="left" vertical="center" wrapText="1"/>
    </xf>
    <xf numFmtId="0" fontId="24" fillId="0" borderId="28" xfId="0" applyNumberFormat="1" applyFont="1" applyFill="1" applyBorder="1" applyAlignment="1" applyProtection="1">
      <alignment horizontal="left" vertical="center" wrapText="1"/>
    </xf>
    <xf numFmtId="164" fontId="24" fillId="0" borderId="26" xfId="0" applyNumberFormat="1" applyFont="1" applyFill="1" applyBorder="1" applyAlignment="1" applyProtection="1">
      <alignment horizontal="left" vertical="center" wrapText="1"/>
    </xf>
    <xf numFmtId="164" fontId="24" fillId="0" borderId="27" xfId="0" applyNumberFormat="1" applyFont="1" applyFill="1" applyBorder="1" applyAlignment="1" applyProtection="1">
      <alignment horizontal="left" vertical="center" wrapText="1"/>
    </xf>
    <xf numFmtId="164" fontId="24" fillId="0" borderId="28" xfId="0" applyNumberFormat="1" applyFont="1" applyFill="1" applyBorder="1" applyAlignment="1" applyProtection="1">
      <alignment horizontal="left" vertical="center" wrapText="1"/>
    </xf>
  </cellXfs>
  <cellStyles count="18">
    <cellStyle name="Normal_rozpocet" xfId="9"/>
    <cellStyle name="Normal_rozpocet 2" xfId="10"/>
    <cellStyle name="Normálna" xfId="0" builtinId="0"/>
    <cellStyle name="Normálna 2" xfId="1"/>
    <cellStyle name="Normálna 2 2" xfId="7"/>
    <cellStyle name="Normálna 2 3" xfId="8"/>
    <cellStyle name="Normálna 2 4" xfId="11"/>
    <cellStyle name="Normálna 2 5" xfId="13"/>
    <cellStyle name="Normálna 3" xfId="2"/>
    <cellStyle name="Normálna 4" xfId="3"/>
    <cellStyle name="normálne 2" xfId="4"/>
    <cellStyle name="normálne 3" xfId="5"/>
    <cellStyle name="normální 2" xfId="6"/>
    <cellStyle name="Normální 3" xfId="12"/>
    <cellStyle name="Normální 4" xfId="14"/>
    <cellStyle name="Normální 5" xfId="15"/>
    <cellStyle name="Normální 6" xfId="16"/>
    <cellStyle name="Normální 7" xfId="1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/AppData/Local/Temp/30_SO%2002%20E1.2%20Ve&#382;a%20administrat&#237;va%20Shell%20&amp;%20Core%20-%20statika_V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  <sheetName val="#Figury"/>
      <sheetName val="List1"/>
    </sheetNames>
    <sheetDataSet>
      <sheetData sheetId="0">
        <row r="5">
          <cell r="P5" t="str">
            <v xml:space="preserve"> </v>
          </cell>
        </row>
        <row r="9">
          <cell r="E9" t="str">
            <v xml:space="preserve"> </v>
          </cell>
        </row>
        <row r="28">
          <cell r="E28" t="str">
            <v xml:space="preserve"> </v>
          </cell>
        </row>
      </sheetData>
      <sheetData sheetId="1"/>
      <sheetData sheetId="2">
        <row r="11">
          <cell r="I11" t="str">
            <v>Cena celkom</v>
          </cell>
        </row>
        <row r="14">
          <cell r="K14">
            <v>18051.054973589999</v>
          </cell>
          <cell r="M14">
            <v>0</v>
          </cell>
        </row>
        <row r="15">
          <cell r="K15">
            <v>4028.7067197800006</v>
          </cell>
          <cell r="M15">
            <v>0</v>
          </cell>
        </row>
        <row r="2341">
          <cell r="K2341">
            <v>18139.89382759</v>
          </cell>
          <cell r="M2341">
            <v>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topLeftCell="A2" workbookViewId="0">
      <selection activeCell="R40" sqref="R40"/>
    </sheetView>
  </sheetViews>
  <sheetFormatPr defaultRowHeight="14.25" x14ac:dyDescent="0.2"/>
  <cols>
    <col min="1" max="1" width="2.125" style="51" customWidth="1"/>
    <col min="2" max="2" width="1.625" style="51" customWidth="1"/>
    <col min="3" max="3" width="2.5" style="51" customWidth="1"/>
    <col min="4" max="4" width="5.875" style="51" customWidth="1"/>
    <col min="5" max="5" width="11.875" style="51" customWidth="1"/>
    <col min="6" max="6" width="0.5" style="51" customWidth="1"/>
    <col min="7" max="7" width="2.25" style="51" customWidth="1"/>
    <col min="8" max="8" width="2.375" style="51" customWidth="1"/>
    <col min="9" max="9" width="9.125" style="51" customWidth="1"/>
    <col min="10" max="10" width="11.75" style="51" customWidth="1"/>
    <col min="11" max="11" width="0.625" style="51" customWidth="1"/>
    <col min="12" max="12" width="2.125" style="51" customWidth="1"/>
    <col min="13" max="13" width="2.5" style="51" customWidth="1"/>
    <col min="14" max="14" width="1.75" style="51" customWidth="1"/>
    <col min="15" max="15" width="10.875" style="51" customWidth="1"/>
    <col min="16" max="16" width="2.625" style="51" customWidth="1"/>
    <col min="17" max="17" width="1.75" style="51" customWidth="1"/>
    <col min="18" max="18" width="11.875" style="51" customWidth="1"/>
    <col min="19" max="19" width="0.5" style="51" customWidth="1"/>
    <col min="20" max="256" width="9" style="51"/>
    <col min="257" max="257" width="2.125" style="51" customWidth="1"/>
    <col min="258" max="258" width="1.625" style="51" customWidth="1"/>
    <col min="259" max="259" width="2.5" style="51" customWidth="1"/>
    <col min="260" max="260" width="5.875" style="51" customWidth="1"/>
    <col min="261" max="261" width="11.875" style="51" customWidth="1"/>
    <col min="262" max="262" width="0.5" style="51" customWidth="1"/>
    <col min="263" max="263" width="2.25" style="51" customWidth="1"/>
    <col min="264" max="264" width="2.375" style="51" customWidth="1"/>
    <col min="265" max="265" width="9.125" style="51" customWidth="1"/>
    <col min="266" max="266" width="11.75" style="51" customWidth="1"/>
    <col min="267" max="267" width="0.625" style="51" customWidth="1"/>
    <col min="268" max="268" width="2.125" style="51" customWidth="1"/>
    <col min="269" max="269" width="2.5" style="51" customWidth="1"/>
    <col min="270" max="270" width="1.75" style="51" customWidth="1"/>
    <col min="271" max="271" width="10.875" style="51" customWidth="1"/>
    <col min="272" max="272" width="2.625" style="51" customWidth="1"/>
    <col min="273" max="273" width="1.75" style="51" customWidth="1"/>
    <col min="274" max="274" width="11.875" style="51" customWidth="1"/>
    <col min="275" max="275" width="0.5" style="51" customWidth="1"/>
    <col min="276" max="512" width="9" style="51"/>
    <col min="513" max="513" width="2.125" style="51" customWidth="1"/>
    <col min="514" max="514" width="1.625" style="51" customWidth="1"/>
    <col min="515" max="515" width="2.5" style="51" customWidth="1"/>
    <col min="516" max="516" width="5.875" style="51" customWidth="1"/>
    <col min="517" max="517" width="11.875" style="51" customWidth="1"/>
    <col min="518" max="518" width="0.5" style="51" customWidth="1"/>
    <col min="519" max="519" width="2.25" style="51" customWidth="1"/>
    <col min="520" max="520" width="2.375" style="51" customWidth="1"/>
    <col min="521" max="521" width="9.125" style="51" customWidth="1"/>
    <col min="522" max="522" width="11.75" style="51" customWidth="1"/>
    <col min="523" max="523" width="0.625" style="51" customWidth="1"/>
    <col min="524" max="524" width="2.125" style="51" customWidth="1"/>
    <col min="525" max="525" width="2.5" style="51" customWidth="1"/>
    <col min="526" max="526" width="1.75" style="51" customWidth="1"/>
    <col min="527" max="527" width="10.875" style="51" customWidth="1"/>
    <col min="528" max="528" width="2.625" style="51" customWidth="1"/>
    <col min="529" max="529" width="1.75" style="51" customWidth="1"/>
    <col min="530" max="530" width="11.875" style="51" customWidth="1"/>
    <col min="531" max="531" width="0.5" style="51" customWidth="1"/>
    <col min="532" max="768" width="9" style="51"/>
    <col min="769" max="769" width="2.125" style="51" customWidth="1"/>
    <col min="770" max="770" width="1.625" style="51" customWidth="1"/>
    <col min="771" max="771" width="2.5" style="51" customWidth="1"/>
    <col min="772" max="772" width="5.875" style="51" customWidth="1"/>
    <col min="773" max="773" width="11.875" style="51" customWidth="1"/>
    <col min="774" max="774" width="0.5" style="51" customWidth="1"/>
    <col min="775" max="775" width="2.25" style="51" customWidth="1"/>
    <col min="776" max="776" width="2.375" style="51" customWidth="1"/>
    <col min="777" max="777" width="9.125" style="51" customWidth="1"/>
    <col min="778" max="778" width="11.75" style="51" customWidth="1"/>
    <col min="779" max="779" width="0.625" style="51" customWidth="1"/>
    <col min="780" max="780" width="2.125" style="51" customWidth="1"/>
    <col min="781" max="781" width="2.5" style="51" customWidth="1"/>
    <col min="782" max="782" width="1.75" style="51" customWidth="1"/>
    <col min="783" max="783" width="10.875" style="51" customWidth="1"/>
    <col min="784" max="784" width="2.625" style="51" customWidth="1"/>
    <col min="785" max="785" width="1.75" style="51" customWidth="1"/>
    <col min="786" max="786" width="11.875" style="51" customWidth="1"/>
    <col min="787" max="787" width="0.5" style="51" customWidth="1"/>
    <col min="788" max="1024" width="9" style="51"/>
    <col min="1025" max="1025" width="2.125" style="51" customWidth="1"/>
    <col min="1026" max="1026" width="1.625" style="51" customWidth="1"/>
    <col min="1027" max="1027" width="2.5" style="51" customWidth="1"/>
    <col min="1028" max="1028" width="5.875" style="51" customWidth="1"/>
    <col min="1029" max="1029" width="11.875" style="51" customWidth="1"/>
    <col min="1030" max="1030" width="0.5" style="51" customWidth="1"/>
    <col min="1031" max="1031" width="2.25" style="51" customWidth="1"/>
    <col min="1032" max="1032" width="2.375" style="51" customWidth="1"/>
    <col min="1033" max="1033" width="9.125" style="51" customWidth="1"/>
    <col min="1034" max="1034" width="11.75" style="51" customWidth="1"/>
    <col min="1035" max="1035" width="0.625" style="51" customWidth="1"/>
    <col min="1036" max="1036" width="2.125" style="51" customWidth="1"/>
    <col min="1037" max="1037" width="2.5" style="51" customWidth="1"/>
    <col min="1038" max="1038" width="1.75" style="51" customWidth="1"/>
    <col min="1039" max="1039" width="10.875" style="51" customWidth="1"/>
    <col min="1040" max="1040" width="2.625" style="51" customWidth="1"/>
    <col min="1041" max="1041" width="1.75" style="51" customWidth="1"/>
    <col min="1042" max="1042" width="11.875" style="51" customWidth="1"/>
    <col min="1043" max="1043" width="0.5" style="51" customWidth="1"/>
    <col min="1044" max="1280" width="9" style="51"/>
    <col min="1281" max="1281" width="2.125" style="51" customWidth="1"/>
    <col min="1282" max="1282" width="1.625" style="51" customWidth="1"/>
    <col min="1283" max="1283" width="2.5" style="51" customWidth="1"/>
    <col min="1284" max="1284" width="5.875" style="51" customWidth="1"/>
    <col min="1285" max="1285" width="11.875" style="51" customWidth="1"/>
    <col min="1286" max="1286" width="0.5" style="51" customWidth="1"/>
    <col min="1287" max="1287" width="2.25" style="51" customWidth="1"/>
    <col min="1288" max="1288" width="2.375" style="51" customWidth="1"/>
    <col min="1289" max="1289" width="9.125" style="51" customWidth="1"/>
    <col min="1290" max="1290" width="11.75" style="51" customWidth="1"/>
    <col min="1291" max="1291" width="0.625" style="51" customWidth="1"/>
    <col min="1292" max="1292" width="2.125" style="51" customWidth="1"/>
    <col min="1293" max="1293" width="2.5" style="51" customWidth="1"/>
    <col min="1294" max="1294" width="1.75" style="51" customWidth="1"/>
    <col min="1295" max="1295" width="10.875" style="51" customWidth="1"/>
    <col min="1296" max="1296" width="2.625" style="51" customWidth="1"/>
    <col min="1297" max="1297" width="1.75" style="51" customWidth="1"/>
    <col min="1298" max="1298" width="11.875" style="51" customWidth="1"/>
    <col min="1299" max="1299" width="0.5" style="51" customWidth="1"/>
    <col min="1300" max="1536" width="9" style="51"/>
    <col min="1537" max="1537" width="2.125" style="51" customWidth="1"/>
    <col min="1538" max="1538" width="1.625" style="51" customWidth="1"/>
    <col min="1539" max="1539" width="2.5" style="51" customWidth="1"/>
    <col min="1540" max="1540" width="5.875" style="51" customWidth="1"/>
    <col min="1541" max="1541" width="11.875" style="51" customWidth="1"/>
    <col min="1542" max="1542" width="0.5" style="51" customWidth="1"/>
    <col min="1543" max="1543" width="2.25" style="51" customWidth="1"/>
    <col min="1544" max="1544" width="2.375" style="51" customWidth="1"/>
    <col min="1545" max="1545" width="9.125" style="51" customWidth="1"/>
    <col min="1546" max="1546" width="11.75" style="51" customWidth="1"/>
    <col min="1547" max="1547" width="0.625" style="51" customWidth="1"/>
    <col min="1548" max="1548" width="2.125" style="51" customWidth="1"/>
    <col min="1549" max="1549" width="2.5" style="51" customWidth="1"/>
    <col min="1550" max="1550" width="1.75" style="51" customWidth="1"/>
    <col min="1551" max="1551" width="10.875" style="51" customWidth="1"/>
    <col min="1552" max="1552" width="2.625" style="51" customWidth="1"/>
    <col min="1553" max="1553" width="1.75" style="51" customWidth="1"/>
    <col min="1554" max="1554" width="11.875" style="51" customWidth="1"/>
    <col min="1555" max="1555" width="0.5" style="51" customWidth="1"/>
    <col min="1556" max="1792" width="9" style="51"/>
    <col min="1793" max="1793" width="2.125" style="51" customWidth="1"/>
    <col min="1794" max="1794" width="1.625" style="51" customWidth="1"/>
    <col min="1795" max="1795" width="2.5" style="51" customWidth="1"/>
    <col min="1796" max="1796" width="5.875" style="51" customWidth="1"/>
    <col min="1797" max="1797" width="11.875" style="51" customWidth="1"/>
    <col min="1798" max="1798" width="0.5" style="51" customWidth="1"/>
    <col min="1799" max="1799" width="2.25" style="51" customWidth="1"/>
    <col min="1800" max="1800" width="2.375" style="51" customWidth="1"/>
    <col min="1801" max="1801" width="9.125" style="51" customWidth="1"/>
    <col min="1802" max="1802" width="11.75" style="51" customWidth="1"/>
    <col min="1803" max="1803" width="0.625" style="51" customWidth="1"/>
    <col min="1804" max="1804" width="2.125" style="51" customWidth="1"/>
    <col min="1805" max="1805" width="2.5" style="51" customWidth="1"/>
    <col min="1806" max="1806" width="1.75" style="51" customWidth="1"/>
    <col min="1807" max="1807" width="10.875" style="51" customWidth="1"/>
    <col min="1808" max="1808" width="2.625" style="51" customWidth="1"/>
    <col min="1809" max="1809" width="1.75" style="51" customWidth="1"/>
    <col min="1810" max="1810" width="11.875" style="51" customWidth="1"/>
    <col min="1811" max="1811" width="0.5" style="51" customWidth="1"/>
    <col min="1812" max="2048" width="9" style="51"/>
    <col min="2049" max="2049" width="2.125" style="51" customWidth="1"/>
    <col min="2050" max="2050" width="1.625" style="51" customWidth="1"/>
    <col min="2051" max="2051" width="2.5" style="51" customWidth="1"/>
    <col min="2052" max="2052" width="5.875" style="51" customWidth="1"/>
    <col min="2053" max="2053" width="11.875" style="51" customWidth="1"/>
    <col min="2054" max="2054" width="0.5" style="51" customWidth="1"/>
    <col min="2055" max="2055" width="2.25" style="51" customWidth="1"/>
    <col min="2056" max="2056" width="2.375" style="51" customWidth="1"/>
    <col min="2057" max="2057" width="9.125" style="51" customWidth="1"/>
    <col min="2058" max="2058" width="11.75" style="51" customWidth="1"/>
    <col min="2059" max="2059" width="0.625" style="51" customWidth="1"/>
    <col min="2060" max="2060" width="2.125" style="51" customWidth="1"/>
    <col min="2061" max="2061" width="2.5" style="51" customWidth="1"/>
    <col min="2062" max="2062" width="1.75" style="51" customWidth="1"/>
    <col min="2063" max="2063" width="10.875" style="51" customWidth="1"/>
    <col min="2064" max="2064" width="2.625" style="51" customWidth="1"/>
    <col min="2065" max="2065" width="1.75" style="51" customWidth="1"/>
    <col min="2066" max="2066" width="11.875" style="51" customWidth="1"/>
    <col min="2067" max="2067" width="0.5" style="51" customWidth="1"/>
    <col min="2068" max="2304" width="9" style="51"/>
    <col min="2305" max="2305" width="2.125" style="51" customWidth="1"/>
    <col min="2306" max="2306" width="1.625" style="51" customWidth="1"/>
    <col min="2307" max="2307" width="2.5" style="51" customWidth="1"/>
    <col min="2308" max="2308" width="5.875" style="51" customWidth="1"/>
    <col min="2309" max="2309" width="11.875" style="51" customWidth="1"/>
    <col min="2310" max="2310" width="0.5" style="51" customWidth="1"/>
    <col min="2311" max="2311" width="2.25" style="51" customWidth="1"/>
    <col min="2312" max="2312" width="2.375" style="51" customWidth="1"/>
    <col min="2313" max="2313" width="9.125" style="51" customWidth="1"/>
    <col min="2314" max="2314" width="11.75" style="51" customWidth="1"/>
    <col min="2315" max="2315" width="0.625" style="51" customWidth="1"/>
    <col min="2316" max="2316" width="2.125" style="51" customWidth="1"/>
    <col min="2317" max="2317" width="2.5" style="51" customWidth="1"/>
    <col min="2318" max="2318" width="1.75" style="51" customWidth="1"/>
    <col min="2319" max="2319" width="10.875" style="51" customWidth="1"/>
    <col min="2320" max="2320" width="2.625" style="51" customWidth="1"/>
    <col min="2321" max="2321" width="1.75" style="51" customWidth="1"/>
    <col min="2322" max="2322" width="11.875" style="51" customWidth="1"/>
    <col min="2323" max="2323" width="0.5" style="51" customWidth="1"/>
    <col min="2324" max="2560" width="9" style="51"/>
    <col min="2561" max="2561" width="2.125" style="51" customWidth="1"/>
    <col min="2562" max="2562" width="1.625" style="51" customWidth="1"/>
    <col min="2563" max="2563" width="2.5" style="51" customWidth="1"/>
    <col min="2564" max="2564" width="5.875" style="51" customWidth="1"/>
    <col min="2565" max="2565" width="11.875" style="51" customWidth="1"/>
    <col min="2566" max="2566" width="0.5" style="51" customWidth="1"/>
    <col min="2567" max="2567" width="2.25" style="51" customWidth="1"/>
    <col min="2568" max="2568" width="2.375" style="51" customWidth="1"/>
    <col min="2569" max="2569" width="9.125" style="51" customWidth="1"/>
    <col min="2570" max="2570" width="11.75" style="51" customWidth="1"/>
    <col min="2571" max="2571" width="0.625" style="51" customWidth="1"/>
    <col min="2572" max="2572" width="2.125" style="51" customWidth="1"/>
    <col min="2573" max="2573" width="2.5" style="51" customWidth="1"/>
    <col min="2574" max="2574" width="1.75" style="51" customWidth="1"/>
    <col min="2575" max="2575" width="10.875" style="51" customWidth="1"/>
    <col min="2576" max="2576" width="2.625" style="51" customWidth="1"/>
    <col min="2577" max="2577" width="1.75" style="51" customWidth="1"/>
    <col min="2578" max="2578" width="11.875" style="51" customWidth="1"/>
    <col min="2579" max="2579" width="0.5" style="51" customWidth="1"/>
    <col min="2580" max="2816" width="9" style="51"/>
    <col min="2817" max="2817" width="2.125" style="51" customWidth="1"/>
    <col min="2818" max="2818" width="1.625" style="51" customWidth="1"/>
    <col min="2819" max="2819" width="2.5" style="51" customWidth="1"/>
    <col min="2820" max="2820" width="5.875" style="51" customWidth="1"/>
    <col min="2821" max="2821" width="11.875" style="51" customWidth="1"/>
    <col min="2822" max="2822" width="0.5" style="51" customWidth="1"/>
    <col min="2823" max="2823" width="2.25" style="51" customWidth="1"/>
    <col min="2824" max="2824" width="2.375" style="51" customWidth="1"/>
    <col min="2825" max="2825" width="9.125" style="51" customWidth="1"/>
    <col min="2826" max="2826" width="11.75" style="51" customWidth="1"/>
    <col min="2827" max="2827" width="0.625" style="51" customWidth="1"/>
    <col min="2828" max="2828" width="2.125" style="51" customWidth="1"/>
    <col min="2829" max="2829" width="2.5" style="51" customWidth="1"/>
    <col min="2830" max="2830" width="1.75" style="51" customWidth="1"/>
    <col min="2831" max="2831" width="10.875" style="51" customWidth="1"/>
    <col min="2832" max="2832" width="2.625" style="51" customWidth="1"/>
    <col min="2833" max="2833" width="1.75" style="51" customWidth="1"/>
    <col min="2834" max="2834" width="11.875" style="51" customWidth="1"/>
    <col min="2835" max="2835" width="0.5" style="51" customWidth="1"/>
    <col min="2836" max="3072" width="9" style="51"/>
    <col min="3073" max="3073" width="2.125" style="51" customWidth="1"/>
    <col min="3074" max="3074" width="1.625" style="51" customWidth="1"/>
    <col min="3075" max="3075" width="2.5" style="51" customWidth="1"/>
    <col min="3076" max="3076" width="5.875" style="51" customWidth="1"/>
    <col min="3077" max="3077" width="11.875" style="51" customWidth="1"/>
    <col min="3078" max="3078" width="0.5" style="51" customWidth="1"/>
    <col min="3079" max="3079" width="2.25" style="51" customWidth="1"/>
    <col min="3080" max="3080" width="2.375" style="51" customWidth="1"/>
    <col min="3081" max="3081" width="9.125" style="51" customWidth="1"/>
    <col min="3082" max="3082" width="11.75" style="51" customWidth="1"/>
    <col min="3083" max="3083" width="0.625" style="51" customWidth="1"/>
    <col min="3084" max="3084" width="2.125" style="51" customWidth="1"/>
    <col min="3085" max="3085" width="2.5" style="51" customWidth="1"/>
    <col min="3086" max="3086" width="1.75" style="51" customWidth="1"/>
    <col min="3087" max="3087" width="10.875" style="51" customWidth="1"/>
    <col min="3088" max="3088" width="2.625" style="51" customWidth="1"/>
    <col min="3089" max="3089" width="1.75" style="51" customWidth="1"/>
    <col min="3090" max="3090" width="11.875" style="51" customWidth="1"/>
    <col min="3091" max="3091" width="0.5" style="51" customWidth="1"/>
    <col min="3092" max="3328" width="9" style="51"/>
    <col min="3329" max="3329" width="2.125" style="51" customWidth="1"/>
    <col min="3330" max="3330" width="1.625" style="51" customWidth="1"/>
    <col min="3331" max="3331" width="2.5" style="51" customWidth="1"/>
    <col min="3332" max="3332" width="5.875" style="51" customWidth="1"/>
    <col min="3333" max="3333" width="11.875" style="51" customWidth="1"/>
    <col min="3334" max="3334" width="0.5" style="51" customWidth="1"/>
    <col min="3335" max="3335" width="2.25" style="51" customWidth="1"/>
    <col min="3336" max="3336" width="2.375" style="51" customWidth="1"/>
    <col min="3337" max="3337" width="9.125" style="51" customWidth="1"/>
    <col min="3338" max="3338" width="11.75" style="51" customWidth="1"/>
    <col min="3339" max="3339" width="0.625" style="51" customWidth="1"/>
    <col min="3340" max="3340" width="2.125" style="51" customWidth="1"/>
    <col min="3341" max="3341" width="2.5" style="51" customWidth="1"/>
    <col min="3342" max="3342" width="1.75" style="51" customWidth="1"/>
    <col min="3343" max="3343" width="10.875" style="51" customWidth="1"/>
    <col min="3344" max="3344" width="2.625" style="51" customWidth="1"/>
    <col min="3345" max="3345" width="1.75" style="51" customWidth="1"/>
    <col min="3346" max="3346" width="11.875" style="51" customWidth="1"/>
    <col min="3347" max="3347" width="0.5" style="51" customWidth="1"/>
    <col min="3348" max="3584" width="9" style="51"/>
    <col min="3585" max="3585" width="2.125" style="51" customWidth="1"/>
    <col min="3586" max="3586" width="1.625" style="51" customWidth="1"/>
    <col min="3587" max="3587" width="2.5" style="51" customWidth="1"/>
    <col min="3588" max="3588" width="5.875" style="51" customWidth="1"/>
    <col min="3589" max="3589" width="11.875" style="51" customWidth="1"/>
    <col min="3590" max="3590" width="0.5" style="51" customWidth="1"/>
    <col min="3591" max="3591" width="2.25" style="51" customWidth="1"/>
    <col min="3592" max="3592" width="2.375" style="51" customWidth="1"/>
    <col min="3593" max="3593" width="9.125" style="51" customWidth="1"/>
    <col min="3594" max="3594" width="11.75" style="51" customWidth="1"/>
    <col min="3595" max="3595" width="0.625" style="51" customWidth="1"/>
    <col min="3596" max="3596" width="2.125" style="51" customWidth="1"/>
    <col min="3597" max="3597" width="2.5" style="51" customWidth="1"/>
    <col min="3598" max="3598" width="1.75" style="51" customWidth="1"/>
    <col min="3599" max="3599" width="10.875" style="51" customWidth="1"/>
    <col min="3600" max="3600" width="2.625" style="51" customWidth="1"/>
    <col min="3601" max="3601" width="1.75" style="51" customWidth="1"/>
    <col min="3602" max="3602" width="11.875" style="51" customWidth="1"/>
    <col min="3603" max="3603" width="0.5" style="51" customWidth="1"/>
    <col min="3604" max="3840" width="9" style="51"/>
    <col min="3841" max="3841" width="2.125" style="51" customWidth="1"/>
    <col min="3842" max="3842" width="1.625" style="51" customWidth="1"/>
    <col min="3843" max="3843" width="2.5" style="51" customWidth="1"/>
    <col min="3844" max="3844" width="5.875" style="51" customWidth="1"/>
    <col min="3845" max="3845" width="11.875" style="51" customWidth="1"/>
    <col min="3846" max="3846" width="0.5" style="51" customWidth="1"/>
    <col min="3847" max="3847" width="2.25" style="51" customWidth="1"/>
    <col min="3848" max="3848" width="2.375" style="51" customWidth="1"/>
    <col min="3849" max="3849" width="9.125" style="51" customWidth="1"/>
    <col min="3850" max="3850" width="11.75" style="51" customWidth="1"/>
    <col min="3851" max="3851" width="0.625" style="51" customWidth="1"/>
    <col min="3852" max="3852" width="2.125" style="51" customWidth="1"/>
    <col min="3853" max="3853" width="2.5" style="51" customWidth="1"/>
    <col min="3854" max="3854" width="1.75" style="51" customWidth="1"/>
    <col min="3855" max="3855" width="10.875" style="51" customWidth="1"/>
    <col min="3856" max="3856" width="2.625" style="51" customWidth="1"/>
    <col min="3857" max="3857" width="1.75" style="51" customWidth="1"/>
    <col min="3858" max="3858" width="11.875" style="51" customWidth="1"/>
    <col min="3859" max="3859" width="0.5" style="51" customWidth="1"/>
    <col min="3860" max="4096" width="9" style="51"/>
    <col min="4097" max="4097" width="2.125" style="51" customWidth="1"/>
    <col min="4098" max="4098" width="1.625" style="51" customWidth="1"/>
    <col min="4099" max="4099" width="2.5" style="51" customWidth="1"/>
    <col min="4100" max="4100" width="5.875" style="51" customWidth="1"/>
    <col min="4101" max="4101" width="11.875" style="51" customWidth="1"/>
    <col min="4102" max="4102" width="0.5" style="51" customWidth="1"/>
    <col min="4103" max="4103" width="2.25" style="51" customWidth="1"/>
    <col min="4104" max="4104" width="2.375" style="51" customWidth="1"/>
    <col min="4105" max="4105" width="9.125" style="51" customWidth="1"/>
    <col min="4106" max="4106" width="11.75" style="51" customWidth="1"/>
    <col min="4107" max="4107" width="0.625" style="51" customWidth="1"/>
    <col min="4108" max="4108" width="2.125" style="51" customWidth="1"/>
    <col min="4109" max="4109" width="2.5" style="51" customWidth="1"/>
    <col min="4110" max="4110" width="1.75" style="51" customWidth="1"/>
    <col min="4111" max="4111" width="10.875" style="51" customWidth="1"/>
    <col min="4112" max="4112" width="2.625" style="51" customWidth="1"/>
    <col min="4113" max="4113" width="1.75" style="51" customWidth="1"/>
    <col min="4114" max="4114" width="11.875" style="51" customWidth="1"/>
    <col min="4115" max="4115" width="0.5" style="51" customWidth="1"/>
    <col min="4116" max="4352" width="9" style="51"/>
    <col min="4353" max="4353" width="2.125" style="51" customWidth="1"/>
    <col min="4354" max="4354" width="1.625" style="51" customWidth="1"/>
    <col min="4355" max="4355" width="2.5" style="51" customWidth="1"/>
    <col min="4356" max="4356" width="5.875" style="51" customWidth="1"/>
    <col min="4357" max="4357" width="11.875" style="51" customWidth="1"/>
    <col min="4358" max="4358" width="0.5" style="51" customWidth="1"/>
    <col min="4359" max="4359" width="2.25" style="51" customWidth="1"/>
    <col min="4360" max="4360" width="2.375" style="51" customWidth="1"/>
    <col min="4361" max="4361" width="9.125" style="51" customWidth="1"/>
    <col min="4362" max="4362" width="11.75" style="51" customWidth="1"/>
    <col min="4363" max="4363" width="0.625" style="51" customWidth="1"/>
    <col min="4364" max="4364" width="2.125" style="51" customWidth="1"/>
    <col min="4365" max="4365" width="2.5" style="51" customWidth="1"/>
    <col min="4366" max="4366" width="1.75" style="51" customWidth="1"/>
    <col min="4367" max="4367" width="10.875" style="51" customWidth="1"/>
    <col min="4368" max="4368" width="2.625" style="51" customWidth="1"/>
    <col min="4369" max="4369" width="1.75" style="51" customWidth="1"/>
    <col min="4370" max="4370" width="11.875" style="51" customWidth="1"/>
    <col min="4371" max="4371" width="0.5" style="51" customWidth="1"/>
    <col min="4372" max="4608" width="9" style="51"/>
    <col min="4609" max="4609" width="2.125" style="51" customWidth="1"/>
    <col min="4610" max="4610" width="1.625" style="51" customWidth="1"/>
    <col min="4611" max="4611" width="2.5" style="51" customWidth="1"/>
    <col min="4612" max="4612" width="5.875" style="51" customWidth="1"/>
    <col min="4613" max="4613" width="11.875" style="51" customWidth="1"/>
    <col min="4614" max="4614" width="0.5" style="51" customWidth="1"/>
    <col min="4615" max="4615" width="2.25" style="51" customWidth="1"/>
    <col min="4616" max="4616" width="2.375" style="51" customWidth="1"/>
    <col min="4617" max="4617" width="9.125" style="51" customWidth="1"/>
    <col min="4618" max="4618" width="11.75" style="51" customWidth="1"/>
    <col min="4619" max="4619" width="0.625" style="51" customWidth="1"/>
    <col min="4620" max="4620" width="2.125" style="51" customWidth="1"/>
    <col min="4621" max="4621" width="2.5" style="51" customWidth="1"/>
    <col min="4622" max="4622" width="1.75" style="51" customWidth="1"/>
    <col min="4623" max="4623" width="10.875" style="51" customWidth="1"/>
    <col min="4624" max="4624" width="2.625" style="51" customWidth="1"/>
    <col min="4625" max="4625" width="1.75" style="51" customWidth="1"/>
    <col min="4626" max="4626" width="11.875" style="51" customWidth="1"/>
    <col min="4627" max="4627" width="0.5" style="51" customWidth="1"/>
    <col min="4628" max="4864" width="9" style="51"/>
    <col min="4865" max="4865" width="2.125" style="51" customWidth="1"/>
    <col min="4866" max="4866" width="1.625" style="51" customWidth="1"/>
    <col min="4867" max="4867" width="2.5" style="51" customWidth="1"/>
    <col min="4868" max="4868" width="5.875" style="51" customWidth="1"/>
    <col min="4869" max="4869" width="11.875" style="51" customWidth="1"/>
    <col min="4870" max="4870" width="0.5" style="51" customWidth="1"/>
    <col min="4871" max="4871" width="2.25" style="51" customWidth="1"/>
    <col min="4872" max="4872" width="2.375" style="51" customWidth="1"/>
    <col min="4873" max="4873" width="9.125" style="51" customWidth="1"/>
    <col min="4874" max="4874" width="11.75" style="51" customWidth="1"/>
    <col min="4875" max="4875" width="0.625" style="51" customWidth="1"/>
    <col min="4876" max="4876" width="2.125" style="51" customWidth="1"/>
    <col min="4877" max="4877" width="2.5" style="51" customWidth="1"/>
    <col min="4878" max="4878" width="1.75" style="51" customWidth="1"/>
    <col min="4879" max="4879" width="10.875" style="51" customWidth="1"/>
    <col min="4880" max="4880" width="2.625" style="51" customWidth="1"/>
    <col min="4881" max="4881" width="1.75" style="51" customWidth="1"/>
    <col min="4882" max="4882" width="11.875" style="51" customWidth="1"/>
    <col min="4883" max="4883" width="0.5" style="51" customWidth="1"/>
    <col min="4884" max="5120" width="9" style="51"/>
    <col min="5121" max="5121" width="2.125" style="51" customWidth="1"/>
    <col min="5122" max="5122" width="1.625" style="51" customWidth="1"/>
    <col min="5123" max="5123" width="2.5" style="51" customWidth="1"/>
    <col min="5124" max="5124" width="5.875" style="51" customWidth="1"/>
    <col min="5125" max="5125" width="11.875" style="51" customWidth="1"/>
    <col min="5126" max="5126" width="0.5" style="51" customWidth="1"/>
    <col min="5127" max="5127" width="2.25" style="51" customWidth="1"/>
    <col min="5128" max="5128" width="2.375" style="51" customWidth="1"/>
    <col min="5129" max="5129" width="9.125" style="51" customWidth="1"/>
    <col min="5130" max="5130" width="11.75" style="51" customWidth="1"/>
    <col min="5131" max="5131" width="0.625" style="51" customWidth="1"/>
    <col min="5132" max="5132" width="2.125" style="51" customWidth="1"/>
    <col min="5133" max="5133" width="2.5" style="51" customWidth="1"/>
    <col min="5134" max="5134" width="1.75" style="51" customWidth="1"/>
    <col min="5135" max="5135" width="10.875" style="51" customWidth="1"/>
    <col min="5136" max="5136" width="2.625" style="51" customWidth="1"/>
    <col min="5137" max="5137" width="1.75" style="51" customWidth="1"/>
    <col min="5138" max="5138" width="11.875" style="51" customWidth="1"/>
    <col min="5139" max="5139" width="0.5" style="51" customWidth="1"/>
    <col min="5140" max="5376" width="9" style="51"/>
    <col min="5377" max="5377" width="2.125" style="51" customWidth="1"/>
    <col min="5378" max="5378" width="1.625" style="51" customWidth="1"/>
    <col min="5379" max="5379" width="2.5" style="51" customWidth="1"/>
    <col min="5380" max="5380" width="5.875" style="51" customWidth="1"/>
    <col min="5381" max="5381" width="11.875" style="51" customWidth="1"/>
    <col min="5382" max="5382" width="0.5" style="51" customWidth="1"/>
    <col min="5383" max="5383" width="2.25" style="51" customWidth="1"/>
    <col min="5384" max="5384" width="2.375" style="51" customWidth="1"/>
    <col min="5385" max="5385" width="9.125" style="51" customWidth="1"/>
    <col min="5386" max="5386" width="11.75" style="51" customWidth="1"/>
    <col min="5387" max="5387" width="0.625" style="51" customWidth="1"/>
    <col min="5388" max="5388" width="2.125" style="51" customWidth="1"/>
    <col min="5389" max="5389" width="2.5" style="51" customWidth="1"/>
    <col min="5390" max="5390" width="1.75" style="51" customWidth="1"/>
    <col min="5391" max="5391" width="10.875" style="51" customWidth="1"/>
    <col min="5392" max="5392" width="2.625" style="51" customWidth="1"/>
    <col min="5393" max="5393" width="1.75" style="51" customWidth="1"/>
    <col min="5394" max="5394" width="11.875" style="51" customWidth="1"/>
    <col min="5395" max="5395" width="0.5" style="51" customWidth="1"/>
    <col min="5396" max="5632" width="9" style="51"/>
    <col min="5633" max="5633" width="2.125" style="51" customWidth="1"/>
    <col min="5634" max="5634" width="1.625" style="51" customWidth="1"/>
    <col min="5635" max="5635" width="2.5" style="51" customWidth="1"/>
    <col min="5636" max="5636" width="5.875" style="51" customWidth="1"/>
    <col min="5637" max="5637" width="11.875" style="51" customWidth="1"/>
    <col min="5638" max="5638" width="0.5" style="51" customWidth="1"/>
    <col min="5639" max="5639" width="2.25" style="51" customWidth="1"/>
    <col min="5640" max="5640" width="2.375" style="51" customWidth="1"/>
    <col min="5641" max="5641" width="9.125" style="51" customWidth="1"/>
    <col min="5642" max="5642" width="11.75" style="51" customWidth="1"/>
    <col min="5643" max="5643" width="0.625" style="51" customWidth="1"/>
    <col min="5644" max="5644" width="2.125" style="51" customWidth="1"/>
    <col min="5645" max="5645" width="2.5" style="51" customWidth="1"/>
    <col min="5646" max="5646" width="1.75" style="51" customWidth="1"/>
    <col min="5647" max="5647" width="10.875" style="51" customWidth="1"/>
    <col min="5648" max="5648" width="2.625" style="51" customWidth="1"/>
    <col min="5649" max="5649" width="1.75" style="51" customWidth="1"/>
    <col min="5650" max="5650" width="11.875" style="51" customWidth="1"/>
    <col min="5651" max="5651" width="0.5" style="51" customWidth="1"/>
    <col min="5652" max="5888" width="9" style="51"/>
    <col min="5889" max="5889" width="2.125" style="51" customWidth="1"/>
    <col min="5890" max="5890" width="1.625" style="51" customWidth="1"/>
    <col min="5891" max="5891" width="2.5" style="51" customWidth="1"/>
    <col min="5892" max="5892" width="5.875" style="51" customWidth="1"/>
    <col min="5893" max="5893" width="11.875" style="51" customWidth="1"/>
    <col min="5894" max="5894" width="0.5" style="51" customWidth="1"/>
    <col min="5895" max="5895" width="2.25" style="51" customWidth="1"/>
    <col min="5896" max="5896" width="2.375" style="51" customWidth="1"/>
    <col min="5897" max="5897" width="9.125" style="51" customWidth="1"/>
    <col min="5898" max="5898" width="11.75" style="51" customWidth="1"/>
    <col min="5899" max="5899" width="0.625" style="51" customWidth="1"/>
    <col min="5900" max="5900" width="2.125" style="51" customWidth="1"/>
    <col min="5901" max="5901" width="2.5" style="51" customWidth="1"/>
    <col min="5902" max="5902" width="1.75" style="51" customWidth="1"/>
    <col min="5903" max="5903" width="10.875" style="51" customWidth="1"/>
    <col min="5904" max="5904" width="2.625" style="51" customWidth="1"/>
    <col min="5905" max="5905" width="1.75" style="51" customWidth="1"/>
    <col min="5906" max="5906" width="11.875" style="51" customWidth="1"/>
    <col min="5907" max="5907" width="0.5" style="51" customWidth="1"/>
    <col min="5908" max="6144" width="9" style="51"/>
    <col min="6145" max="6145" width="2.125" style="51" customWidth="1"/>
    <col min="6146" max="6146" width="1.625" style="51" customWidth="1"/>
    <col min="6147" max="6147" width="2.5" style="51" customWidth="1"/>
    <col min="6148" max="6148" width="5.875" style="51" customWidth="1"/>
    <col min="6149" max="6149" width="11.875" style="51" customWidth="1"/>
    <col min="6150" max="6150" width="0.5" style="51" customWidth="1"/>
    <col min="6151" max="6151" width="2.25" style="51" customWidth="1"/>
    <col min="6152" max="6152" width="2.375" style="51" customWidth="1"/>
    <col min="6153" max="6153" width="9.125" style="51" customWidth="1"/>
    <col min="6154" max="6154" width="11.75" style="51" customWidth="1"/>
    <col min="6155" max="6155" width="0.625" style="51" customWidth="1"/>
    <col min="6156" max="6156" width="2.125" style="51" customWidth="1"/>
    <col min="6157" max="6157" width="2.5" style="51" customWidth="1"/>
    <col min="6158" max="6158" width="1.75" style="51" customWidth="1"/>
    <col min="6159" max="6159" width="10.875" style="51" customWidth="1"/>
    <col min="6160" max="6160" width="2.625" style="51" customWidth="1"/>
    <col min="6161" max="6161" width="1.75" style="51" customWidth="1"/>
    <col min="6162" max="6162" width="11.875" style="51" customWidth="1"/>
    <col min="6163" max="6163" width="0.5" style="51" customWidth="1"/>
    <col min="6164" max="6400" width="9" style="51"/>
    <col min="6401" max="6401" width="2.125" style="51" customWidth="1"/>
    <col min="6402" max="6402" width="1.625" style="51" customWidth="1"/>
    <col min="6403" max="6403" width="2.5" style="51" customWidth="1"/>
    <col min="6404" max="6404" width="5.875" style="51" customWidth="1"/>
    <col min="6405" max="6405" width="11.875" style="51" customWidth="1"/>
    <col min="6406" max="6406" width="0.5" style="51" customWidth="1"/>
    <col min="6407" max="6407" width="2.25" style="51" customWidth="1"/>
    <col min="6408" max="6408" width="2.375" style="51" customWidth="1"/>
    <col min="6409" max="6409" width="9.125" style="51" customWidth="1"/>
    <col min="6410" max="6410" width="11.75" style="51" customWidth="1"/>
    <col min="6411" max="6411" width="0.625" style="51" customWidth="1"/>
    <col min="6412" max="6412" width="2.125" style="51" customWidth="1"/>
    <col min="6413" max="6413" width="2.5" style="51" customWidth="1"/>
    <col min="6414" max="6414" width="1.75" style="51" customWidth="1"/>
    <col min="6415" max="6415" width="10.875" style="51" customWidth="1"/>
    <col min="6416" max="6416" width="2.625" style="51" customWidth="1"/>
    <col min="6417" max="6417" width="1.75" style="51" customWidth="1"/>
    <col min="6418" max="6418" width="11.875" style="51" customWidth="1"/>
    <col min="6419" max="6419" width="0.5" style="51" customWidth="1"/>
    <col min="6420" max="6656" width="9" style="51"/>
    <col min="6657" max="6657" width="2.125" style="51" customWidth="1"/>
    <col min="6658" max="6658" width="1.625" style="51" customWidth="1"/>
    <col min="6659" max="6659" width="2.5" style="51" customWidth="1"/>
    <col min="6660" max="6660" width="5.875" style="51" customWidth="1"/>
    <col min="6661" max="6661" width="11.875" style="51" customWidth="1"/>
    <col min="6662" max="6662" width="0.5" style="51" customWidth="1"/>
    <col min="6663" max="6663" width="2.25" style="51" customWidth="1"/>
    <col min="6664" max="6664" width="2.375" style="51" customWidth="1"/>
    <col min="6665" max="6665" width="9.125" style="51" customWidth="1"/>
    <col min="6666" max="6666" width="11.75" style="51" customWidth="1"/>
    <col min="6667" max="6667" width="0.625" style="51" customWidth="1"/>
    <col min="6668" max="6668" width="2.125" style="51" customWidth="1"/>
    <col min="6669" max="6669" width="2.5" style="51" customWidth="1"/>
    <col min="6670" max="6670" width="1.75" style="51" customWidth="1"/>
    <col min="6671" max="6671" width="10.875" style="51" customWidth="1"/>
    <col min="6672" max="6672" width="2.625" style="51" customWidth="1"/>
    <col min="6673" max="6673" width="1.75" style="51" customWidth="1"/>
    <col min="6674" max="6674" width="11.875" style="51" customWidth="1"/>
    <col min="6675" max="6675" width="0.5" style="51" customWidth="1"/>
    <col min="6676" max="6912" width="9" style="51"/>
    <col min="6913" max="6913" width="2.125" style="51" customWidth="1"/>
    <col min="6914" max="6914" width="1.625" style="51" customWidth="1"/>
    <col min="6915" max="6915" width="2.5" style="51" customWidth="1"/>
    <col min="6916" max="6916" width="5.875" style="51" customWidth="1"/>
    <col min="6917" max="6917" width="11.875" style="51" customWidth="1"/>
    <col min="6918" max="6918" width="0.5" style="51" customWidth="1"/>
    <col min="6919" max="6919" width="2.25" style="51" customWidth="1"/>
    <col min="6920" max="6920" width="2.375" style="51" customWidth="1"/>
    <col min="6921" max="6921" width="9.125" style="51" customWidth="1"/>
    <col min="6922" max="6922" width="11.75" style="51" customWidth="1"/>
    <col min="6923" max="6923" width="0.625" style="51" customWidth="1"/>
    <col min="6924" max="6924" width="2.125" style="51" customWidth="1"/>
    <col min="6925" max="6925" width="2.5" style="51" customWidth="1"/>
    <col min="6926" max="6926" width="1.75" style="51" customWidth="1"/>
    <col min="6927" max="6927" width="10.875" style="51" customWidth="1"/>
    <col min="6928" max="6928" width="2.625" style="51" customWidth="1"/>
    <col min="6929" max="6929" width="1.75" style="51" customWidth="1"/>
    <col min="6930" max="6930" width="11.875" style="51" customWidth="1"/>
    <col min="6931" max="6931" width="0.5" style="51" customWidth="1"/>
    <col min="6932" max="7168" width="9" style="51"/>
    <col min="7169" max="7169" width="2.125" style="51" customWidth="1"/>
    <col min="7170" max="7170" width="1.625" style="51" customWidth="1"/>
    <col min="7171" max="7171" width="2.5" style="51" customWidth="1"/>
    <col min="7172" max="7172" width="5.875" style="51" customWidth="1"/>
    <col min="7173" max="7173" width="11.875" style="51" customWidth="1"/>
    <col min="7174" max="7174" width="0.5" style="51" customWidth="1"/>
    <col min="7175" max="7175" width="2.25" style="51" customWidth="1"/>
    <col min="7176" max="7176" width="2.375" style="51" customWidth="1"/>
    <col min="7177" max="7177" width="9.125" style="51" customWidth="1"/>
    <col min="7178" max="7178" width="11.75" style="51" customWidth="1"/>
    <col min="7179" max="7179" width="0.625" style="51" customWidth="1"/>
    <col min="7180" max="7180" width="2.125" style="51" customWidth="1"/>
    <col min="7181" max="7181" width="2.5" style="51" customWidth="1"/>
    <col min="7182" max="7182" width="1.75" style="51" customWidth="1"/>
    <col min="7183" max="7183" width="10.875" style="51" customWidth="1"/>
    <col min="7184" max="7184" width="2.625" style="51" customWidth="1"/>
    <col min="7185" max="7185" width="1.75" style="51" customWidth="1"/>
    <col min="7186" max="7186" width="11.875" style="51" customWidth="1"/>
    <col min="7187" max="7187" width="0.5" style="51" customWidth="1"/>
    <col min="7188" max="7424" width="9" style="51"/>
    <col min="7425" max="7425" width="2.125" style="51" customWidth="1"/>
    <col min="7426" max="7426" width="1.625" style="51" customWidth="1"/>
    <col min="7427" max="7427" width="2.5" style="51" customWidth="1"/>
    <col min="7428" max="7428" width="5.875" style="51" customWidth="1"/>
    <col min="7429" max="7429" width="11.875" style="51" customWidth="1"/>
    <col min="7430" max="7430" width="0.5" style="51" customWidth="1"/>
    <col min="7431" max="7431" width="2.25" style="51" customWidth="1"/>
    <col min="7432" max="7432" width="2.375" style="51" customWidth="1"/>
    <col min="7433" max="7433" width="9.125" style="51" customWidth="1"/>
    <col min="7434" max="7434" width="11.75" style="51" customWidth="1"/>
    <col min="7435" max="7435" width="0.625" style="51" customWidth="1"/>
    <col min="7436" max="7436" width="2.125" style="51" customWidth="1"/>
    <col min="7437" max="7437" width="2.5" style="51" customWidth="1"/>
    <col min="7438" max="7438" width="1.75" style="51" customWidth="1"/>
    <col min="7439" max="7439" width="10.875" style="51" customWidth="1"/>
    <col min="7440" max="7440" width="2.625" style="51" customWidth="1"/>
    <col min="7441" max="7441" width="1.75" style="51" customWidth="1"/>
    <col min="7442" max="7442" width="11.875" style="51" customWidth="1"/>
    <col min="7443" max="7443" width="0.5" style="51" customWidth="1"/>
    <col min="7444" max="7680" width="9" style="51"/>
    <col min="7681" max="7681" width="2.125" style="51" customWidth="1"/>
    <col min="7682" max="7682" width="1.625" style="51" customWidth="1"/>
    <col min="7683" max="7683" width="2.5" style="51" customWidth="1"/>
    <col min="7684" max="7684" width="5.875" style="51" customWidth="1"/>
    <col min="7685" max="7685" width="11.875" style="51" customWidth="1"/>
    <col min="7686" max="7686" width="0.5" style="51" customWidth="1"/>
    <col min="7687" max="7687" width="2.25" style="51" customWidth="1"/>
    <col min="7688" max="7688" width="2.375" style="51" customWidth="1"/>
    <col min="7689" max="7689" width="9.125" style="51" customWidth="1"/>
    <col min="7690" max="7690" width="11.75" style="51" customWidth="1"/>
    <col min="7691" max="7691" width="0.625" style="51" customWidth="1"/>
    <col min="7692" max="7692" width="2.125" style="51" customWidth="1"/>
    <col min="7693" max="7693" width="2.5" style="51" customWidth="1"/>
    <col min="7694" max="7694" width="1.75" style="51" customWidth="1"/>
    <col min="7695" max="7695" width="10.875" style="51" customWidth="1"/>
    <col min="7696" max="7696" width="2.625" style="51" customWidth="1"/>
    <col min="7697" max="7697" width="1.75" style="51" customWidth="1"/>
    <col min="7698" max="7698" width="11.875" style="51" customWidth="1"/>
    <col min="7699" max="7699" width="0.5" style="51" customWidth="1"/>
    <col min="7700" max="7936" width="9" style="51"/>
    <col min="7937" max="7937" width="2.125" style="51" customWidth="1"/>
    <col min="7938" max="7938" width="1.625" style="51" customWidth="1"/>
    <col min="7939" max="7939" width="2.5" style="51" customWidth="1"/>
    <col min="7940" max="7940" width="5.875" style="51" customWidth="1"/>
    <col min="7941" max="7941" width="11.875" style="51" customWidth="1"/>
    <col min="7942" max="7942" width="0.5" style="51" customWidth="1"/>
    <col min="7943" max="7943" width="2.25" style="51" customWidth="1"/>
    <col min="7944" max="7944" width="2.375" style="51" customWidth="1"/>
    <col min="7945" max="7945" width="9.125" style="51" customWidth="1"/>
    <col min="7946" max="7946" width="11.75" style="51" customWidth="1"/>
    <col min="7947" max="7947" width="0.625" style="51" customWidth="1"/>
    <col min="7948" max="7948" width="2.125" style="51" customWidth="1"/>
    <col min="7949" max="7949" width="2.5" style="51" customWidth="1"/>
    <col min="7950" max="7950" width="1.75" style="51" customWidth="1"/>
    <col min="7951" max="7951" width="10.875" style="51" customWidth="1"/>
    <col min="7952" max="7952" width="2.625" style="51" customWidth="1"/>
    <col min="7953" max="7953" width="1.75" style="51" customWidth="1"/>
    <col min="7954" max="7954" width="11.875" style="51" customWidth="1"/>
    <col min="7955" max="7955" width="0.5" style="51" customWidth="1"/>
    <col min="7956" max="8192" width="9" style="51"/>
    <col min="8193" max="8193" width="2.125" style="51" customWidth="1"/>
    <col min="8194" max="8194" width="1.625" style="51" customWidth="1"/>
    <col min="8195" max="8195" width="2.5" style="51" customWidth="1"/>
    <col min="8196" max="8196" width="5.875" style="51" customWidth="1"/>
    <col min="8197" max="8197" width="11.875" style="51" customWidth="1"/>
    <col min="8198" max="8198" width="0.5" style="51" customWidth="1"/>
    <col min="8199" max="8199" width="2.25" style="51" customWidth="1"/>
    <col min="8200" max="8200" width="2.375" style="51" customWidth="1"/>
    <col min="8201" max="8201" width="9.125" style="51" customWidth="1"/>
    <col min="8202" max="8202" width="11.75" style="51" customWidth="1"/>
    <col min="8203" max="8203" width="0.625" style="51" customWidth="1"/>
    <col min="8204" max="8204" width="2.125" style="51" customWidth="1"/>
    <col min="8205" max="8205" width="2.5" style="51" customWidth="1"/>
    <col min="8206" max="8206" width="1.75" style="51" customWidth="1"/>
    <col min="8207" max="8207" width="10.875" style="51" customWidth="1"/>
    <col min="8208" max="8208" width="2.625" style="51" customWidth="1"/>
    <col min="8209" max="8209" width="1.75" style="51" customWidth="1"/>
    <col min="8210" max="8210" width="11.875" style="51" customWidth="1"/>
    <col min="8211" max="8211" width="0.5" style="51" customWidth="1"/>
    <col min="8212" max="8448" width="9" style="51"/>
    <col min="8449" max="8449" width="2.125" style="51" customWidth="1"/>
    <col min="8450" max="8450" width="1.625" style="51" customWidth="1"/>
    <col min="8451" max="8451" width="2.5" style="51" customWidth="1"/>
    <col min="8452" max="8452" width="5.875" style="51" customWidth="1"/>
    <col min="8453" max="8453" width="11.875" style="51" customWidth="1"/>
    <col min="8454" max="8454" width="0.5" style="51" customWidth="1"/>
    <col min="8455" max="8455" width="2.25" style="51" customWidth="1"/>
    <col min="8456" max="8456" width="2.375" style="51" customWidth="1"/>
    <col min="8457" max="8457" width="9.125" style="51" customWidth="1"/>
    <col min="8458" max="8458" width="11.75" style="51" customWidth="1"/>
    <col min="8459" max="8459" width="0.625" style="51" customWidth="1"/>
    <col min="8460" max="8460" width="2.125" style="51" customWidth="1"/>
    <col min="8461" max="8461" width="2.5" style="51" customWidth="1"/>
    <col min="8462" max="8462" width="1.75" style="51" customWidth="1"/>
    <col min="8463" max="8463" width="10.875" style="51" customWidth="1"/>
    <col min="8464" max="8464" width="2.625" style="51" customWidth="1"/>
    <col min="8465" max="8465" width="1.75" style="51" customWidth="1"/>
    <col min="8466" max="8466" width="11.875" style="51" customWidth="1"/>
    <col min="8467" max="8467" width="0.5" style="51" customWidth="1"/>
    <col min="8468" max="8704" width="9" style="51"/>
    <col min="8705" max="8705" width="2.125" style="51" customWidth="1"/>
    <col min="8706" max="8706" width="1.625" style="51" customWidth="1"/>
    <col min="8707" max="8707" width="2.5" style="51" customWidth="1"/>
    <col min="8708" max="8708" width="5.875" style="51" customWidth="1"/>
    <col min="8709" max="8709" width="11.875" style="51" customWidth="1"/>
    <col min="8710" max="8710" width="0.5" style="51" customWidth="1"/>
    <col min="8711" max="8711" width="2.25" style="51" customWidth="1"/>
    <col min="8712" max="8712" width="2.375" style="51" customWidth="1"/>
    <col min="8713" max="8713" width="9.125" style="51" customWidth="1"/>
    <col min="8714" max="8714" width="11.75" style="51" customWidth="1"/>
    <col min="8715" max="8715" width="0.625" style="51" customWidth="1"/>
    <col min="8716" max="8716" width="2.125" style="51" customWidth="1"/>
    <col min="8717" max="8717" width="2.5" style="51" customWidth="1"/>
    <col min="8718" max="8718" width="1.75" style="51" customWidth="1"/>
    <col min="8719" max="8719" width="10.875" style="51" customWidth="1"/>
    <col min="8720" max="8720" width="2.625" style="51" customWidth="1"/>
    <col min="8721" max="8721" width="1.75" style="51" customWidth="1"/>
    <col min="8722" max="8722" width="11.875" style="51" customWidth="1"/>
    <col min="8723" max="8723" width="0.5" style="51" customWidth="1"/>
    <col min="8724" max="8960" width="9" style="51"/>
    <col min="8961" max="8961" width="2.125" style="51" customWidth="1"/>
    <col min="8962" max="8962" width="1.625" style="51" customWidth="1"/>
    <col min="8963" max="8963" width="2.5" style="51" customWidth="1"/>
    <col min="8964" max="8964" width="5.875" style="51" customWidth="1"/>
    <col min="8965" max="8965" width="11.875" style="51" customWidth="1"/>
    <col min="8966" max="8966" width="0.5" style="51" customWidth="1"/>
    <col min="8967" max="8967" width="2.25" style="51" customWidth="1"/>
    <col min="8968" max="8968" width="2.375" style="51" customWidth="1"/>
    <col min="8969" max="8969" width="9.125" style="51" customWidth="1"/>
    <col min="8970" max="8970" width="11.75" style="51" customWidth="1"/>
    <col min="8971" max="8971" width="0.625" style="51" customWidth="1"/>
    <col min="8972" max="8972" width="2.125" style="51" customWidth="1"/>
    <col min="8973" max="8973" width="2.5" style="51" customWidth="1"/>
    <col min="8974" max="8974" width="1.75" style="51" customWidth="1"/>
    <col min="8975" max="8975" width="10.875" style="51" customWidth="1"/>
    <col min="8976" max="8976" width="2.625" style="51" customWidth="1"/>
    <col min="8977" max="8977" width="1.75" style="51" customWidth="1"/>
    <col min="8978" max="8978" width="11.875" style="51" customWidth="1"/>
    <col min="8979" max="8979" width="0.5" style="51" customWidth="1"/>
    <col min="8980" max="9216" width="9" style="51"/>
    <col min="9217" max="9217" width="2.125" style="51" customWidth="1"/>
    <col min="9218" max="9218" width="1.625" style="51" customWidth="1"/>
    <col min="9219" max="9219" width="2.5" style="51" customWidth="1"/>
    <col min="9220" max="9220" width="5.875" style="51" customWidth="1"/>
    <col min="9221" max="9221" width="11.875" style="51" customWidth="1"/>
    <col min="9222" max="9222" width="0.5" style="51" customWidth="1"/>
    <col min="9223" max="9223" width="2.25" style="51" customWidth="1"/>
    <col min="9224" max="9224" width="2.375" style="51" customWidth="1"/>
    <col min="9225" max="9225" width="9.125" style="51" customWidth="1"/>
    <col min="9226" max="9226" width="11.75" style="51" customWidth="1"/>
    <col min="9227" max="9227" width="0.625" style="51" customWidth="1"/>
    <col min="9228" max="9228" width="2.125" style="51" customWidth="1"/>
    <col min="9229" max="9229" width="2.5" style="51" customWidth="1"/>
    <col min="9230" max="9230" width="1.75" style="51" customWidth="1"/>
    <col min="9231" max="9231" width="10.875" style="51" customWidth="1"/>
    <col min="9232" max="9232" width="2.625" style="51" customWidth="1"/>
    <col min="9233" max="9233" width="1.75" style="51" customWidth="1"/>
    <col min="9234" max="9234" width="11.875" style="51" customWidth="1"/>
    <col min="9235" max="9235" width="0.5" style="51" customWidth="1"/>
    <col min="9236" max="9472" width="9" style="51"/>
    <col min="9473" max="9473" width="2.125" style="51" customWidth="1"/>
    <col min="9474" max="9474" width="1.625" style="51" customWidth="1"/>
    <col min="9475" max="9475" width="2.5" style="51" customWidth="1"/>
    <col min="9476" max="9476" width="5.875" style="51" customWidth="1"/>
    <col min="9477" max="9477" width="11.875" style="51" customWidth="1"/>
    <col min="9478" max="9478" width="0.5" style="51" customWidth="1"/>
    <col min="9479" max="9479" width="2.25" style="51" customWidth="1"/>
    <col min="9480" max="9480" width="2.375" style="51" customWidth="1"/>
    <col min="9481" max="9481" width="9.125" style="51" customWidth="1"/>
    <col min="9482" max="9482" width="11.75" style="51" customWidth="1"/>
    <col min="9483" max="9483" width="0.625" style="51" customWidth="1"/>
    <col min="9484" max="9484" width="2.125" style="51" customWidth="1"/>
    <col min="9485" max="9485" width="2.5" style="51" customWidth="1"/>
    <col min="9486" max="9486" width="1.75" style="51" customWidth="1"/>
    <col min="9487" max="9487" width="10.875" style="51" customWidth="1"/>
    <col min="9488" max="9488" width="2.625" style="51" customWidth="1"/>
    <col min="9489" max="9489" width="1.75" style="51" customWidth="1"/>
    <col min="9490" max="9490" width="11.875" style="51" customWidth="1"/>
    <col min="9491" max="9491" width="0.5" style="51" customWidth="1"/>
    <col min="9492" max="9728" width="9" style="51"/>
    <col min="9729" max="9729" width="2.125" style="51" customWidth="1"/>
    <col min="9730" max="9730" width="1.625" style="51" customWidth="1"/>
    <col min="9731" max="9731" width="2.5" style="51" customWidth="1"/>
    <col min="9732" max="9732" width="5.875" style="51" customWidth="1"/>
    <col min="9733" max="9733" width="11.875" style="51" customWidth="1"/>
    <col min="9734" max="9734" width="0.5" style="51" customWidth="1"/>
    <col min="9735" max="9735" width="2.25" style="51" customWidth="1"/>
    <col min="9736" max="9736" width="2.375" style="51" customWidth="1"/>
    <col min="9737" max="9737" width="9.125" style="51" customWidth="1"/>
    <col min="9738" max="9738" width="11.75" style="51" customWidth="1"/>
    <col min="9739" max="9739" width="0.625" style="51" customWidth="1"/>
    <col min="9740" max="9740" width="2.125" style="51" customWidth="1"/>
    <col min="9741" max="9741" width="2.5" style="51" customWidth="1"/>
    <col min="9742" max="9742" width="1.75" style="51" customWidth="1"/>
    <col min="9743" max="9743" width="10.875" style="51" customWidth="1"/>
    <col min="9744" max="9744" width="2.625" style="51" customWidth="1"/>
    <col min="9745" max="9745" width="1.75" style="51" customWidth="1"/>
    <col min="9746" max="9746" width="11.875" style="51" customWidth="1"/>
    <col min="9747" max="9747" width="0.5" style="51" customWidth="1"/>
    <col min="9748" max="9984" width="9" style="51"/>
    <col min="9985" max="9985" width="2.125" style="51" customWidth="1"/>
    <col min="9986" max="9986" width="1.625" style="51" customWidth="1"/>
    <col min="9987" max="9987" width="2.5" style="51" customWidth="1"/>
    <col min="9988" max="9988" width="5.875" style="51" customWidth="1"/>
    <col min="9989" max="9989" width="11.875" style="51" customWidth="1"/>
    <col min="9990" max="9990" width="0.5" style="51" customWidth="1"/>
    <col min="9991" max="9991" width="2.25" style="51" customWidth="1"/>
    <col min="9992" max="9992" width="2.375" style="51" customWidth="1"/>
    <col min="9993" max="9993" width="9.125" style="51" customWidth="1"/>
    <col min="9994" max="9994" width="11.75" style="51" customWidth="1"/>
    <col min="9995" max="9995" width="0.625" style="51" customWidth="1"/>
    <col min="9996" max="9996" width="2.125" style="51" customWidth="1"/>
    <col min="9997" max="9997" width="2.5" style="51" customWidth="1"/>
    <col min="9998" max="9998" width="1.75" style="51" customWidth="1"/>
    <col min="9999" max="9999" width="10.875" style="51" customWidth="1"/>
    <col min="10000" max="10000" width="2.625" style="51" customWidth="1"/>
    <col min="10001" max="10001" width="1.75" style="51" customWidth="1"/>
    <col min="10002" max="10002" width="11.875" style="51" customWidth="1"/>
    <col min="10003" max="10003" width="0.5" style="51" customWidth="1"/>
    <col min="10004" max="10240" width="9" style="51"/>
    <col min="10241" max="10241" width="2.125" style="51" customWidth="1"/>
    <col min="10242" max="10242" width="1.625" style="51" customWidth="1"/>
    <col min="10243" max="10243" width="2.5" style="51" customWidth="1"/>
    <col min="10244" max="10244" width="5.875" style="51" customWidth="1"/>
    <col min="10245" max="10245" width="11.875" style="51" customWidth="1"/>
    <col min="10246" max="10246" width="0.5" style="51" customWidth="1"/>
    <col min="10247" max="10247" width="2.25" style="51" customWidth="1"/>
    <col min="10248" max="10248" width="2.375" style="51" customWidth="1"/>
    <col min="10249" max="10249" width="9.125" style="51" customWidth="1"/>
    <col min="10250" max="10250" width="11.75" style="51" customWidth="1"/>
    <col min="10251" max="10251" width="0.625" style="51" customWidth="1"/>
    <col min="10252" max="10252" width="2.125" style="51" customWidth="1"/>
    <col min="10253" max="10253" width="2.5" style="51" customWidth="1"/>
    <col min="10254" max="10254" width="1.75" style="51" customWidth="1"/>
    <col min="10255" max="10255" width="10.875" style="51" customWidth="1"/>
    <col min="10256" max="10256" width="2.625" style="51" customWidth="1"/>
    <col min="10257" max="10257" width="1.75" style="51" customWidth="1"/>
    <col min="10258" max="10258" width="11.875" style="51" customWidth="1"/>
    <col min="10259" max="10259" width="0.5" style="51" customWidth="1"/>
    <col min="10260" max="10496" width="9" style="51"/>
    <col min="10497" max="10497" width="2.125" style="51" customWidth="1"/>
    <col min="10498" max="10498" width="1.625" style="51" customWidth="1"/>
    <col min="10499" max="10499" width="2.5" style="51" customWidth="1"/>
    <col min="10500" max="10500" width="5.875" style="51" customWidth="1"/>
    <col min="10501" max="10501" width="11.875" style="51" customWidth="1"/>
    <col min="10502" max="10502" width="0.5" style="51" customWidth="1"/>
    <col min="10503" max="10503" width="2.25" style="51" customWidth="1"/>
    <col min="10504" max="10504" width="2.375" style="51" customWidth="1"/>
    <col min="10505" max="10505" width="9.125" style="51" customWidth="1"/>
    <col min="10506" max="10506" width="11.75" style="51" customWidth="1"/>
    <col min="10507" max="10507" width="0.625" style="51" customWidth="1"/>
    <col min="10508" max="10508" width="2.125" style="51" customWidth="1"/>
    <col min="10509" max="10509" width="2.5" style="51" customWidth="1"/>
    <col min="10510" max="10510" width="1.75" style="51" customWidth="1"/>
    <col min="10511" max="10511" width="10.875" style="51" customWidth="1"/>
    <col min="10512" max="10512" width="2.625" style="51" customWidth="1"/>
    <col min="10513" max="10513" width="1.75" style="51" customWidth="1"/>
    <col min="10514" max="10514" width="11.875" style="51" customWidth="1"/>
    <col min="10515" max="10515" width="0.5" style="51" customWidth="1"/>
    <col min="10516" max="10752" width="9" style="51"/>
    <col min="10753" max="10753" width="2.125" style="51" customWidth="1"/>
    <col min="10754" max="10754" width="1.625" style="51" customWidth="1"/>
    <col min="10755" max="10755" width="2.5" style="51" customWidth="1"/>
    <col min="10756" max="10756" width="5.875" style="51" customWidth="1"/>
    <col min="10757" max="10757" width="11.875" style="51" customWidth="1"/>
    <col min="10758" max="10758" width="0.5" style="51" customWidth="1"/>
    <col min="10759" max="10759" width="2.25" style="51" customWidth="1"/>
    <col min="10760" max="10760" width="2.375" style="51" customWidth="1"/>
    <col min="10761" max="10761" width="9.125" style="51" customWidth="1"/>
    <col min="10762" max="10762" width="11.75" style="51" customWidth="1"/>
    <col min="10763" max="10763" width="0.625" style="51" customWidth="1"/>
    <col min="10764" max="10764" width="2.125" style="51" customWidth="1"/>
    <col min="10765" max="10765" width="2.5" style="51" customWidth="1"/>
    <col min="10766" max="10766" width="1.75" style="51" customWidth="1"/>
    <col min="10767" max="10767" width="10.875" style="51" customWidth="1"/>
    <col min="10768" max="10768" width="2.625" style="51" customWidth="1"/>
    <col min="10769" max="10769" width="1.75" style="51" customWidth="1"/>
    <col min="10770" max="10770" width="11.875" style="51" customWidth="1"/>
    <col min="10771" max="10771" width="0.5" style="51" customWidth="1"/>
    <col min="10772" max="11008" width="9" style="51"/>
    <col min="11009" max="11009" width="2.125" style="51" customWidth="1"/>
    <col min="11010" max="11010" width="1.625" style="51" customWidth="1"/>
    <col min="11011" max="11011" width="2.5" style="51" customWidth="1"/>
    <col min="11012" max="11012" width="5.875" style="51" customWidth="1"/>
    <col min="11013" max="11013" width="11.875" style="51" customWidth="1"/>
    <col min="11014" max="11014" width="0.5" style="51" customWidth="1"/>
    <col min="11015" max="11015" width="2.25" style="51" customWidth="1"/>
    <col min="11016" max="11016" width="2.375" style="51" customWidth="1"/>
    <col min="11017" max="11017" width="9.125" style="51" customWidth="1"/>
    <col min="11018" max="11018" width="11.75" style="51" customWidth="1"/>
    <col min="11019" max="11019" width="0.625" style="51" customWidth="1"/>
    <col min="11020" max="11020" width="2.125" style="51" customWidth="1"/>
    <col min="11021" max="11021" width="2.5" style="51" customWidth="1"/>
    <col min="11022" max="11022" width="1.75" style="51" customWidth="1"/>
    <col min="11023" max="11023" width="10.875" style="51" customWidth="1"/>
    <col min="11024" max="11024" width="2.625" style="51" customWidth="1"/>
    <col min="11025" max="11025" width="1.75" style="51" customWidth="1"/>
    <col min="11026" max="11026" width="11.875" style="51" customWidth="1"/>
    <col min="11027" max="11027" width="0.5" style="51" customWidth="1"/>
    <col min="11028" max="11264" width="9" style="51"/>
    <col min="11265" max="11265" width="2.125" style="51" customWidth="1"/>
    <col min="11266" max="11266" width="1.625" style="51" customWidth="1"/>
    <col min="11267" max="11267" width="2.5" style="51" customWidth="1"/>
    <col min="11268" max="11268" width="5.875" style="51" customWidth="1"/>
    <col min="11269" max="11269" width="11.875" style="51" customWidth="1"/>
    <col min="11270" max="11270" width="0.5" style="51" customWidth="1"/>
    <col min="11271" max="11271" width="2.25" style="51" customWidth="1"/>
    <col min="11272" max="11272" width="2.375" style="51" customWidth="1"/>
    <col min="11273" max="11273" width="9.125" style="51" customWidth="1"/>
    <col min="11274" max="11274" width="11.75" style="51" customWidth="1"/>
    <col min="11275" max="11275" width="0.625" style="51" customWidth="1"/>
    <col min="11276" max="11276" width="2.125" style="51" customWidth="1"/>
    <col min="11277" max="11277" width="2.5" style="51" customWidth="1"/>
    <col min="11278" max="11278" width="1.75" style="51" customWidth="1"/>
    <col min="11279" max="11279" width="10.875" style="51" customWidth="1"/>
    <col min="11280" max="11280" width="2.625" style="51" customWidth="1"/>
    <col min="11281" max="11281" width="1.75" style="51" customWidth="1"/>
    <col min="11282" max="11282" width="11.875" style="51" customWidth="1"/>
    <col min="11283" max="11283" width="0.5" style="51" customWidth="1"/>
    <col min="11284" max="11520" width="9" style="51"/>
    <col min="11521" max="11521" width="2.125" style="51" customWidth="1"/>
    <col min="11522" max="11522" width="1.625" style="51" customWidth="1"/>
    <col min="11523" max="11523" width="2.5" style="51" customWidth="1"/>
    <col min="11524" max="11524" width="5.875" style="51" customWidth="1"/>
    <col min="11525" max="11525" width="11.875" style="51" customWidth="1"/>
    <col min="11526" max="11526" width="0.5" style="51" customWidth="1"/>
    <col min="11527" max="11527" width="2.25" style="51" customWidth="1"/>
    <col min="11528" max="11528" width="2.375" style="51" customWidth="1"/>
    <col min="11529" max="11529" width="9.125" style="51" customWidth="1"/>
    <col min="11530" max="11530" width="11.75" style="51" customWidth="1"/>
    <col min="11531" max="11531" width="0.625" style="51" customWidth="1"/>
    <col min="11532" max="11532" width="2.125" style="51" customWidth="1"/>
    <col min="11533" max="11533" width="2.5" style="51" customWidth="1"/>
    <col min="11534" max="11534" width="1.75" style="51" customWidth="1"/>
    <col min="11535" max="11535" width="10.875" style="51" customWidth="1"/>
    <col min="11536" max="11536" width="2.625" style="51" customWidth="1"/>
    <col min="11537" max="11537" width="1.75" style="51" customWidth="1"/>
    <col min="11538" max="11538" width="11.875" style="51" customWidth="1"/>
    <col min="11539" max="11539" width="0.5" style="51" customWidth="1"/>
    <col min="11540" max="11776" width="9" style="51"/>
    <col min="11777" max="11777" width="2.125" style="51" customWidth="1"/>
    <col min="11778" max="11778" width="1.625" style="51" customWidth="1"/>
    <col min="11779" max="11779" width="2.5" style="51" customWidth="1"/>
    <col min="11780" max="11780" width="5.875" style="51" customWidth="1"/>
    <col min="11781" max="11781" width="11.875" style="51" customWidth="1"/>
    <col min="11782" max="11782" width="0.5" style="51" customWidth="1"/>
    <col min="11783" max="11783" width="2.25" style="51" customWidth="1"/>
    <col min="11784" max="11784" width="2.375" style="51" customWidth="1"/>
    <col min="11785" max="11785" width="9.125" style="51" customWidth="1"/>
    <col min="11786" max="11786" width="11.75" style="51" customWidth="1"/>
    <col min="11787" max="11787" width="0.625" style="51" customWidth="1"/>
    <col min="11788" max="11788" width="2.125" style="51" customWidth="1"/>
    <col min="11789" max="11789" width="2.5" style="51" customWidth="1"/>
    <col min="11790" max="11790" width="1.75" style="51" customWidth="1"/>
    <col min="11791" max="11791" width="10.875" style="51" customWidth="1"/>
    <col min="11792" max="11792" width="2.625" style="51" customWidth="1"/>
    <col min="11793" max="11793" width="1.75" style="51" customWidth="1"/>
    <col min="11794" max="11794" width="11.875" style="51" customWidth="1"/>
    <col min="11795" max="11795" width="0.5" style="51" customWidth="1"/>
    <col min="11796" max="12032" width="9" style="51"/>
    <col min="12033" max="12033" width="2.125" style="51" customWidth="1"/>
    <col min="12034" max="12034" width="1.625" style="51" customWidth="1"/>
    <col min="12035" max="12035" width="2.5" style="51" customWidth="1"/>
    <col min="12036" max="12036" width="5.875" style="51" customWidth="1"/>
    <col min="12037" max="12037" width="11.875" style="51" customWidth="1"/>
    <col min="12038" max="12038" width="0.5" style="51" customWidth="1"/>
    <col min="12039" max="12039" width="2.25" style="51" customWidth="1"/>
    <col min="12040" max="12040" width="2.375" style="51" customWidth="1"/>
    <col min="12041" max="12041" width="9.125" style="51" customWidth="1"/>
    <col min="12042" max="12042" width="11.75" style="51" customWidth="1"/>
    <col min="12043" max="12043" width="0.625" style="51" customWidth="1"/>
    <col min="12044" max="12044" width="2.125" style="51" customWidth="1"/>
    <col min="12045" max="12045" width="2.5" style="51" customWidth="1"/>
    <col min="12046" max="12046" width="1.75" style="51" customWidth="1"/>
    <col min="12047" max="12047" width="10.875" style="51" customWidth="1"/>
    <col min="12048" max="12048" width="2.625" style="51" customWidth="1"/>
    <col min="12049" max="12049" width="1.75" style="51" customWidth="1"/>
    <col min="12050" max="12050" width="11.875" style="51" customWidth="1"/>
    <col min="12051" max="12051" width="0.5" style="51" customWidth="1"/>
    <col min="12052" max="12288" width="9" style="51"/>
    <col min="12289" max="12289" width="2.125" style="51" customWidth="1"/>
    <col min="12290" max="12290" width="1.625" style="51" customWidth="1"/>
    <col min="12291" max="12291" width="2.5" style="51" customWidth="1"/>
    <col min="12292" max="12292" width="5.875" style="51" customWidth="1"/>
    <col min="12293" max="12293" width="11.875" style="51" customWidth="1"/>
    <col min="12294" max="12294" width="0.5" style="51" customWidth="1"/>
    <col min="12295" max="12295" width="2.25" style="51" customWidth="1"/>
    <col min="12296" max="12296" width="2.375" style="51" customWidth="1"/>
    <col min="12297" max="12297" width="9.125" style="51" customWidth="1"/>
    <col min="12298" max="12298" width="11.75" style="51" customWidth="1"/>
    <col min="12299" max="12299" width="0.625" style="51" customWidth="1"/>
    <col min="12300" max="12300" width="2.125" style="51" customWidth="1"/>
    <col min="12301" max="12301" width="2.5" style="51" customWidth="1"/>
    <col min="12302" max="12302" width="1.75" style="51" customWidth="1"/>
    <col min="12303" max="12303" width="10.875" style="51" customWidth="1"/>
    <col min="12304" max="12304" width="2.625" style="51" customWidth="1"/>
    <col min="12305" max="12305" width="1.75" style="51" customWidth="1"/>
    <col min="12306" max="12306" width="11.875" style="51" customWidth="1"/>
    <col min="12307" max="12307" width="0.5" style="51" customWidth="1"/>
    <col min="12308" max="12544" width="9" style="51"/>
    <col min="12545" max="12545" width="2.125" style="51" customWidth="1"/>
    <col min="12546" max="12546" width="1.625" style="51" customWidth="1"/>
    <col min="12547" max="12547" width="2.5" style="51" customWidth="1"/>
    <col min="12548" max="12548" width="5.875" style="51" customWidth="1"/>
    <col min="12549" max="12549" width="11.875" style="51" customWidth="1"/>
    <col min="12550" max="12550" width="0.5" style="51" customWidth="1"/>
    <col min="12551" max="12551" width="2.25" style="51" customWidth="1"/>
    <col min="12552" max="12552" width="2.375" style="51" customWidth="1"/>
    <col min="12553" max="12553" width="9.125" style="51" customWidth="1"/>
    <col min="12554" max="12554" width="11.75" style="51" customWidth="1"/>
    <col min="12555" max="12555" width="0.625" style="51" customWidth="1"/>
    <col min="12556" max="12556" width="2.125" style="51" customWidth="1"/>
    <col min="12557" max="12557" width="2.5" style="51" customWidth="1"/>
    <col min="12558" max="12558" width="1.75" style="51" customWidth="1"/>
    <col min="12559" max="12559" width="10.875" style="51" customWidth="1"/>
    <col min="12560" max="12560" width="2.625" style="51" customWidth="1"/>
    <col min="12561" max="12561" width="1.75" style="51" customWidth="1"/>
    <col min="12562" max="12562" width="11.875" style="51" customWidth="1"/>
    <col min="12563" max="12563" width="0.5" style="51" customWidth="1"/>
    <col min="12564" max="12800" width="9" style="51"/>
    <col min="12801" max="12801" width="2.125" style="51" customWidth="1"/>
    <col min="12802" max="12802" width="1.625" style="51" customWidth="1"/>
    <col min="12803" max="12803" width="2.5" style="51" customWidth="1"/>
    <col min="12804" max="12804" width="5.875" style="51" customWidth="1"/>
    <col min="12805" max="12805" width="11.875" style="51" customWidth="1"/>
    <col min="12806" max="12806" width="0.5" style="51" customWidth="1"/>
    <col min="12807" max="12807" width="2.25" style="51" customWidth="1"/>
    <col min="12808" max="12808" width="2.375" style="51" customWidth="1"/>
    <col min="12809" max="12809" width="9.125" style="51" customWidth="1"/>
    <col min="12810" max="12810" width="11.75" style="51" customWidth="1"/>
    <col min="12811" max="12811" width="0.625" style="51" customWidth="1"/>
    <col min="12812" max="12812" width="2.125" style="51" customWidth="1"/>
    <col min="12813" max="12813" width="2.5" style="51" customWidth="1"/>
    <col min="12814" max="12814" width="1.75" style="51" customWidth="1"/>
    <col min="12815" max="12815" width="10.875" style="51" customWidth="1"/>
    <col min="12816" max="12816" width="2.625" style="51" customWidth="1"/>
    <col min="12817" max="12817" width="1.75" style="51" customWidth="1"/>
    <col min="12818" max="12818" width="11.875" style="51" customWidth="1"/>
    <col min="12819" max="12819" width="0.5" style="51" customWidth="1"/>
    <col min="12820" max="13056" width="9" style="51"/>
    <col min="13057" max="13057" width="2.125" style="51" customWidth="1"/>
    <col min="13058" max="13058" width="1.625" style="51" customWidth="1"/>
    <col min="13059" max="13059" width="2.5" style="51" customWidth="1"/>
    <col min="13060" max="13060" width="5.875" style="51" customWidth="1"/>
    <col min="13061" max="13061" width="11.875" style="51" customWidth="1"/>
    <col min="13062" max="13062" width="0.5" style="51" customWidth="1"/>
    <col min="13063" max="13063" width="2.25" style="51" customWidth="1"/>
    <col min="13064" max="13064" width="2.375" style="51" customWidth="1"/>
    <col min="13065" max="13065" width="9.125" style="51" customWidth="1"/>
    <col min="13066" max="13066" width="11.75" style="51" customWidth="1"/>
    <col min="13067" max="13067" width="0.625" style="51" customWidth="1"/>
    <col min="13068" max="13068" width="2.125" style="51" customWidth="1"/>
    <col min="13069" max="13069" width="2.5" style="51" customWidth="1"/>
    <col min="13070" max="13070" width="1.75" style="51" customWidth="1"/>
    <col min="13071" max="13071" width="10.875" style="51" customWidth="1"/>
    <col min="13072" max="13072" width="2.625" style="51" customWidth="1"/>
    <col min="13073" max="13073" width="1.75" style="51" customWidth="1"/>
    <col min="13074" max="13074" width="11.875" style="51" customWidth="1"/>
    <col min="13075" max="13075" width="0.5" style="51" customWidth="1"/>
    <col min="13076" max="13312" width="9" style="51"/>
    <col min="13313" max="13313" width="2.125" style="51" customWidth="1"/>
    <col min="13314" max="13314" width="1.625" style="51" customWidth="1"/>
    <col min="13315" max="13315" width="2.5" style="51" customWidth="1"/>
    <col min="13316" max="13316" width="5.875" style="51" customWidth="1"/>
    <col min="13317" max="13317" width="11.875" style="51" customWidth="1"/>
    <col min="13318" max="13318" width="0.5" style="51" customWidth="1"/>
    <col min="13319" max="13319" width="2.25" style="51" customWidth="1"/>
    <col min="13320" max="13320" width="2.375" style="51" customWidth="1"/>
    <col min="13321" max="13321" width="9.125" style="51" customWidth="1"/>
    <col min="13322" max="13322" width="11.75" style="51" customWidth="1"/>
    <col min="13323" max="13323" width="0.625" style="51" customWidth="1"/>
    <col min="13324" max="13324" width="2.125" style="51" customWidth="1"/>
    <col min="13325" max="13325" width="2.5" style="51" customWidth="1"/>
    <col min="13326" max="13326" width="1.75" style="51" customWidth="1"/>
    <col min="13327" max="13327" width="10.875" style="51" customWidth="1"/>
    <col min="13328" max="13328" width="2.625" style="51" customWidth="1"/>
    <col min="13329" max="13329" width="1.75" style="51" customWidth="1"/>
    <col min="13330" max="13330" width="11.875" style="51" customWidth="1"/>
    <col min="13331" max="13331" width="0.5" style="51" customWidth="1"/>
    <col min="13332" max="13568" width="9" style="51"/>
    <col min="13569" max="13569" width="2.125" style="51" customWidth="1"/>
    <col min="13570" max="13570" width="1.625" style="51" customWidth="1"/>
    <col min="13571" max="13571" width="2.5" style="51" customWidth="1"/>
    <col min="13572" max="13572" width="5.875" style="51" customWidth="1"/>
    <col min="13573" max="13573" width="11.875" style="51" customWidth="1"/>
    <col min="13574" max="13574" width="0.5" style="51" customWidth="1"/>
    <col min="13575" max="13575" width="2.25" style="51" customWidth="1"/>
    <col min="13576" max="13576" width="2.375" style="51" customWidth="1"/>
    <col min="13577" max="13577" width="9.125" style="51" customWidth="1"/>
    <col min="13578" max="13578" width="11.75" style="51" customWidth="1"/>
    <col min="13579" max="13579" width="0.625" style="51" customWidth="1"/>
    <col min="13580" max="13580" width="2.125" style="51" customWidth="1"/>
    <col min="13581" max="13581" width="2.5" style="51" customWidth="1"/>
    <col min="13582" max="13582" width="1.75" style="51" customWidth="1"/>
    <col min="13583" max="13583" width="10.875" style="51" customWidth="1"/>
    <col min="13584" max="13584" width="2.625" style="51" customWidth="1"/>
    <col min="13585" max="13585" width="1.75" style="51" customWidth="1"/>
    <col min="13586" max="13586" width="11.875" style="51" customWidth="1"/>
    <col min="13587" max="13587" width="0.5" style="51" customWidth="1"/>
    <col min="13588" max="13824" width="9" style="51"/>
    <col min="13825" max="13825" width="2.125" style="51" customWidth="1"/>
    <col min="13826" max="13826" width="1.625" style="51" customWidth="1"/>
    <col min="13827" max="13827" width="2.5" style="51" customWidth="1"/>
    <col min="13828" max="13828" width="5.875" style="51" customWidth="1"/>
    <col min="13829" max="13829" width="11.875" style="51" customWidth="1"/>
    <col min="13830" max="13830" width="0.5" style="51" customWidth="1"/>
    <col min="13831" max="13831" width="2.25" style="51" customWidth="1"/>
    <col min="13832" max="13832" width="2.375" style="51" customWidth="1"/>
    <col min="13833" max="13833" width="9.125" style="51" customWidth="1"/>
    <col min="13834" max="13834" width="11.75" style="51" customWidth="1"/>
    <col min="13835" max="13835" width="0.625" style="51" customWidth="1"/>
    <col min="13836" max="13836" width="2.125" style="51" customWidth="1"/>
    <col min="13837" max="13837" width="2.5" style="51" customWidth="1"/>
    <col min="13838" max="13838" width="1.75" style="51" customWidth="1"/>
    <col min="13839" max="13839" width="10.875" style="51" customWidth="1"/>
    <col min="13840" max="13840" width="2.625" style="51" customWidth="1"/>
    <col min="13841" max="13841" width="1.75" style="51" customWidth="1"/>
    <col min="13842" max="13842" width="11.875" style="51" customWidth="1"/>
    <col min="13843" max="13843" width="0.5" style="51" customWidth="1"/>
    <col min="13844" max="14080" width="9" style="51"/>
    <col min="14081" max="14081" width="2.125" style="51" customWidth="1"/>
    <col min="14082" max="14082" width="1.625" style="51" customWidth="1"/>
    <col min="14083" max="14083" width="2.5" style="51" customWidth="1"/>
    <col min="14084" max="14084" width="5.875" style="51" customWidth="1"/>
    <col min="14085" max="14085" width="11.875" style="51" customWidth="1"/>
    <col min="14086" max="14086" width="0.5" style="51" customWidth="1"/>
    <col min="14087" max="14087" width="2.25" style="51" customWidth="1"/>
    <col min="14088" max="14088" width="2.375" style="51" customWidth="1"/>
    <col min="14089" max="14089" width="9.125" style="51" customWidth="1"/>
    <col min="14090" max="14090" width="11.75" style="51" customWidth="1"/>
    <col min="14091" max="14091" width="0.625" style="51" customWidth="1"/>
    <col min="14092" max="14092" width="2.125" style="51" customWidth="1"/>
    <col min="14093" max="14093" width="2.5" style="51" customWidth="1"/>
    <col min="14094" max="14094" width="1.75" style="51" customWidth="1"/>
    <col min="14095" max="14095" width="10.875" style="51" customWidth="1"/>
    <col min="14096" max="14096" width="2.625" style="51" customWidth="1"/>
    <col min="14097" max="14097" width="1.75" style="51" customWidth="1"/>
    <col min="14098" max="14098" width="11.875" style="51" customWidth="1"/>
    <col min="14099" max="14099" width="0.5" style="51" customWidth="1"/>
    <col min="14100" max="14336" width="9" style="51"/>
    <col min="14337" max="14337" width="2.125" style="51" customWidth="1"/>
    <col min="14338" max="14338" width="1.625" style="51" customWidth="1"/>
    <col min="14339" max="14339" width="2.5" style="51" customWidth="1"/>
    <col min="14340" max="14340" width="5.875" style="51" customWidth="1"/>
    <col min="14341" max="14341" width="11.875" style="51" customWidth="1"/>
    <col min="14342" max="14342" width="0.5" style="51" customWidth="1"/>
    <col min="14343" max="14343" width="2.25" style="51" customWidth="1"/>
    <col min="14344" max="14344" width="2.375" style="51" customWidth="1"/>
    <col min="14345" max="14345" width="9.125" style="51" customWidth="1"/>
    <col min="14346" max="14346" width="11.75" style="51" customWidth="1"/>
    <col min="14347" max="14347" width="0.625" style="51" customWidth="1"/>
    <col min="14348" max="14348" width="2.125" style="51" customWidth="1"/>
    <col min="14349" max="14349" width="2.5" style="51" customWidth="1"/>
    <col min="14350" max="14350" width="1.75" style="51" customWidth="1"/>
    <col min="14351" max="14351" width="10.875" style="51" customWidth="1"/>
    <col min="14352" max="14352" width="2.625" style="51" customWidth="1"/>
    <col min="14353" max="14353" width="1.75" style="51" customWidth="1"/>
    <col min="14354" max="14354" width="11.875" style="51" customWidth="1"/>
    <col min="14355" max="14355" width="0.5" style="51" customWidth="1"/>
    <col min="14356" max="14592" width="9" style="51"/>
    <col min="14593" max="14593" width="2.125" style="51" customWidth="1"/>
    <col min="14594" max="14594" width="1.625" style="51" customWidth="1"/>
    <col min="14595" max="14595" width="2.5" style="51" customWidth="1"/>
    <col min="14596" max="14596" width="5.875" style="51" customWidth="1"/>
    <col min="14597" max="14597" width="11.875" style="51" customWidth="1"/>
    <col min="14598" max="14598" width="0.5" style="51" customWidth="1"/>
    <col min="14599" max="14599" width="2.25" style="51" customWidth="1"/>
    <col min="14600" max="14600" width="2.375" style="51" customWidth="1"/>
    <col min="14601" max="14601" width="9.125" style="51" customWidth="1"/>
    <col min="14602" max="14602" width="11.75" style="51" customWidth="1"/>
    <col min="14603" max="14603" width="0.625" style="51" customWidth="1"/>
    <col min="14604" max="14604" width="2.125" style="51" customWidth="1"/>
    <col min="14605" max="14605" width="2.5" style="51" customWidth="1"/>
    <col min="14606" max="14606" width="1.75" style="51" customWidth="1"/>
    <col min="14607" max="14607" width="10.875" style="51" customWidth="1"/>
    <col min="14608" max="14608" width="2.625" style="51" customWidth="1"/>
    <col min="14609" max="14609" width="1.75" style="51" customWidth="1"/>
    <col min="14610" max="14610" width="11.875" style="51" customWidth="1"/>
    <col min="14611" max="14611" width="0.5" style="51" customWidth="1"/>
    <col min="14612" max="14848" width="9" style="51"/>
    <col min="14849" max="14849" width="2.125" style="51" customWidth="1"/>
    <col min="14850" max="14850" width="1.625" style="51" customWidth="1"/>
    <col min="14851" max="14851" width="2.5" style="51" customWidth="1"/>
    <col min="14852" max="14852" width="5.875" style="51" customWidth="1"/>
    <col min="14853" max="14853" width="11.875" style="51" customWidth="1"/>
    <col min="14854" max="14854" width="0.5" style="51" customWidth="1"/>
    <col min="14855" max="14855" width="2.25" style="51" customWidth="1"/>
    <col min="14856" max="14856" width="2.375" style="51" customWidth="1"/>
    <col min="14857" max="14857" width="9.125" style="51" customWidth="1"/>
    <col min="14858" max="14858" width="11.75" style="51" customWidth="1"/>
    <col min="14859" max="14859" width="0.625" style="51" customWidth="1"/>
    <col min="14860" max="14860" width="2.125" style="51" customWidth="1"/>
    <col min="14861" max="14861" width="2.5" style="51" customWidth="1"/>
    <col min="14862" max="14862" width="1.75" style="51" customWidth="1"/>
    <col min="14863" max="14863" width="10.875" style="51" customWidth="1"/>
    <col min="14864" max="14864" width="2.625" style="51" customWidth="1"/>
    <col min="14865" max="14865" width="1.75" style="51" customWidth="1"/>
    <col min="14866" max="14866" width="11.875" style="51" customWidth="1"/>
    <col min="14867" max="14867" width="0.5" style="51" customWidth="1"/>
    <col min="14868" max="15104" width="9" style="51"/>
    <col min="15105" max="15105" width="2.125" style="51" customWidth="1"/>
    <col min="15106" max="15106" width="1.625" style="51" customWidth="1"/>
    <col min="15107" max="15107" width="2.5" style="51" customWidth="1"/>
    <col min="15108" max="15108" width="5.875" style="51" customWidth="1"/>
    <col min="15109" max="15109" width="11.875" style="51" customWidth="1"/>
    <col min="15110" max="15110" width="0.5" style="51" customWidth="1"/>
    <col min="15111" max="15111" width="2.25" style="51" customWidth="1"/>
    <col min="15112" max="15112" width="2.375" style="51" customWidth="1"/>
    <col min="15113" max="15113" width="9.125" style="51" customWidth="1"/>
    <col min="15114" max="15114" width="11.75" style="51" customWidth="1"/>
    <col min="15115" max="15115" width="0.625" style="51" customWidth="1"/>
    <col min="15116" max="15116" width="2.125" style="51" customWidth="1"/>
    <col min="15117" max="15117" width="2.5" style="51" customWidth="1"/>
    <col min="15118" max="15118" width="1.75" style="51" customWidth="1"/>
    <col min="15119" max="15119" width="10.875" style="51" customWidth="1"/>
    <col min="15120" max="15120" width="2.625" style="51" customWidth="1"/>
    <col min="15121" max="15121" width="1.75" style="51" customWidth="1"/>
    <col min="15122" max="15122" width="11.875" style="51" customWidth="1"/>
    <col min="15123" max="15123" width="0.5" style="51" customWidth="1"/>
    <col min="15124" max="15360" width="9" style="51"/>
    <col min="15361" max="15361" width="2.125" style="51" customWidth="1"/>
    <col min="15362" max="15362" width="1.625" style="51" customWidth="1"/>
    <col min="15363" max="15363" width="2.5" style="51" customWidth="1"/>
    <col min="15364" max="15364" width="5.875" style="51" customWidth="1"/>
    <col min="15365" max="15365" width="11.875" style="51" customWidth="1"/>
    <col min="15366" max="15366" width="0.5" style="51" customWidth="1"/>
    <col min="15367" max="15367" width="2.25" style="51" customWidth="1"/>
    <col min="15368" max="15368" width="2.375" style="51" customWidth="1"/>
    <col min="15369" max="15369" width="9.125" style="51" customWidth="1"/>
    <col min="15370" max="15370" width="11.75" style="51" customWidth="1"/>
    <col min="15371" max="15371" width="0.625" style="51" customWidth="1"/>
    <col min="15372" max="15372" width="2.125" style="51" customWidth="1"/>
    <col min="15373" max="15373" width="2.5" style="51" customWidth="1"/>
    <col min="15374" max="15374" width="1.75" style="51" customWidth="1"/>
    <col min="15375" max="15375" width="10.875" style="51" customWidth="1"/>
    <col min="15376" max="15376" width="2.625" style="51" customWidth="1"/>
    <col min="15377" max="15377" width="1.75" style="51" customWidth="1"/>
    <col min="15378" max="15378" width="11.875" style="51" customWidth="1"/>
    <col min="15379" max="15379" width="0.5" style="51" customWidth="1"/>
    <col min="15380" max="15616" width="9" style="51"/>
    <col min="15617" max="15617" width="2.125" style="51" customWidth="1"/>
    <col min="15618" max="15618" width="1.625" style="51" customWidth="1"/>
    <col min="15619" max="15619" width="2.5" style="51" customWidth="1"/>
    <col min="15620" max="15620" width="5.875" style="51" customWidth="1"/>
    <col min="15621" max="15621" width="11.875" style="51" customWidth="1"/>
    <col min="15622" max="15622" width="0.5" style="51" customWidth="1"/>
    <col min="15623" max="15623" width="2.25" style="51" customWidth="1"/>
    <col min="15624" max="15624" width="2.375" style="51" customWidth="1"/>
    <col min="15625" max="15625" width="9.125" style="51" customWidth="1"/>
    <col min="15626" max="15626" width="11.75" style="51" customWidth="1"/>
    <col min="15627" max="15627" width="0.625" style="51" customWidth="1"/>
    <col min="15628" max="15628" width="2.125" style="51" customWidth="1"/>
    <col min="15629" max="15629" width="2.5" style="51" customWidth="1"/>
    <col min="15630" max="15630" width="1.75" style="51" customWidth="1"/>
    <col min="15631" max="15631" width="10.875" style="51" customWidth="1"/>
    <col min="15632" max="15632" width="2.625" style="51" customWidth="1"/>
    <col min="15633" max="15633" width="1.75" style="51" customWidth="1"/>
    <col min="15634" max="15634" width="11.875" style="51" customWidth="1"/>
    <col min="15635" max="15635" width="0.5" style="51" customWidth="1"/>
    <col min="15636" max="15872" width="9" style="51"/>
    <col min="15873" max="15873" width="2.125" style="51" customWidth="1"/>
    <col min="15874" max="15874" width="1.625" style="51" customWidth="1"/>
    <col min="15875" max="15875" width="2.5" style="51" customWidth="1"/>
    <col min="15876" max="15876" width="5.875" style="51" customWidth="1"/>
    <col min="15877" max="15877" width="11.875" style="51" customWidth="1"/>
    <col min="15878" max="15878" width="0.5" style="51" customWidth="1"/>
    <col min="15879" max="15879" width="2.25" style="51" customWidth="1"/>
    <col min="15880" max="15880" width="2.375" style="51" customWidth="1"/>
    <col min="15881" max="15881" width="9.125" style="51" customWidth="1"/>
    <col min="15882" max="15882" width="11.75" style="51" customWidth="1"/>
    <col min="15883" max="15883" width="0.625" style="51" customWidth="1"/>
    <col min="15884" max="15884" width="2.125" style="51" customWidth="1"/>
    <col min="15885" max="15885" width="2.5" style="51" customWidth="1"/>
    <col min="15886" max="15886" width="1.75" style="51" customWidth="1"/>
    <col min="15887" max="15887" width="10.875" style="51" customWidth="1"/>
    <col min="15888" max="15888" width="2.625" style="51" customWidth="1"/>
    <col min="15889" max="15889" width="1.75" style="51" customWidth="1"/>
    <col min="15890" max="15890" width="11.875" style="51" customWidth="1"/>
    <col min="15891" max="15891" width="0.5" style="51" customWidth="1"/>
    <col min="15892" max="16128" width="9" style="51"/>
    <col min="16129" max="16129" width="2.125" style="51" customWidth="1"/>
    <col min="16130" max="16130" width="1.625" style="51" customWidth="1"/>
    <col min="16131" max="16131" width="2.5" style="51" customWidth="1"/>
    <col min="16132" max="16132" width="5.875" style="51" customWidth="1"/>
    <col min="16133" max="16133" width="11.875" style="51" customWidth="1"/>
    <col min="16134" max="16134" width="0.5" style="51" customWidth="1"/>
    <col min="16135" max="16135" width="2.25" style="51" customWidth="1"/>
    <col min="16136" max="16136" width="2.375" style="51" customWidth="1"/>
    <col min="16137" max="16137" width="9.125" style="51" customWidth="1"/>
    <col min="16138" max="16138" width="11.75" style="51" customWidth="1"/>
    <col min="16139" max="16139" width="0.625" style="51" customWidth="1"/>
    <col min="16140" max="16140" width="2.125" style="51" customWidth="1"/>
    <col min="16141" max="16141" width="2.5" style="51" customWidth="1"/>
    <col min="16142" max="16142" width="1.75" style="51" customWidth="1"/>
    <col min="16143" max="16143" width="10.875" style="51" customWidth="1"/>
    <col min="16144" max="16144" width="2.625" style="51" customWidth="1"/>
    <col min="16145" max="16145" width="1.75" style="51" customWidth="1"/>
    <col min="16146" max="16146" width="11.875" style="51" customWidth="1"/>
    <col min="16147" max="16147" width="0.5" style="51" customWidth="1"/>
    <col min="16148" max="16384" width="9" style="51"/>
  </cols>
  <sheetData>
    <row r="1" spans="1:19" ht="12.75" hidden="1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23.25" customHeight="1" x14ac:dyDescent="0.35">
      <c r="A2" s="48"/>
      <c r="B2" s="49"/>
      <c r="C2" s="49"/>
      <c r="D2" s="49"/>
      <c r="E2" s="49"/>
      <c r="F2" s="49"/>
      <c r="G2" s="52" t="s">
        <v>289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</row>
    <row r="3" spans="1:19" ht="12" hidden="1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</row>
    <row r="4" spans="1:19" ht="8.25" customHeight="1" x14ac:dyDescent="0.2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24" customHeight="1" x14ac:dyDescent="0.2">
      <c r="A5" s="59"/>
      <c r="B5" s="60" t="s">
        <v>290</v>
      </c>
      <c r="C5" s="60"/>
      <c r="D5" s="60"/>
      <c r="E5" s="342" t="s">
        <v>363</v>
      </c>
      <c r="F5" s="343"/>
      <c r="G5" s="343"/>
      <c r="H5" s="343"/>
      <c r="I5" s="343"/>
      <c r="J5" s="344"/>
      <c r="K5" s="60"/>
      <c r="L5" s="60"/>
      <c r="M5" s="60"/>
      <c r="N5" s="60"/>
      <c r="O5" s="60" t="s">
        <v>291</v>
      </c>
      <c r="P5" s="61" t="s">
        <v>292</v>
      </c>
      <c r="Q5" s="62"/>
      <c r="R5" s="63"/>
      <c r="S5" s="64"/>
    </row>
    <row r="6" spans="1:19" ht="17.25" hidden="1" customHeight="1" x14ac:dyDescent="0.2">
      <c r="A6" s="59"/>
      <c r="B6" s="60" t="s">
        <v>293</v>
      </c>
      <c r="C6" s="60"/>
      <c r="D6" s="60"/>
      <c r="E6" s="65" t="s">
        <v>294</v>
      </c>
      <c r="F6" s="66"/>
      <c r="G6" s="66"/>
      <c r="H6" s="66"/>
      <c r="I6" s="66"/>
      <c r="J6" s="67"/>
      <c r="K6" s="60"/>
      <c r="L6" s="60"/>
      <c r="M6" s="60"/>
      <c r="N6" s="60"/>
      <c r="O6" s="60"/>
      <c r="P6" s="68"/>
      <c r="Q6" s="69"/>
      <c r="R6" s="67"/>
      <c r="S6" s="64"/>
    </row>
    <row r="7" spans="1:19" ht="24" customHeight="1" x14ac:dyDescent="0.2">
      <c r="A7" s="59"/>
      <c r="B7" s="60" t="s">
        <v>295</v>
      </c>
      <c r="C7" s="60"/>
      <c r="D7" s="60"/>
      <c r="E7" s="345" t="s">
        <v>363</v>
      </c>
      <c r="F7" s="346"/>
      <c r="G7" s="346"/>
      <c r="H7" s="346"/>
      <c r="I7" s="346"/>
      <c r="J7" s="347"/>
      <c r="K7" s="60"/>
      <c r="L7" s="60"/>
      <c r="M7" s="60"/>
      <c r="N7" s="60"/>
      <c r="O7" s="60" t="s">
        <v>296</v>
      </c>
      <c r="P7" s="68" t="s">
        <v>297</v>
      </c>
      <c r="Q7" s="69"/>
      <c r="R7" s="67"/>
      <c r="S7" s="64"/>
    </row>
    <row r="8" spans="1:19" ht="17.25" hidden="1" customHeight="1" x14ac:dyDescent="0.2">
      <c r="A8" s="59"/>
      <c r="B8" s="60" t="s">
        <v>298</v>
      </c>
      <c r="C8" s="60"/>
      <c r="D8" s="60"/>
      <c r="E8" s="65" t="s">
        <v>299</v>
      </c>
      <c r="F8" s="60"/>
      <c r="G8" s="60"/>
      <c r="H8" s="60"/>
      <c r="I8" s="60"/>
      <c r="J8" s="67"/>
      <c r="K8" s="60"/>
      <c r="L8" s="60"/>
      <c r="M8" s="60"/>
      <c r="N8" s="60"/>
      <c r="O8" s="60"/>
      <c r="P8" s="68"/>
      <c r="Q8" s="69"/>
      <c r="R8" s="67"/>
      <c r="S8" s="64"/>
    </row>
    <row r="9" spans="1:19" ht="24" customHeight="1" x14ac:dyDescent="0.2">
      <c r="A9" s="59"/>
      <c r="B9" s="60" t="s">
        <v>300</v>
      </c>
      <c r="C9" s="60"/>
      <c r="D9" s="60"/>
      <c r="E9" s="348" t="s">
        <v>292</v>
      </c>
      <c r="F9" s="349"/>
      <c r="G9" s="349"/>
      <c r="H9" s="349"/>
      <c r="I9" s="349"/>
      <c r="J9" s="350"/>
      <c r="K9" s="60"/>
      <c r="L9" s="60"/>
      <c r="M9" s="60"/>
      <c r="N9" s="60"/>
      <c r="O9" s="60" t="s">
        <v>301</v>
      </c>
      <c r="P9" s="351" t="s">
        <v>364</v>
      </c>
      <c r="Q9" s="352"/>
      <c r="R9" s="353"/>
      <c r="S9" s="64"/>
    </row>
    <row r="10" spans="1:19" ht="17.25" hidden="1" customHeight="1" x14ac:dyDescent="0.2">
      <c r="A10" s="59"/>
      <c r="B10" s="60" t="s">
        <v>302</v>
      </c>
      <c r="C10" s="60"/>
      <c r="D10" s="60"/>
      <c r="E10" s="70" t="s">
        <v>292</v>
      </c>
      <c r="F10" s="66"/>
      <c r="G10" s="66"/>
      <c r="H10" s="66"/>
      <c r="I10" s="66"/>
      <c r="J10" s="66"/>
      <c r="K10" s="60"/>
      <c r="L10" s="60"/>
      <c r="M10" s="60"/>
      <c r="N10" s="60"/>
      <c r="O10" s="60"/>
      <c r="P10" s="69"/>
      <c r="Q10" s="69"/>
      <c r="R10" s="66"/>
      <c r="S10" s="64"/>
    </row>
    <row r="11" spans="1:19" ht="17.25" hidden="1" customHeight="1" x14ac:dyDescent="0.2">
      <c r="A11" s="59"/>
      <c r="B11" s="60" t="s">
        <v>303</v>
      </c>
      <c r="C11" s="60"/>
      <c r="D11" s="60"/>
      <c r="E11" s="70" t="s">
        <v>292</v>
      </c>
      <c r="F11" s="66"/>
      <c r="G11" s="66"/>
      <c r="H11" s="66"/>
      <c r="I11" s="66"/>
      <c r="J11" s="66"/>
      <c r="K11" s="60"/>
      <c r="L11" s="60"/>
      <c r="M11" s="60"/>
      <c r="N11" s="60"/>
      <c r="O11" s="60"/>
      <c r="P11" s="69"/>
      <c r="Q11" s="69"/>
      <c r="R11" s="66"/>
      <c r="S11" s="64"/>
    </row>
    <row r="12" spans="1:19" ht="17.25" hidden="1" customHeight="1" x14ac:dyDescent="0.2">
      <c r="A12" s="59"/>
      <c r="B12" s="60" t="s">
        <v>304</v>
      </c>
      <c r="C12" s="60"/>
      <c r="D12" s="60"/>
      <c r="E12" s="70" t="s">
        <v>292</v>
      </c>
      <c r="F12" s="66"/>
      <c r="G12" s="66"/>
      <c r="H12" s="66"/>
      <c r="I12" s="66"/>
      <c r="J12" s="66"/>
      <c r="K12" s="60"/>
      <c r="L12" s="60"/>
      <c r="M12" s="60"/>
      <c r="N12" s="60"/>
      <c r="O12" s="60"/>
      <c r="P12" s="69"/>
      <c r="Q12" s="69"/>
      <c r="R12" s="66"/>
      <c r="S12" s="64"/>
    </row>
    <row r="13" spans="1:19" ht="17.25" hidden="1" customHeight="1" x14ac:dyDescent="0.2">
      <c r="A13" s="59"/>
      <c r="B13" s="60"/>
      <c r="C13" s="60"/>
      <c r="D13" s="60"/>
      <c r="E13" s="70" t="s">
        <v>292</v>
      </c>
      <c r="F13" s="66"/>
      <c r="G13" s="66"/>
      <c r="H13" s="66"/>
      <c r="I13" s="66"/>
      <c r="J13" s="66"/>
      <c r="K13" s="60"/>
      <c r="L13" s="60"/>
      <c r="M13" s="60"/>
      <c r="N13" s="60"/>
      <c r="O13" s="60"/>
      <c r="P13" s="69"/>
      <c r="Q13" s="69"/>
      <c r="R13" s="66"/>
      <c r="S13" s="64"/>
    </row>
    <row r="14" spans="1:19" ht="17.25" hidden="1" customHeight="1" x14ac:dyDescent="0.2">
      <c r="A14" s="59"/>
      <c r="B14" s="60"/>
      <c r="C14" s="60"/>
      <c r="D14" s="60"/>
      <c r="E14" s="70" t="s">
        <v>292</v>
      </c>
      <c r="F14" s="66"/>
      <c r="G14" s="66"/>
      <c r="H14" s="66"/>
      <c r="I14" s="66"/>
      <c r="J14" s="66"/>
      <c r="K14" s="60"/>
      <c r="L14" s="60"/>
      <c r="M14" s="60"/>
      <c r="N14" s="60"/>
      <c r="O14" s="60"/>
      <c r="P14" s="69"/>
      <c r="Q14" s="69"/>
      <c r="R14" s="66"/>
      <c r="S14" s="64"/>
    </row>
    <row r="15" spans="1:19" ht="17.25" hidden="1" customHeight="1" x14ac:dyDescent="0.2">
      <c r="A15" s="59"/>
      <c r="B15" s="60"/>
      <c r="C15" s="60"/>
      <c r="D15" s="60"/>
      <c r="E15" s="70" t="s">
        <v>292</v>
      </c>
      <c r="F15" s="66"/>
      <c r="G15" s="66"/>
      <c r="H15" s="66"/>
      <c r="I15" s="66"/>
      <c r="J15" s="66"/>
      <c r="K15" s="60"/>
      <c r="L15" s="60"/>
      <c r="M15" s="60"/>
      <c r="N15" s="60"/>
      <c r="O15" s="60"/>
      <c r="P15" s="69"/>
      <c r="Q15" s="69"/>
      <c r="R15" s="66"/>
      <c r="S15" s="64"/>
    </row>
    <row r="16" spans="1:19" ht="17.25" hidden="1" customHeight="1" x14ac:dyDescent="0.2">
      <c r="A16" s="59"/>
      <c r="B16" s="60"/>
      <c r="C16" s="60"/>
      <c r="D16" s="60"/>
      <c r="E16" s="70" t="s">
        <v>292</v>
      </c>
      <c r="F16" s="66"/>
      <c r="G16" s="66"/>
      <c r="H16" s="66"/>
      <c r="I16" s="66"/>
      <c r="J16" s="66"/>
      <c r="K16" s="60"/>
      <c r="L16" s="60"/>
      <c r="M16" s="60"/>
      <c r="N16" s="60"/>
      <c r="O16" s="60"/>
      <c r="P16" s="69"/>
      <c r="Q16" s="69"/>
      <c r="R16" s="66"/>
      <c r="S16" s="64"/>
    </row>
    <row r="17" spans="1:19" ht="17.25" hidden="1" customHeight="1" x14ac:dyDescent="0.2">
      <c r="A17" s="59"/>
      <c r="B17" s="60"/>
      <c r="C17" s="60"/>
      <c r="D17" s="60"/>
      <c r="E17" s="70" t="s">
        <v>292</v>
      </c>
      <c r="F17" s="66"/>
      <c r="G17" s="66"/>
      <c r="H17" s="66"/>
      <c r="I17" s="66"/>
      <c r="J17" s="66"/>
      <c r="K17" s="60"/>
      <c r="L17" s="60"/>
      <c r="M17" s="60"/>
      <c r="N17" s="60"/>
      <c r="O17" s="60"/>
      <c r="P17" s="69"/>
      <c r="Q17" s="69"/>
      <c r="R17" s="66"/>
      <c r="S17" s="64"/>
    </row>
    <row r="18" spans="1:19" ht="17.25" hidden="1" customHeight="1" x14ac:dyDescent="0.2">
      <c r="A18" s="59"/>
      <c r="B18" s="60"/>
      <c r="C18" s="60"/>
      <c r="D18" s="60"/>
      <c r="E18" s="70" t="s">
        <v>292</v>
      </c>
      <c r="F18" s="66"/>
      <c r="G18" s="66"/>
      <c r="H18" s="66"/>
      <c r="I18" s="66"/>
      <c r="J18" s="66"/>
      <c r="K18" s="60"/>
      <c r="L18" s="60"/>
      <c r="M18" s="60"/>
      <c r="N18" s="60"/>
      <c r="O18" s="60"/>
      <c r="P18" s="69"/>
      <c r="Q18" s="69"/>
      <c r="R18" s="66"/>
      <c r="S18" s="64"/>
    </row>
    <row r="19" spans="1:19" ht="17.25" hidden="1" customHeight="1" x14ac:dyDescent="0.2">
      <c r="A19" s="59"/>
      <c r="B19" s="60"/>
      <c r="C19" s="60"/>
      <c r="D19" s="60"/>
      <c r="E19" s="70" t="s">
        <v>292</v>
      </c>
      <c r="F19" s="66"/>
      <c r="G19" s="66"/>
      <c r="H19" s="66"/>
      <c r="I19" s="66"/>
      <c r="J19" s="66"/>
      <c r="K19" s="60"/>
      <c r="L19" s="60"/>
      <c r="M19" s="60"/>
      <c r="N19" s="60"/>
      <c r="O19" s="60"/>
      <c r="P19" s="69"/>
      <c r="Q19" s="69"/>
      <c r="R19" s="66"/>
      <c r="S19" s="64"/>
    </row>
    <row r="20" spans="1:19" ht="17.25" hidden="1" customHeight="1" x14ac:dyDescent="0.2">
      <c r="A20" s="59"/>
      <c r="B20" s="60"/>
      <c r="C20" s="60"/>
      <c r="D20" s="60"/>
      <c r="E20" s="70" t="s">
        <v>292</v>
      </c>
      <c r="F20" s="66"/>
      <c r="G20" s="66"/>
      <c r="H20" s="66"/>
      <c r="I20" s="66"/>
      <c r="J20" s="66"/>
      <c r="K20" s="60"/>
      <c r="L20" s="60"/>
      <c r="M20" s="60"/>
      <c r="N20" s="60"/>
      <c r="O20" s="60"/>
      <c r="P20" s="69"/>
      <c r="Q20" s="69"/>
      <c r="R20" s="66"/>
      <c r="S20" s="64"/>
    </row>
    <row r="21" spans="1:19" ht="17.25" hidden="1" customHeight="1" x14ac:dyDescent="0.2">
      <c r="A21" s="59"/>
      <c r="B21" s="60"/>
      <c r="C21" s="60"/>
      <c r="D21" s="60"/>
      <c r="E21" s="70" t="s">
        <v>292</v>
      </c>
      <c r="F21" s="66"/>
      <c r="G21" s="66"/>
      <c r="H21" s="66"/>
      <c r="I21" s="66"/>
      <c r="J21" s="66"/>
      <c r="K21" s="60"/>
      <c r="L21" s="60"/>
      <c r="M21" s="60"/>
      <c r="N21" s="60"/>
      <c r="O21" s="60"/>
      <c r="P21" s="69"/>
      <c r="Q21" s="69"/>
      <c r="R21" s="66"/>
      <c r="S21" s="64"/>
    </row>
    <row r="22" spans="1:19" ht="17.25" hidden="1" customHeight="1" x14ac:dyDescent="0.2">
      <c r="A22" s="59"/>
      <c r="B22" s="60"/>
      <c r="C22" s="60"/>
      <c r="D22" s="60"/>
      <c r="E22" s="70" t="s">
        <v>292</v>
      </c>
      <c r="F22" s="66"/>
      <c r="G22" s="66"/>
      <c r="H22" s="66"/>
      <c r="I22" s="66"/>
      <c r="J22" s="66"/>
      <c r="K22" s="60"/>
      <c r="L22" s="60"/>
      <c r="M22" s="60"/>
      <c r="N22" s="60"/>
      <c r="O22" s="60"/>
      <c r="P22" s="69"/>
      <c r="Q22" s="69"/>
      <c r="R22" s="66"/>
      <c r="S22" s="64"/>
    </row>
    <row r="23" spans="1:19" ht="17.25" hidden="1" customHeight="1" x14ac:dyDescent="0.2">
      <c r="A23" s="59"/>
      <c r="B23" s="60"/>
      <c r="C23" s="60"/>
      <c r="D23" s="60"/>
      <c r="E23" s="70" t="s">
        <v>292</v>
      </c>
      <c r="F23" s="66"/>
      <c r="G23" s="66"/>
      <c r="H23" s="66"/>
      <c r="I23" s="66"/>
      <c r="J23" s="66"/>
      <c r="K23" s="60"/>
      <c r="L23" s="60"/>
      <c r="M23" s="60"/>
      <c r="N23" s="60"/>
      <c r="O23" s="60"/>
      <c r="P23" s="69"/>
      <c r="Q23" s="69"/>
      <c r="R23" s="66"/>
      <c r="S23" s="64"/>
    </row>
    <row r="24" spans="1:19" ht="17.25" hidden="1" customHeight="1" x14ac:dyDescent="0.2">
      <c r="A24" s="59"/>
      <c r="B24" s="60"/>
      <c r="C24" s="60"/>
      <c r="D24" s="60"/>
      <c r="E24" s="70" t="s">
        <v>292</v>
      </c>
      <c r="F24" s="66"/>
      <c r="G24" s="66"/>
      <c r="H24" s="66"/>
      <c r="I24" s="66"/>
      <c r="J24" s="66"/>
      <c r="K24" s="60"/>
      <c r="L24" s="60"/>
      <c r="M24" s="60"/>
      <c r="N24" s="60"/>
      <c r="O24" s="60"/>
      <c r="P24" s="69"/>
      <c r="Q24" s="69"/>
      <c r="R24" s="66"/>
      <c r="S24" s="64"/>
    </row>
    <row r="25" spans="1:19" ht="17.25" customHeight="1" x14ac:dyDescent="0.2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 t="s">
        <v>305</v>
      </c>
      <c r="P25" s="60" t="s">
        <v>306</v>
      </c>
      <c r="Q25" s="60"/>
      <c r="R25" s="60"/>
      <c r="S25" s="64"/>
    </row>
    <row r="26" spans="1:19" ht="17.850000000000001" customHeight="1" x14ac:dyDescent="0.2">
      <c r="A26" s="59"/>
      <c r="B26" s="60" t="s">
        <v>307</v>
      </c>
      <c r="C26" s="60"/>
      <c r="D26" s="60"/>
      <c r="E26" s="61" t="str">
        <f>Rekapitulácia!B7</f>
        <v>Mesto Košice</v>
      </c>
      <c r="F26" s="71"/>
      <c r="G26" s="71"/>
      <c r="H26" s="71"/>
      <c r="I26" s="71"/>
      <c r="J26" s="63"/>
      <c r="K26" s="60"/>
      <c r="L26" s="60"/>
      <c r="M26" s="60"/>
      <c r="N26" s="60"/>
      <c r="O26" s="72" t="s">
        <v>297</v>
      </c>
      <c r="P26" s="73" t="s">
        <v>297</v>
      </c>
      <c r="Q26" s="74"/>
      <c r="R26" s="75"/>
      <c r="S26" s="64"/>
    </row>
    <row r="27" spans="1:19" ht="17.850000000000001" customHeight="1" x14ac:dyDescent="0.2">
      <c r="A27" s="59"/>
      <c r="B27" s="60" t="s">
        <v>308</v>
      </c>
      <c r="C27" s="60"/>
      <c r="D27" s="60"/>
      <c r="E27" s="68" t="s">
        <v>442</v>
      </c>
      <c r="F27" s="60"/>
      <c r="G27" s="60"/>
      <c r="H27" s="60"/>
      <c r="I27" s="60"/>
      <c r="J27" s="67"/>
      <c r="K27" s="60"/>
      <c r="L27" s="60"/>
      <c r="M27" s="60"/>
      <c r="N27" s="60"/>
      <c r="O27" s="72" t="s">
        <v>297</v>
      </c>
      <c r="P27" s="73" t="s">
        <v>297</v>
      </c>
      <c r="Q27" s="74"/>
      <c r="R27" s="75"/>
      <c r="S27" s="64"/>
    </row>
    <row r="28" spans="1:19" ht="17.850000000000001" customHeight="1" x14ac:dyDescent="0.2">
      <c r="A28" s="59"/>
      <c r="B28" s="60" t="s">
        <v>309</v>
      </c>
      <c r="C28" s="60"/>
      <c r="D28" s="60"/>
      <c r="E28" s="68" t="s">
        <v>292</v>
      </c>
      <c r="F28" s="60"/>
      <c r="G28" s="60"/>
      <c r="H28" s="60"/>
      <c r="I28" s="60"/>
      <c r="J28" s="67"/>
      <c r="K28" s="60"/>
      <c r="L28" s="60"/>
      <c r="M28" s="60"/>
      <c r="N28" s="60"/>
      <c r="O28" s="72" t="s">
        <v>297</v>
      </c>
      <c r="P28" s="73" t="s">
        <v>297</v>
      </c>
      <c r="Q28" s="74"/>
      <c r="R28" s="75"/>
      <c r="S28" s="64"/>
    </row>
    <row r="29" spans="1:19" ht="17.850000000000001" customHeight="1" x14ac:dyDescent="0.2">
      <c r="A29" s="59"/>
      <c r="B29" s="60"/>
      <c r="C29" s="60"/>
      <c r="D29" s="60"/>
      <c r="E29" s="76" t="s">
        <v>297</v>
      </c>
      <c r="F29" s="77"/>
      <c r="G29" s="77"/>
      <c r="H29" s="77"/>
      <c r="I29" s="77"/>
      <c r="J29" s="78"/>
      <c r="K29" s="60"/>
      <c r="L29" s="60"/>
      <c r="M29" s="60"/>
      <c r="N29" s="60"/>
      <c r="O29" s="79"/>
      <c r="P29" s="79"/>
      <c r="Q29" s="79"/>
      <c r="R29" s="60"/>
      <c r="S29" s="64"/>
    </row>
    <row r="30" spans="1:19" ht="17.850000000000001" customHeight="1" x14ac:dyDescent="0.2">
      <c r="A30" s="59"/>
      <c r="B30" s="60"/>
      <c r="C30" s="60"/>
      <c r="D30" s="60"/>
      <c r="E30" s="79" t="s">
        <v>310</v>
      </c>
      <c r="F30" s="60"/>
      <c r="G30" s="60" t="s">
        <v>311</v>
      </c>
      <c r="H30" s="60"/>
      <c r="I30" s="60"/>
      <c r="J30" s="60"/>
      <c r="K30" s="60"/>
      <c r="L30" s="60"/>
      <c r="M30" s="60"/>
      <c r="N30" s="60"/>
      <c r="O30" s="79" t="s">
        <v>312</v>
      </c>
      <c r="P30" s="79"/>
      <c r="Q30" s="79"/>
      <c r="R30" s="80"/>
      <c r="S30" s="64"/>
    </row>
    <row r="31" spans="1:19" ht="17.850000000000001" customHeight="1" x14ac:dyDescent="0.2">
      <c r="A31" s="59"/>
      <c r="B31" s="60"/>
      <c r="C31" s="60"/>
      <c r="D31" s="60"/>
      <c r="E31" s="72" t="s">
        <v>297</v>
      </c>
      <c r="F31" s="60"/>
      <c r="G31" s="73"/>
      <c r="H31" s="81"/>
      <c r="I31" s="82"/>
      <c r="J31" s="60"/>
      <c r="K31" s="60"/>
      <c r="L31" s="60"/>
      <c r="M31" s="60"/>
      <c r="N31" s="60"/>
      <c r="O31" s="83"/>
      <c r="P31" s="79"/>
      <c r="Q31" s="79"/>
      <c r="R31" s="84"/>
      <c r="S31" s="64"/>
    </row>
    <row r="32" spans="1:19" ht="8.25" customHeight="1" x14ac:dyDescent="0.2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7"/>
    </row>
    <row r="33" spans="1:19" ht="20.25" customHeight="1" x14ac:dyDescent="0.2">
      <c r="A33" s="88"/>
      <c r="B33" s="89"/>
      <c r="C33" s="89"/>
      <c r="D33" s="89"/>
      <c r="E33" s="90" t="s">
        <v>313</v>
      </c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1"/>
    </row>
    <row r="34" spans="1:19" ht="20.25" customHeight="1" x14ac:dyDescent="0.2">
      <c r="A34" s="92" t="s">
        <v>314</v>
      </c>
      <c r="B34" s="93"/>
      <c r="C34" s="93"/>
      <c r="D34" s="94"/>
      <c r="E34" s="95" t="s">
        <v>315</v>
      </c>
      <c r="F34" s="94"/>
      <c r="G34" s="95" t="s">
        <v>316</v>
      </c>
      <c r="H34" s="93"/>
      <c r="I34" s="94"/>
      <c r="J34" s="95" t="s">
        <v>317</v>
      </c>
      <c r="K34" s="93"/>
      <c r="L34" s="95" t="s">
        <v>318</v>
      </c>
      <c r="M34" s="93"/>
      <c r="N34" s="93"/>
      <c r="O34" s="94"/>
      <c r="P34" s="95" t="s">
        <v>319</v>
      </c>
      <c r="Q34" s="93"/>
      <c r="R34" s="93"/>
      <c r="S34" s="96"/>
    </row>
    <row r="35" spans="1:19" ht="20.25" customHeight="1" x14ac:dyDescent="0.2">
      <c r="A35" s="97"/>
      <c r="B35" s="98"/>
      <c r="C35" s="98"/>
      <c r="D35" s="99">
        <v>0</v>
      </c>
      <c r="E35" s="100">
        <f>IF(D35=0,0,R47/D35)</f>
        <v>0</v>
      </c>
      <c r="F35" s="101"/>
      <c r="G35" s="102"/>
      <c r="H35" s="98"/>
      <c r="I35" s="99">
        <v>0</v>
      </c>
      <c r="J35" s="100">
        <f>IF(I35=0,0,R47/I35)</f>
        <v>0</v>
      </c>
      <c r="K35" s="103"/>
      <c r="L35" s="102"/>
      <c r="M35" s="98"/>
      <c r="N35" s="98"/>
      <c r="O35" s="99">
        <v>0</v>
      </c>
      <c r="P35" s="102"/>
      <c r="Q35" s="98"/>
      <c r="R35" s="104">
        <f>IF(O35=0,0,R47/O35)</f>
        <v>0</v>
      </c>
      <c r="S35" s="105"/>
    </row>
    <row r="36" spans="1:19" ht="20.25" customHeight="1" x14ac:dyDescent="0.2">
      <c r="A36" s="88"/>
      <c r="B36" s="89"/>
      <c r="C36" s="89"/>
      <c r="D36" s="89"/>
      <c r="E36" s="90" t="s">
        <v>320</v>
      </c>
      <c r="F36" s="89"/>
      <c r="G36" s="89"/>
      <c r="H36" s="89"/>
      <c r="I36" s="89"/>
      <c r="J36" s="106" t="s">
        <v>321</v>
      </c>
      <c r="K36" s="89"/>
      <c r="L36" s="89"/>
      <c r="M36" s="89"/>
      <c r="N36" s="89"/>
      <c r="O36" s="89"/>
      <c r="P36" s="89"/>
      <c r="Q36" s="89"/>
      <c r="R36" s="89"/>
      <c r="S36" s="91"/>
    </row>
    <row r="37" spans="1:19" ht="20.25" customHeight="1" x14ac:dyDescent="0.2">
      <c r="A37" s="107" t="s">
        <v>322</v>
      </c>
      <c r="B37" s="108"/>
      <c r="C37" s="109" t="s">
        <v>323</v>
      </c>
      <c r="D37" s="110"/>
      <c r="E37" s="110"/>
      <c r="F37" s="111"/>
      <c r="G37" s="107" t="s">
        <v>324</v>
      </c>
      <c r="H37" s="112"/>
      <c r="I37" s="109" t="s">
        <v>325</v>
      </c>
      <c r="J37" s="110"/>
      <c r="K37" s="110"/>
      <c r="L37" s="107" t="s">
        <v>326</v>
      </c>
      <c r="M37" s="112"/>
      <c r="N37" s="109" t="s">
        <v>327</v>
      </c>
      <c r="O37" s="110"/>
      <c r="P37" s="110"/>
      <c r="Q37" s="110"/>
      <c r="R37" s="110"/>
      <c r="S37" s="111"/>
    </row>
    <row r="38" spans="1:19" ht="20.25" customHeight="1" x14ac:dyDescent="0.2">
      <c r="A38" s="113">
        <v>1</v>
      </c>
      <c r="B38" s="114" t="s">
        <v>328</v>
      </c>
      <c r="C38" s="63"/>
      <c r="D38" s="115" t="s">
        <v>329</v>
      </c>
      <c r="E38" s="116">
        <f>Rekapitulácia!C16</f>
        <v>0</v>
      </c>
      <c r="F38" s="117"/>
      <c r="G38" s="113">
        <v>8</v>
      </c>
      <c r="H38" s="118" t="s">
        <v>330</v>
      </c>
      <c r="I38" s="75"/>
      <c r="J38" s="119">
        <v>0</v>
      </c>
      <c r="K38" s="120"/>
      <c r="L38" s="113">
        <v>13</v>
      </c>
      <c r="M38" s="73" t="s">
        <v>331</v>
      </c>
      <c r="N38" s="81"/>
      <c r="O38" s="81"/>
      <c r="P38" s="121" t="str">
        <f>M48</f>
        <v>20</v>
      </c>
      <c r="Q38" s="122" t="s">
        <v>332</v>
      </c>
      <c r="R38" s="116">
        <v>0</v>
      </c>
      <c r="S38" s="123"/>
    </row>
    <row r="39" spans="1:19" ht="20.25" customHeight="1" x14ac:dyDescent="0.2">
      <c r="A39" s="113">
        <v>2</v>
      </c>
      <c r="B39" s="124"/>
      <c r="C39" s="78"/>
      <c r="D39" s="115" t="s">
        <v>333</v>
      </c>
      <c r="E39" s="116">
        <v>0</v>
      </c>
      <c r="F39" s="117"/>
      <c r="G39" s="113">
        <v>9</v>
      </c>
      <c r="H39" s="60" t="s">
        <v>334</v>
      </c>
      <c r="I39" s="115"/>
      <c r="J39" s="119">
        <v>0</v>
      </c>
      <c r="K39" s="120"/>
      <c r="L39" s="113">
        <v>14</v>
      </c>
      <c r="M39" s="73" t="s">
        <v>335</v>
      </c>
      <c r="N39" s="81"/>
      <c r="O39" s="81"/>
      <c r="P39" s="121" t="str">
        <f>M48</f>
        <v>20</v>
      </c>
      <c r="Q39" s="122" t="s">
        <v>332</v>
      </c>
      <c r="R39" s="116">
        <v>0</v>
      </c>
      <c r="S39" s="123"/>
    </row>
    <row r="40" spans="1:19" ht="20.25" customHeight="1" x14ac:dyDescent="0.2">
      <c r="A40" s="113">
        <v>3</v>
      </c>
      <c r="B40" s="114" t="s">
        <v>336</v>
      </c>
      <c r="C40" s="63"/>
      <c r="D40" s="115" t="s">
        <v>329</v>
      </c>
      <c r="E40" s="116">
        <v>0</v>
      </c>
      <c r="F40" s="117"/>
      <c r="G40" s="113">
        <v>10</v>
      </c>
      <c r="H40" s="118" t="s">
        <v>337</v>
      </c>
      <c r="I40" s="75"/>
      <c r="J40" s="119">
        <v>0</v>
      </c>
      <c r="K40" s="120"/>
      <c r="L40" s="113">
        <v>15</v>
      </c>
      <c r="M40" s="73" t="s">
        <v>338</v>
      </c>
      <c r="N40" s="81"/>
      <c r="O40" s="81"/>
      <c r="P40" s="121" t="str">
        <f>M48</f>
        <v>20</v>
      </c>
      <c r="Q40" s="122" t="s">
        <v>332</v>
      </c>
      <c r="R40" s="116">
        <v>0</v>
      </c>
      <c r="S40" s="123"/>
    </row>
    <row r="41" spans="1:19" ht="20.25" customHeight="1" x14ac:dyDescent="0.2">
      <c r="A41" s="113">
        <v>4</v>
      </c>
      <c r="B41" s="124"/>
      <c r="C41" s="78"/>
      <c r="D41" s="115" t="s">
        <v>333</v>
      </c>
      <c r="E41" s="116">
        <v>0</v>
      </c>
      <c r="F41" s="117"/>
      <c r="G41" s="113">
        <v>11</v>
      </c>
      <c r="H41" s="118"/>
      <c r="I41" s="75"/>
      <c r="J41" s="119">
        <v>0</v>
      </c>
      <c r="K41" s="120"/>
      <c r="L41" s="113">
        <v>16</v>
      </c>
      <c r="M41" s="73" t="s">
        <v>339</v>
      </c>
      <c r="N41" s="81"/>
      <c r="O41" s="81"/>
      <c r="P41" s="121" t="str">
        <f>M48</f>
        <v>20</v>
      </c>
      <c r="Q41" s="122" t="s">
        <v>332</v>
      </c>
      <c r="R41" s="116">
        <v>0</v>
      </c>
      <c r="S41" s="123"/>
    </row>
    <row r="42" spans="1:19" ht="20.25" customHeight="1" x14ac:dyDescent="0.2">
      <c r="A42" s="113">
        <v>5</v>
      </c>
      <c r="B42" s="114" t="s">
        <v>340</v>
      </c>
      <c r="C42" s="63"/>
      <c r="D42" s="115" t="s">
        <v>329</v>
      </c>
      <c r="E42" s="116">
        <v>0</v>
      </c>
      <c r="F42" s="117"/>
      <c r="G42" s="125"/>
      <c r="H42" s="81"/>
      <c r="I42" s="75"/>
      <c r="J42" s="126"/>
      <c r="K42" s="120"/>
      <c r="L42" s="113">
        <v>17</v>
      </c>
      <c r="M42" s="73" t="s">
        <v>341</v>
      </c>
      <c r="N42" s="81"/>
      <c r="O42" s="81"/>
      <c r="P42" s="121" t="str">
        <f>M48</f>
        <v>20</v>
      </c>
      <c r="Q42" s="122" t="s">
        <v>332</v>
      </c>
      <c r="R42" s="116">
        <v>0</v>
      </c>
      <c r="S42" s="123"/>
    </row>
    <row r="43" spans="1:19" ht="20.25" customHeight="1" x14ac:dyDescent="0.2">
      <c r="A43" s="113">
        <v>6</v>
      </c>
      <c r="B43" s="124"/>
      <c r="C43" s="78"/>
      <c r="D43" s="115" t="s">
        <v>333</v>
      </c>
      <c r="E43" s="116">
        <v>0</v>
      </c>
      <c r="F43" s="117"/>
      <c r="G43" s="125"/>
      <c r="H43" s="81"/>
      <c r="I43" s="75"/>
      <c r="J43" s="126"/>
      <c r="K43" s="120"/>
      <c r="L43" s="113">
        <v>18</v>
      </c>
      <c r="M43" s="118" t="s">
        <v>342</v>
      </c>
      <c r="N43" s="81"/>
      <c r="O43" s="81"/>
      <c r="P43" s="81"/>
      <c r="Q43" s="81"/>
      <c r="R43" s="116">
        <v>0</v>
      </c>
      <c r="S43" s="123"/>
    </row>
    <row r="44" spans="1:19" ht="20.25" customHeight="1" x14ac:dyDescent="0.2">
      <c r="A44" s="113">
        <v>7</v>
      </c>
      <c r="B44" s="127" t="s">
        <v>343</v>
      </c>
      <c r="C44" s="81"/>
      <c r="D44" s="75"/>
      <c r="E44" s="128">
        <f>SUM(E38:E43)</f>
        <v>0</v>
      </c>
      <c r="F44" s="129"/>
      <c r="G44" s="113">
        <v>12</v>
      </c>
      <c r="H44" s="127" t="s">
        <v>344</v>
      </c>
      <c r="I44" s="75"/>
      <c r="J44" s="130">
        <f>SUM(J38:J41)</f>
        <v>0</v>
      </c>
      <c r="K44" s="131"/>
      <c r="L44" s="113">
        <v>19</v>
      </c>
      <c r="M44" s="127" t="s">
        <v>345</v>
      </c>
      <c r="N44" s="81"/>
      <c r="O44" s="81"/>
      <c r="P44" s="81"/>
      <c r="Q44" s="123"/>
      <c r="R44" s="128">
        <f>SUM(R38:R43)</f>
        <v>0</v>
      </c>
      <c r="S44" s="91"/>
    </row>
    <row r="45" spans="1:19" ht="20.25" customHeight="1" x14ac:dyDescent="0.2">
      <c r="A45" s="132">
        <v>20</v>
      </c>
      <c r="B45" s="133" t="s">
        <v>346</v>
      </c>
      <c r="C45" s="134"/>
      <c r="D45" s="135"/>
      <c r="E45" s="136">
        <v>0</v>
      </c>
      <c r="F45" s="137"/>
      <c r="G45" s="132">
        <v>21</v>
      </c>
      <c r="H45" s="133" t="s">
        <v>347</v>
      </c>
      <c r="I45" s="135"/>
      <c r="J45" s="138">
        <v>0</v>
      </c>
      <c r="K45" s="139" t="str">
        <f>M48</f>
        <v>20</v>
      </c>
      <c r="L45" s="132">
        <v>22</v>
      </c>
      <c r="M45" s="133" t="s">
        <v>348</v>
      </c>
      <c r="N45" s="134"/>
      <c r="O45" s="86"/>
      <c r="P45" s="86"/>
      <c r="Q45" s="86"/>
      <c r="R45" s="136">
        <v>0</v>
      </c>
      <c r="S45" s="87"/>
    </row>
    <row r="46" spans="1:19" ht="20.25" customHeight="1" x14ac:dyDescent="0.2">
      <c r="A46" s="140" t="s">
        <v>308</v>
      </c>
      <c r="B46" s="57"/>
      <c r="C46" s="57"/>
      <c r="D46" s="57"/>
      <c r="E46" s="57"/>
      <c r="F46" s="141"/>
      <c r="G46" s="142"/>
      <c r="H46" s="57"/>
      <c r="I46" s="57"/>
      <c r="J46" s="57"/>
      <c r="K46" s="57"/>
      <c r="L46" s="143" t="s">
        <v>349</v>
      </c>
      <c r="M46" s="94"/>
      <c r="N46" s="109" t="s">
        <v>350</v>
      </c>
      <c r="O46" s="93"/>
      <c r="P46" s="93"/>
      <c r="Q46" s="93"/>
      <c r="R46" s="93"/>
      <c r="S46" s="96"/>
    </row>
    <row r="47" spans="1:19" ht="20.25" customHeight="1" x14ac:dyDescent="0.2">
      <c r="A47" s="59"/>
      <c r="B47" s="60"/>
      <c r="C47" s="60"/>
      <c r="D47" s="60"/>
      <c r="E47" s="60"/>
      <c r="F47" s="67"/>
      <c r="G47" s="144"/>
      <c r="H47" s="60"/>
      <c r="I47" s="60"/>
      <c r="J47" s="60"/>
      <c r="K47" s="60"/>
      <c r="L47" s="113">
        <v>23</v>
      </c>
      <c r="M47" s="118" t="s">
        <v>351</v>
      </c>
      <c r="N47" s="81"/>
      <c r="O47" s="81"/>
      <c r="P47" s="81"/>
      <c r="Q47" s="123"/>
      <c r="R47" s="128">
        <f>ROUND(E44+J44+R44+E45+J45+R45,2)</f>
        <v>0</v>
      </c>
      <c r="S47" s="145">
        <f>E44+J44+R44+E45+J45+R45</f>
        <v>0</v>
      </c>
    </row>
    <row r="48" spans="1:19" ht="20.25" customHeight="1" x14ac:dyDescent="0.2">
      <c r="A48" s="146" t="s">
        <v>352</v>
      </c>
      <c r="B48" s="77"/>
      <c r="C48" s="77"/>
      <c r="D48" s="77"/>
      <c r="E48" s="77"/>
      <c r="F48" s="78"/>
      <c r="G48" s="147" t="s">
        <v>353</v>
      </c>
      <c r="H48" s="77"/>
      <c r="I48" s="77"/>
      <c r="J48" s="77"/>
      <c r="K48" s="77"/>
      <c r="L48" s="113">
        <v>24</v>
      </c>
      <c r="M48" s="148" t="s">
        <v>354</v>
      </c>
      <c r="N48" s="75" t="s">
        <v>332</v>
      </c>
      <c r="O48" s="149">
        <f>R47</f>
        <v>0</v>
      </c>
      <c r="P48" s="77" t="s">
        <v>355</v>
      </c>
      <c r="Q48" s="77"/>
      <c r="R48" s="150">
        <f>O48*0.2</f>
        <v>0</v>
      </c>
      <c r="S48" s="151">
        <f>O48*M48/100</f>
        <v>0</v>
      </c>
    </row>
    <row r="49" spans="1:19" ht="20.25" customHeight="1" thickBot="1" x14ac:dyDescent="0.25">
      <c r="A49" s="152" t="s">
        <v>307</v>
      </c>
      <c r="B49" s="71"/>
      <c r="C49" s="71"/>
      <c r="D49" s="71"/>
      <c r="E49" s="71"/>
      <c r="F49" s="63"/>
      <c r="G49" s="153"/>
      <c r="H49" s="71"/>
      <c r="I49" s="71"/>
      <c r="J49" s="71"/>
      <c r="K49" s="71"/>
      <c r="L49" s="113">
        <v>25</v>
      </c>
      <c r="M49" s="148" t="s">
        <v>354</v>
      </c>
      <c r="N49" s="75" t="s">
        <v>332</v>
      </c>
      <c r="O49" s="149">
        <v>0</v>
      </c>
      <c r="P49" s="81" t="s">
        <v>355</v>
      </c>
      <c r="Q49" s="81"/>
      <c r="R49" s="116">
        <v>0</v>
      </c>
      <c r="S49" s="154">
        <f>O49*M49/100</f>
        <v>0</v>
      </c>
    </row>
    <row r="50" spans="1:19" ht="20.25" customHeight="1" thickBot="1" x14ac:dyDescent="0.25">
      <c r="A50" s="59"/>
      <c r="B50" s="60"/>
      <c r="C50" s="60"/>
      <c r="D50" s="60"/>
      <c r="E50" s="60"/>
      <c r="F50" s="67"/>
      <c r="G50" s="144"/>
      <c r="H50" s="60"/>
      <c r="I50" s="60"/>
      <c r="J50" s="60"/>
      <c r="K50" s="60"/>
      <c r="L50" s="132">
        <v>26</v>
      </c>
      <c r="M50" s="155" t="s">
        <v>356</v>
      </c>
      <c r="N50" s="134"/>
      <c r="O50" s="134"/>
      <c r="P50" s="134"/>
      <c r="Q50" s="86"/>
      <c r="R50" s="156">
        <f>R47+R48+R49</f>
        <v>0</v>
      </c>
      <c r="S50" s="157"/>
    </row>
    <row r="51" spans="1:19" ht="20.25" customHeight="1" x14ac:dyDescent="0.2">
      <c r="A51" s="146" t="s">
        <v>357</v>
      </c>
      <c r="B51" s="77"/>
      <c r="C51" s="77"/>
      <c r="D51" s="77"/>
      <c r="E51" s="77"/>
      <c r="F51" s="78"/>
      <c r="G51" s="147" t="s">
        <v>353</v>
      </c>
      <c r="H51" s="77"/>
      <c r="I51" s="77"/>
      <c r="J51" s="77"/>
      <c r="K51" s="77"/>
      <c r="L51" s="143" t="s">
        <v>358</v>
      </c>
      <c r="M51" s="94"/>
      <c r="N51" s="109" t="s">
        <v>359</v>
      </c>
      <c r="O51" s="93"/>
      <c r="P51" s="93"/>
      <c r="Q51" s="93"/>
      <c r="R51" s="158"/>
      <c r="S51" s="96"/>
    </row>
    <row r="52" spans="1:19" ht="20.25" customHeight="1" x14ac:dyDescent="0.2">
      <c r="A52" s="152" t="s">
        <v>309</v>
      </c>
      <c r="B52" s="71"/>
      <c r="C52" s="71"/>
      <c r="D52" s="71"/>
      <c r="E52" s="71"/>
      <c r="F52" s="63"/>
      <c r="G52" s="153"/>
      <c r="H52" s="71"/>
      <c r="I52" s="71"/>
      <c r="J52" s="71"/>
      <c r="K52" s="71"/>
      <c r="L52" s="113">
        <v>27</v>
      </c>
      <c r="M52" s="118" t="s">
        <v>360</v>
      </c>
      <c r="N52" s="81"/>
      <c r="O52" s="81"/>
      <c r="P52" s="81"/>
      <c r="Q52" s="75"/>
      <c r="R52" s="116">
        <v>0</v>
      </c>
      <c r="S52" s="123"/>
    </row>
    <row r="53" spans="1:19" ht="20.25" customHeight="1" x14ac:dyDescent="0.2">
      <c r="A53" s="59"/>
      <c r="B53" s="60"/>
      <c r="C53" s="60"/>
      <c r="D53" s="60"/>
      <c r="E53" s="60"/>
      <c r="F53" s="67"/>
      <c r="G53" s="144"/>
      <c r="H53" s="60"/>
      <c r="I53" s="60"/>
      <c r="J53" s="60"/>
      <c r="K53" s="60"/>
      <c r="L53" s="113">
        <v>28</v>
      </c>
      <c r="M53" s="118" t="s">
        <v>361</v>
      </c>
      <c r="N53" s="81"/>
      <c r="O53" s="81"/>
      <c r="P53" s="81"/>
      <c r="Q53" s="75"/>
      <c r="R53" s="116">
        <v>0</v>
      </c>
      <c r="S53" s="123"/>
    </row>
    <row r="54" spans="1:19" ht="20.25" customHeight="1" x14ac:dyDescent="0.2">
      <c r="A54" s="159" t="s">
        <v>352</v>
      </c>
      <c r="B54" s="86"/>
      <c r="C54" s="86"/>
      <c r="D54" s="86"/>
      <c r="E54" s="86"/>
      <c r="F54" s="160"/>
      <c r="G54" s="161" t="s">
        <v>353</v>
      </c>
      <c r="H54" s="86"/>
      <c r="I54" s="86"/>
      <c r="J54" s="86"/>
      <c r="K54" s="86"/>
      <c r="L54" s="132">
        <v>29</v>
      </c>
      <c r="M54" s="133" t="s">
        <v>362</v>
      </c>
      <c r="N54" s="134"/>
      <c r="O54" s="134"/>
      <c r="P54" s="134"/>
      <c r="Q54" s="135"/>
      <c r="R54" s="100">
        <v>0</v>
      </c>
      <c r="S54" s="162"/>
    </row>
  </sheetData>
  <mergeCells count="4">
    <mergeCell ref="E5:J5"/>
    <mergeCell ref="E7:J7"/>
    <mergeCell ref="E9:J9"/>
    <mergeCell ref="P9:R9"/>
  </mergeCells>
  <pageMargins left="0.31496062992125984" right="0.31496062992125984" top="0.78740157480314965" bottom="0.78740157480314965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G22" sqref="G22"/>
    </sheetView>
  </sheetViews>
  <sheetFormatPr defaultRowHeight="14.25" x14ac:dyDescent="0.2"/>
  <cols>
    <col min="1" max="1" width="11.125" style="51" customWidth="1"/>
    <col min="2" max="2" width="48.75" style="51" customWidth="1"/>
    <col min="3" max="3" width="11.875" style="51" customWidth="1"/>
    <col min="4" max="5" width="12.125" style="51" hidden="1" customWidth="1"/>
    <col min="6" max="6" width="9" style="165"/>
    <col min="7" max="256" width="9" style="51"/>
    <col min="257" max="257" width="11.125" style="51" customWidth="1"/>
    <col min="258" max="258" width="48.75" style="51" customWidth="1"/>
    <col min="259" max="259" width="11.875" style="51" customWidth="1"/>
    <col min="260" max="261" width="0" style="51" hidden="1" customWidth="1"/>
    <col min="262" max="512" width="9" style="51"/>
    <col min="513" max="513" width="11.125" style="51" customWidth="1"/>
    <col min="514" max="514" width="48.75" style="51" customWidth="1"/>
    <col min="515" max="515" width="11.875" style="51" customWidth="1"/>
    <col min="516" max="517" width="0" style="51" hidden="1" customWidth="1"/>
    <col min="518" max="768" width="9" style="51"/>
    <col min="769" max="769" width="11.125" style="51" customWidth="1"/>
    <col min="770" max="770" width="48.75" style="51" customWidth="1"/>
    <col min="771" max="771" width="11.875" style="51" customWidth="1"/>
    <col min="772" max="773" width="0" style="51" hidden="1" customWidth="1"/>
    <col min="774" max="1024" width="9" style="51"/>
    <col min="1025" max="1025" width="11.125" style="51" customWidth="1"/>
    <col min="1026" max="1026" width="48.75" style="51" customWidth="1"/>
    <col min="1027" max="1027" width="11.875" style="51" customWidth="1"/>
    <col min="1028" max="1029" width="0" style="51" hidden="1" customWidth="1"/>
    <col min="1030" max="1280" width="9" style="51"/>
    <col min="1281" max="1281" width="11.125" style="51" customWidth="1"/>
    <col min="1282" max="1282" width="48.75" style="51" customWidth="1"/>
    <col min="1283" max="1283" width="11.875" style="51" customWidth="1"/>
    <col min="1284" max="1285" width="0" style="51" hidden="1" customWidth="1"/>
    <col min="1286" max="1536" width="9" style="51"/>
    <col min="1537" max="1537" width="11.125" style="51" customWidth="1"/>
    <col min="1538" max="1538" width="48.75" style="51" customWidth="1"/>
    <col min="1539" max="1539" width="11.875" style="51" customWidth="1"/>
    <col min="1540" max="1541" width="0" style="51" hidden="1" customWidth="1"/>
    <col min="1542" max="1792" width="9" style="51"/>
    <col min="1793" max="1793" width="11.125" style="51" customWidth="1"/>
    <col min="1794" max="1794" width="48.75" style="51" customWidth="1"/>
    <col min="1795" max="1795" width="11.875" style="51" customWidth="1"/>
    <col min="1796" max="1797" width="0" style="51" hidden="1" customWidth="1"/>
    <col min="1798" max="2048" width="9" style="51"/>
    <col min="2049" max="2049" width="11.125" style="51" customWidth="1"/>
    <col min="2050" max="2050" width="48.75" style="51" customWidth="1"/>
    <col min="2051" max="2051" width="11.875" style="51" customWidth="1"/>
    <col min="2052" max="2053" width="0" style="51" hidden="1" customWidth="1"/>
    <col min="2054" max="2304" width="9" style="51"/>
    <col min="2305" max="2305" width="11.125" style="51" customWidth="1"/>
    <col min="2306" max="2306" width="48.75" style="51" customWidth="1"/>
    <col min="2307" max="2307" width="11.875" style="51" customWidth="1"/>
    <col min="2308" max="2309" width="0" style="51" hidden="1" customWidth="1"/>
    <col min="2310" max="2560" width="9" style="51"/>
    <col min="2561" max="2561" width="11.125" style="51" customWidth="1"/>
    <col min="2562" max="2562" width="48.75" style="51" customWidth="1"/>
    <col min="2563" max="2563" width="11.875" style="51" customWidth="1"/>
    <col min="2564" max="2565" width="0" style="51" hidden="1" customWidth="1"/>
    <col min="2566" max="2816" width="9" style="51"/>
    <col min="2817" max="2817" width="11.125" style="51" customWidth="1"/>
    <col min="2818" max="2818" width="48.75" style="51" customWidth="1"/>
    <col min="2819" max="2819" width="11.875" style="51" customWidth="1"/>
    <col min="2820" max="2821" width="0" style="51" hidden="1" customWidth="1"/>
    <col min="2822" max="3072" width="9" style="51"/>
    <col min="3073" max="3073" width="11.125" style="51" customWidth="1"/>
    <col min="3074" max="3074" width="48.75" style="51" customWidth="1"/>
    <col min="3075" max="3075" width="11.875" style="51" customWidth="1"/>
    <col min="3076" max="3077" width="0" style="51" hidden="1" customWidth="1"/>
    <col min="3078" max="3328" width="9" style="51"/>
    <col min="3329" max="3329" width="11.125" style="51" customWidth="1"/>
    <col min="3330" max="3330" width="48.75" style="51" customWidth="1"/>
    <col min="3331" max="3331" width="11.875" style="51" customWidth="1"/>
    <col min="3332" max="3333" width="0" style="51" hidden="1" customWidth="1"/>
    <col min="3334" max="3584" width="9" style="51"/>
    <col min="3585" max="3585" width="11.125" style="51" customWidth="1"/>
    <col min="3586" max="3586" width="48.75" style="51" customWidth="1"/>
    <col min="3587" max="3587" width="11.875" style="51" customWidth="1"/>
    <col min="3588" max="3589" width="0" style="51" hidden="1" customWidth="1"/>
    <col min="3590" max="3840" width="9" style="51"/>
    <col min="3841" max="3841" width="11.125" style="51" customWidth="1"/>
    <col min="3842" max="3842" width="48.75" style="51" customWidth="1"/>
    <col min="3843" max="3843" width="11.875" style="51" customWidth="1"/>
    <col min="3844" max="3845" width="0" style="51" hidden="1" customWidth="1"/>
    <col min="3846" max="4096" width="9" style="51"/>
    <col min="4097" max="4097" width="11.125" style="51" customWidth="1"/>
    <col min="4098" max="4098" width="48.75" style="51" customWidth="1"/>
    <col min="4099" max="4099" width="11.875" style="51" customWidth="1"/>
    <col min="4100" max="4101" width="0" style="51" hidden="1" customWidth="1"/>
    <col min="4102" max="4352" width="9" style="51"/>
    <col min="4353" max="4353" width="11.125" style="51" customWidth="1"/>
    <col min="4354" max="4354" width="48.75" style="51" customWidth="1"/>
    <col min="4355" max="4355" width="11.875" style="51" customWidth="1"/>
    <col min="4356" max="4357" width="0" style="51" hidden="1" customWidth="1"/>
    <col min="4358" max="4608" width="9" style="51"/>
    <col min="4609" max="4609" width="11.125" style="51" customWidth="1"/>
    <col min="4610" max="4610" width="48.75" style="51" customWidth="1"/>
    <col min="4611" max="4611" width="11.875" style="51" customWidth="1"/>
    <col min="4612" max="4613" width="0" style="51" hidden="1" customWidth="1"/>
    <col min="4614" max="4864" width="9" style="51"/>
    <col min="4865" max="4865" width="11.125" style="51" customWidth="1"/>
    <col min="4866" max="4866" width="48.75" style="51" customWidth="1"/>
    <col min="4867" max="4867" width="11.875" style="51" customWidth="1"/>
    <col min="4868" max="4869" width="0" style="51" hidden="1" customWidth="1"/>
    <col min="4870" max="5120" width="9" style="51"/>
    <col min="5121" max="5121" width="11.125" style="51" customWidth="1"/>
    <col min="5122" max="5122" width="48.75" style="51" customWidth="1"/>
    <col min="5123" max="5123" width="11.875" style="51" customWidth="1"/>
    <col min="5124" max="5125" width="0" style="51" hidden="1" customWidth="1"/>
    <col min="5126" max="5376" width="9" style="51"/>
    <col min="5377" max="5377" width="11.125" style="51" customWidth="1"/>
    <col min="5378" max="5378" width="48.75" style="51" customWidth="1"/>
    <col min="5379" max="5379" width="11.875" style="51" customWidth="1"/>
    <col min="5380" max="5381" width="0" style="51" hidden="1" customWidth="1"/>
    <col min="5382" max="5632" width="9" style="51"/>
    <col min="5633" max="5633" width="11.125" style="51" customWidth="1"/>
    <col min="5634" max="5634" width="48.75" style="51" customWidth="1"/>
    <col min="5635" max="5635" width="11.875" style="51" customWidth="1"/>
    <col min="5636" max="5637" width="0" style="51" hidden="1" customWidth="1"/>
    <col min="5638" max="5888" width="9" style="51"/>
    <col min="5889" max="5889" width="11.125" style="51" customWidth="1"/>
    <col min="5890" max="5890" width="48.75" style="51" customWidth="1"/>
    <col min="5891" max="5891" width="11.875" style="51" customWidth="1"/>
    <col min="5892" max="5893" width="0" style="51" hidden="1" customWidth="1"/>
    <col min="5894" max="6144" width="9" style="51"/>
    <col min="6145" max="6145" width="11.125" style="51" customWidth="1"/>
    <col min="6146" max="6146" width="48.75" style="51" customWidth="1"/>
    <col min="6147" max="6147" width="11.875" style="51" customWidth="1"/>
    <col min="6148" max="6149" width="0" style="51" hidden="1" customWidth="1"/>
    <col min="6150" max="6400" width="9" style="51"/>
    <col min="6401" max="6401" width="11.125" style="51" customWidth="1"/>
    <col min="6402" max="6402" width="48.75" style="51" customWidth="1"/>
    <col min="6403" max="6403" width="11.875" style="51" customWidth="1"/>
    <col min="6404" max="6405" width="0" style="51" hidden="1" customWidth="1"/>
    <col min="6406" max="6656" width="9" style="51"/>
    <col min="6657" max="6657" width="11.125" style="51" customWidth="1"/>
    <col min="6658" max="6658" width="48.75" style="51" customWidth="1"/>
    <col min="6659" max="6659" width="11.875" style="51" customWidth="1"/>
    <col min="6660" max="6661" width="0" style="51" hidden="1" customWidth="1"/>
    <col min="6662" max="6912" width="9" style="51"/>
    <col min="6913" max="6913" width="11.125" style="51" customWidth="1"/>
    <col min="6914" max="6914" width="48.75" style="51" customWidth="1"/>
    <col min="6915" max="6915" width="11.875" style="51" customWidth="1"/>
    <col min="6916" max="6917" width="0" style="51" hidden="1" customWidth="1"/>
    <col min="6918" max="7168" width="9" style="51"/>
    <col min="7169" max="7169" width="11.125" style="51" customWidth="1"/>
    <col min="7170" max="7170" width="48.75" style="51" customWidth="1"/>
    <col min="7171" max="7171" width="11.875" style="51" customWidth="1"/>
    <col min="7172" max="7173" width="0" style="51" hidden="1" customWidth="1"/>
    <col min="7174" max="7424" width="9" style="51"/>
    <col min="7425" max="7425" width="11.125" style="51" customWidth="1"/>
    <col min="7426" max="7426" width="48.75" style="51" customWidth="1"/>
    <col min="7427" max="7427" width="11.875" style="51" customWidth="1"/>
    <col min="7428" max="7429" width="0" style="51" hidden="1" customWidth="1"/>
    <col min="7430" max="7680" width="9" style="51"/>
    <col min="7681" max="7681" width="11.125" style="51" customWidth="1"/>
    <col min="7682" max="7682" width="48.75" style="51" customWidth="1"/>
    <col min="7683" max="7683" width="11.875" style="51" customWidth="1"/>
    <col min="7684" max="7685" width="0" style="51" hidden="1" customWidth="1"/>
    <col min="7686" max="7936" width="9" style="51"/>
    <col min="7937" max="7937" width="11.125" style="51" customWidth="1"/>
    <col min="7938" max="7938" width="48.75" style="51" customWidth="1"/>
    <col min="7939" max="7939" width="11.875" style="51" customWidth="1"/>
    <col min="7940" max="7941" width="0" style="51" hidden="1" customWidth="1"/>
    <col min="7942" max="8192" width="9" style="51"/>
    <col min="8193" max="8193" width="11.125" style="51" customWidth="1"/>
    <col min="8194" max="8194" width="48.75" style="51" customWidth="1"/>
    <col min="8195" max="8195" width="11.875" style="51" customWidth="1"/>
    <col min="8196" max="8197" width="0" style="51" hidden="1" customWidth="1"/>
    <col min="8198" max="8448" width="9" style="51"/>
    <col min="8449" max="8449" width="11.125" style="51" customWidth="1"/>
    <col min="8450" max="8450" width="48.75" style="51" customWidth="1"/>
    <col min="8451" max="8451" width="11.875" style="51" customWidth="1"/>
    <col min="8452" max="8453" width="0" style="51" hidden="1" customWidth="1"/>
    <col min="8454" max="8704" width="9" style="51"/>
    <col min="8705" max="8705" width="11.125" style="51" customWidth="1"/>
    <col min="8706" max="8706" width="48.75" style="51" customWidth="1"/>
    <col min="8707" max="8707" width="11.875" style="51" customWidth="1"/>
    <col min="8708" max="8709" width="0" style="51" hidden="1" customWidth="1"/>
    <col min="8710" max="8960" width="9" style="51"/>
    <col min="8961" max="8961" width="11.125" style="51" customWidth="1"/>
    <col min="8962" max="8962" width="48.75" style="51" customWidth="1"/>
    <col min="8963" max="8963" width="11.875" style="51" customWidth="1"/>
    <col min="8964" max="8965" width="0" style="51" hidden="1" customWidth="1"/>
    <col min="8966" max="9216" width="9" style="51"/>
    <col min="9217" max="9217" width="11.125" style="51" customWidth="1"/>
    <col min="9218" max="9218" width="48.75" style="51" customWidth="1"/>
    <col min="9219" max="9219" width="11.875" style="51" customWidth="1"/>
    <col min="9220" max="9221" width="0" style="51" hidden="1" customWidth="1"/>
    <col min="9222" max="9472" width="9" style="51"/>
    <col min="9473" max="9473" width="11.125" style="51" customWidth="1"/>
    <col min="9474" max="9474" width="48.75" style="51" customWidth="1"/>
    <col min="9475" max="9475" width="11.875" style="51" customWidth="1"/>
    <col min="9476" max="9477" width="0" style="51" hidden="1" customWidth="1"/>
    <col min="9478" max="9728" width="9" style="51"/>
    <col min="9729" max="9729" width="11.125" style="51" customWidth="1"/>
    <col min="9730" max="9730" width="48.75" style="51" customWidth="1"/>
    <col min="9731" max="9731" width="11.875" style="51" customWidth="1"/>
    <col min="9732" max="9733" width="0" style="51" hidden="1" customWidth="1"/>
    <col min="9734" max="9984" width="9" style="51"/>
    <col min="9985" max="9985" width="11.125" style="51" customWidth="1"/>
    <col min="9986" max="9986" width="48.75" style="51" customWidth="1"/>
    <col min="9987" max="9987" width="11.875" style="51" customWidth="1"/>
    <col min="9988" max="9989" width="0" style="51" hidden="1" customWidth="1"/>
    <col min="9990" max="10240" width="9" style="51"/>
    <col min="10241" max="10241" width="11.125" style="51" customWidth="1"/>
    <col min="10242" max="10242" width="48.75" style="51" customWidth="1"/>
    <col min="10243" max="10243" width="11.875" style="51" customWidth="1"/>
    <col min="10244" max="10245" width="0" style="51" hidden="1" customWidth="1"/>
    <col min="10246" max="10496" width="9" style="51"/>
    <col min="10497" max="10497" width="11.125" style="51" customWidth="1"/>
    <col min="10498" max="10498" width="48.75" style="51" customWidth="1"/>
    <col min="10499" max="10499" width="11.875" style="51" customWidth="1"/>
    <col min="10500" max="10501" width="0" style="51" hidden="1" customWidth="1"/>
    <col min="10502" max="10752" width="9" style="51"/>
    <col min="10753" max="10753" width="11.125" style="51" customWidth="1"/>
    <col min="10754" max="10754" width="48.75" style="51" customWidth="1"/>
    <col min="10755" max="10755" width="11.875" style="51" customWidth="1"/>
    <col min="10756" max="10757" width="0" style="51" hidden="1" customWidth="1"/>
    <col min="10758" max="11008" width="9" style="51"/>
    <col min="11009" max="11009" width="11.125" style="51" customWidth="1"/>
    <col min="11010" max="11010" width="48.75" style="51" customWidth="1"/>
    <col min="11011" max="11011" width="11.875" style="51" customWidth="1"/>
    <col min="11012" max="11013" width="0" style="51" hidden="1" customWidth="1"/>
    <col min="11014" max="11264" width="9" style="51"/>
    <col min="11265" max="11265" width="11.125" style="51" customWidth="1"/>
    <col min="11266" max="11266" width="48.75" style="51" customWidth="1"/>
    <col min="11267" max="11267" width="11.875" style="51" customWidth="1"/>
    <col min="11268" max="11269" width="0" style="51" hidden="1" customWidth="1"/>
    <col min="11270" max="11520" width="9" style="51"/>
    <col min="11521" max="11521" width="11.125" style="51" customWidth="1"/>
    <col min="11522" max="11522" width="48.75" style="51" customWidth="1"/>
    <col min="11523" max="11523" width="11.875" style="51" customWidth="1"/>
    <col min="11524" max="11525" width="0" style="51" hidden="1" customWidth="1"/>
    <col min="11526" max="11776" width="9" style="51"/>
    <col min="11777" max="11777" width="11.125" style="51" customWidth="1"/>
    <col min="11778" max="11778" width="48.75" style="51" customWidth="1"/>
    <col min="11779" max="11779" width="11.875" style="51" customWidth="1"/>
    <col min="11780" max="11781" width="0" style="51" hidden="1" customWidth="1"/>
    <col min="11782" max="12032" width="9" style="51"/>
    <col min="12033" max="12033" width="11.125" style="51" customWidth="1"/>
    <col min="12034" max="12034" width="48.75" style="51" customWidth="1"/>
    <col min="12035" max="12035" width="11.875" style="51" customWidth="1"/>
    <col min="12036" max="12037" width="0" style="51" hidden="1" customWidth="1"/>
    <col min="12038" max="12288" width="9" style="51"/>
    <col min="12289" max="12289" width="11.125" style="51" customWidth="1"/>
    <col min="12290" max="12290" width="48.75" style="51" customWidth="1"/>
    <col min="12291" max="12291" width="11.875" style="51" customWidth="1"/>
    <col min="12292" max="12293" width="0" style="51" hidden="1" customWidth="1"/>
    <col min="12294" max="12544" width="9" style="51"/>
    <col min="12545" max="12545" width="11.125" style="51" customWidth="1"/>
    <col min="12546" max="12546" width="48.75" style="51" customWidth="1"/>
    <col min="12547" max="12547" width="11.875" style="51" customWidth="1"/>
    <col min="12548" max="12549" width="0" style="51" hidden="1" customWidth="1"/>
    <col min="12550" max="12800" width="9" style="51"/>
    <col min="12801" max="12801" width="11.125" style="51" customWidth="1"/>
    <col min="12802" max="12802" width="48.75" style="51" customWidth="1"/>
    <col min="12803" max="12803" width="11.875" style="51" customWidth="1"/>
    <col min="12804" max="12805" width="0" style="51" hidden="1" customWidth="1"/>
    <col min="12806" max="13056" width="9" style="51"/>
    <col min="13057" max="13057" width="11.125" style="51" customWidth="1"/>
    <col min="13058" max="13058" width="48.75" style="51" customWidth="1"/>
    <col min="13059" max="13059" width="11.875" style="51" customWidth="1"/>
    <col min="13060" max="13061" width="0" style="51" hidden="1" customWidth="1"/>
    <col min="13062" max="13312" width="9" style="51"/>
    <col min="13313" max="13313" width="11.125" style="51" customWidth="1"/>
    <col min="13314" max="13314" width="48.75" style="51" customWidth="1"/>
    <col min="13315" max="13315" width="11.875" style="51" customWidth="1"/>
    <col min="13316" max="13317" width="0" style="51" hidden="1" customWidth="1"/>
    <col min="13318" max="13568" width="9" style="51"/>
    <col min="13569" max="13569" width="11.125" style="51" customWidth="1"/>
    <col min="13570" max="13570" width="48.75" style="51" customWidth="1"/>
    <col min="13571" max="13571" width="11.875" style="51" customWidth="1"/>
    <col min="13572" max="13573" width="0" style="51" hidden="1" customWidth="1"/>
    <col min="13574" max="13824" width="9" style="51"/>
    <col min="13825" max="13825" width="11.125" style="51" customWidth="1"/>
    <col min="13826" max="13826" width="48.75" style="51" customWidth="1"/>
    <col min="13827" max="13827" width="11.875" style="51" customWidth="1"/>
    <col min="13828" max="13829" width="0" style="51" hidden="1" customWidth="1"/>
    <col min="13830" max="14080" width="9" style="51"/>
    <col min="14081" max="14081" width="11.125" style="51" customWidth="1"/>
    <col min="14082" max="14082" width="48.75" style="51" customWidth="1"/>
    <col min="14083" max="14083" width="11.875" style="51" customWidth="1"/>
    <col min="14084" max="14085" width="0" style="51" hidden="1" customWidth="1"/>
    <col min="14086" max="14336" width="9" style="51"/>
    <col min="14337" max="14337" width="11.125" style="51" customWidth="1"/>
    <col min="14338" max="14338" width="48.75" style="51" customWidth="1"/>
    <col min="14339" max="14339" width="11.875" style="51" customWidth="1"/>
    <col min="14340" max="14341" width="0" style="51" hidden="1" customWidth="1"/>
    <col min="14342" max="14592" width="9" style="51"/>
    <col min="14593" max="14593" width="11.125" style="51" customWidth="1"/>
    <col min="14594" max="14594" width="48.75" style="51" customWidth="1"/>
    <col min="14595" max="14595" width="11.875" style="51" customWidth="1"/>
    <col min="14596" max="14597" width="0" style="51" hidden="1" customWidth="1"/>
    <col min="14598" max="14848" width="9" style="51"/>
    <col min="14849" max="14849" width="11.125" style="51" customWidth="1"/>
    <col min="14850" max="14850" width="48.75" style="51" customWidth="1"/>
    <col min="14851" max="14851" width="11.875" style="51" customWidth="1"/>
    <col min="14852" max="14853" width="0" style="51" hidden="1" customWidth="1"/>
    <col min="14854" max="15104" width="9" style="51"/>
    <col min="15105" max="15105" width="11.125" style="51" customWidth="1"/>
    <col min="15106" max="15106" width="48.75" style="51" customWidth="1"/>
    <col min="15107" max="15107" width="11.875" style="51" customWidth="1"/>
    <col min="15108" max="15109" width="0" style="51" hidden="1" customWidth="1"/>
    <col min="15110" max="15360" width="9" style="51"/>
    <col min="15361" max="15361" width="11.125" style="51" customWidth="1"/>
    <col min="15362" max="15362" width="48.75" style="51" customWidth="1"/>
    <col min="15363" max="15363" width="11.875" style="51" customWidth="1"/>
    <col min="15364" max="15365" width="0" style="51" hidden="1" customWidth="1"/>
    <col min="15366" max="15616" width="9" style="51"/>
    <col min="15617" max="15617" width="11.125" style="51" customWidth="1"/>
    <col min="15618" max="15618" width="48.75" style="51" customWidth="1"/>
    <col min="15619" max="15619" width="11.875" style="51" customWidth="1"/>
    <col min="15620" max="15621" width="0" style="51" hidden="1" customWidth="1"/>
    <col min="15622" max="15872" width="9" style="51"/>
    <col min="15873" max="15873" width="11.125" style="51" customWidth="1"/>
    <col min="15874" max="15874" width="48.75" style="51" customWidth="1"/>
    <col min="15875" max="15875" width="11.875" style="51" customWidth="1"/>
    <col min="15876" max="15877" width="0" style="51" hidden="1" customWidth="1"/>
    <col min="15878" max="16128" width="9" style="51"/>
    <col min="16129" max="16129" width="11.125" style="51" customWidth="1"/>
    <col min="16130" max="16130" width="48.75" style="51" customWidth="1"/>
    <col min="16131" max="16131" width="11.875" style="51" customWidth="1"/>
    <col min="16132" max="16133" width="0" style="51" hidden="1" customWidth="1"/>
    <col min="16134" max="16384" width="9" style="51"/>
  </cols>
  <sheetData>
    <row r="1" spans="1:5" ht="18" x14ac:dyDescent="0.25">
      <c r="A1" s="163" t="s">
        <v>365</v>
      </c>
      <c r="B1" s="164"/>
      <c r="C1" s="164"/>
      <c r="D1" s="164"/>
      <c r="E1" s="164"/>
    </row>
    <row r="2" spans="1:5" x14ac:dyDescent="0.2">
      <c r="A2" s="166" t="s">
        <v>366</v>
      </c>
      <c r="B2" s="167" t="str">
        <f>'Krycí list'!E5</f>
        <v>Most na Triede arm. gen. L. Svobodu</v>
      </c>
      <c r="C2" s="168"/>
      <c r="D2" s="168"/>
      <c r="E2" s="168"/>
    </row>
    <row r="3" spans="1:5" x14ac:dyDescent="0.2">
      <c r="A3" s="166" t="s">
        <v>367</v>
      </c>
      <c r="B3" s="167" t="str">
        <f>'Krycí list'!E7</f>
        <v>Most na Triede arm. gen. L. Svobodu</v>
      </c>
      <c r="C3" s="169"/>
      <c r="D3" s="170"/>
      <c r="E3" s="171"/>
    </row>
    <row r="4" spans="1:5" x14ac:dyDescent="0.2">
      <c r="A4" s="166" t="s">
        <v>368</v>
      </c>
      <c r="B4" s="167" t="str">
        <f>'[1]Krycí list'!E9</f>
        <v xml:space="preserve"> </v>
      </c>
      <c r="C4" s="169"/>
      <c r="D4" s="170"/>
      <c r="E4" s="171"/>
    </row>
    <row r="5" spans="1:5" x14ac:dyDescent="0.2">
      <c r="A5" s="172" t="s">
        <v>369</v>
      </c>
      <c r="B5" s="167" t="str">
        <f>'[1]Krycí list'!P5</f>
        <v xml:space="preserve"> </v>
      </c>
      <c r="C5" s="169"/>
      <c r="D5" s="173"/>
      <c r="E5" s="171"/>
    </row>
    <row r="6" spans="1:5" x14ac:dyDescent="0.2">
      <c r="A6" s="172"/>
      <c r="B6" s="167"/>
      <c r="C6" s="169"/>
      <c r="D6" s="173"/>
      <c r="E6" s="171"/>
    </row>
    <row r="7" spans="1:5" x14ac:dyDescent="0.2">
      <c r="A7" s="174" t="s">
        <v>370</v>
      </c>
      <c r="B7" s="167" t="s">
        <v>441</v>
      </c>
      <c r="C7" s="169"/>
      <c r="D7" s="173"/>
      <c r="E7" s="171"/>
    </row>
    <row r="8" spans="1:5" x14ac:dyDescent="0.2">
      <c r="A8" s="174" t="s">
        <v>371</v>
      </c>
      <c r="B8" s="167" t="str">
        <f>'[1]Krycí list'!E28</f>
        <v xml:space="preserve"> </v>
      </c>
      <c r="C8" s="169"/>
      <c r="D8" s="173"/>
      <c r="E8" s="171"/>
    </row>
    <row r="9" spans="1:5" x14ac:dyDescent="0.2">
      <c r="A9" s="174" t="s">
        <v>372</v>
      </c>
      <c r="B9" s="167"/>
      <c r="C9" s="169"/>
      <c r="D9" s="173"/>
      <c r="E9" s="171"/>
    </row>
    <row r="10" spans="1:5" x14ac:dyDescent="0.2">
      <c r="A10" s="164"/>
      <c r="B10" s="164"/>
      <c r="C10" s="164"/>
      <c r="D10" s="164"/>
      <c r="E10" s="164"/>
    </row>
    <row r="11" spans="1:5" x14ac:dyDescent="0.2">
      <c r="A11" s="192" t="s">
        <v>373</v>
      </c>
      <c r="B11" s="193" t="s">
        <v>374</v>
      </c>
      <c r="C11" s="335" t="s">
        <v>375</v>
      </c>
      <c r="D11" s="176" t="s">
        <v>376</v>
      </c>
      <c r="E11" s="175" t="s">
        <v>377</v>
      </c>
    </row>
    <row r="12" spans="1:5" x14ac:dyDescent="0.2">
      <c r="A12" s="194">
        <v>1</v>
      </c>
      <c r="B12" s="195">
        <v>2</v>
      </c>
      <c r="C12" s="336">
        <v>3</v>
      </c>
      <c r="D12" s="178">
        <v>4</v>
      </c>
      <c r="E12" s="177">
        <v>5</v>
      </c>
    </row>
    <row r="13" spans="1:5" x14ac:dyDescent="0.2">
      <c r="A13" s="179"/>
      <c r="B13" s="179"/>
      <c r="C13" s="179"/>
      <c r="D13" s="179"/>
      <c r="E13" s="179"/>
    </row>
    <row r="14" spans="1:5" s="183" customFormat="1" ht="11.25" x14ac:dyDescent="0.2">
      <c r="A14" s="180" t="s">
        <v>379</v>
      </c>
      <c r="B14" s="181" t="s">
        <v>381</v>
      </c>
      <c r="C14" s="182">
        <f>'Rozpočet most'!I367</f>
        <v>0</v>
      </c>
      <c r="D14" s="182">
        <f>[1]Rozpocet!K14</f>
        <v>18051.054973589999</v>
      </c>
      <c r="E14" s="182">
        <f>[1]Rozpocet!M14</f>
        <v>0</v>
      </c>
    </row>
    <row r="15" spans="1:5" s="187" customFormat="1" ht="11.25" x14ac:dyDescent="0.2">
      <c r="A15" s="184" t="s">
        <v>380</v>
      </c>
      <c r="B15" s="185" t="s">
        <v>382</v>
      </c>
      <c r="C15" s="186">
        <f>'Rozpočet VO'!H58</f>
        <v>0</v>
      </c>
      <c r="D15" s="186">
        <f>[1]Rozpocet!K15</f>
        <v>4028.7067197800006</v>
      </c>
      <c r="E15" s="186">
        <f>[1]Rozpocet!M15</f>
        <v>0</v>
      </c>
    </row>
    <row r="16" spans="1:5" s="188" customFormat="1" ht="11.25" x14ac:dyDescent="0.2">
      <c r="B16" s="188" t="s">
        <v>378</v>
      </c>
      <c r="C16" s="189">
        <f>SUM(C14:C15)</f>
        <v>0</v>
      </c>
      <c r="D16" s="189">
        <f>[1]Rozpocet!K2341</f>
        <v>18139.89382759</v>
      </c>
      <c r="E16" s="189">
        <f>[1]Rozpocet!M2341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49"/>
  <sheetViews>
    <sheetView zoomScale="85" zoomScaleNormal="85" workbookViewId="0">
      <pane ySplit="12" topLeftCell="A13" activePane="bottomLeft" state="frozen"/>
      <selection pane="bottomLeft" activeCell="N8" sqref="N8"/>
    </sheetView>
  </sheetViews>
  <sheetFormatPr defaultRowHeight="14.25" x14ac:dyDescent="0.2"/>
  <cols>
    <col min="1" max="1" width="6" style="31" customWidth="1"/>
    <col min="2" max="2" width="7.125" style="2" customWidth="1"/>
    <col min="3" max="3" width="9.875" style="31" customWidth="1"/>
    <col min="4" max="4" width="66.125" style="3" customWidth="1"/>
    <col min="5" max="5" width="7.25" style="44" customWidth="1"/>
    <col min="6" max="6" width="5" style="1" customWidth="1"/>
    <col min="7" max="7" width="7.625" style="4" customWidth="1"/>
    <col min="8" max="8" width="8" style="1" customWidth="1"/>
    <col min="9" max="9" width="9.125" style="5" customWidth="1"/>
    <col min="10" max="10" width="5.625" style="203" customWidth="1"/>
    <col min="11" max="1025" width="8" style="1" customWidth="1"/>
  </cols>
  <sheetData>
    <row r="1" spans="1:21" ht="18" x14ac:dyDescent="0.25">
      <c r="A1" s="163" t="s">
        <v>383</v>
      </c>
      <c r="B1" s="190"/>
      <c r="C1" s="190"/>
      <c r="D1" s="190"/>
      <c r="E1" s="190"/>
      <c r="F1" s="190"/>
      <c r="G1" s="190"/>
      <c r="H1" s="190"/>
      <c r="I1" s="190"/>
      <c r="J1" s="202"/>
    </row>
    <row r="2" spans="1:21" x14ac:dyDescent="0.2">
      <c r="A2" s="166" t="s">
        <v>366</v>
      </c>
      <c r="B2" s="172"/>
      <c r="C2" s="167" t="str">
        <f>Rekapitulácia!B2</f>
        <v>Most na Triede arm. gen. L. Svobodu</v>
      </c>
      <c r="D2" s="173"/>
      <c r="E2" s="173"/>
      <c r="F2" s="172"/>
      <c r="G2" s="172"/>
      <c r="H2" s="172"/>
      <c r="I2" s="172"/>
      <c r="J2" s="202"/>
    </row>
    <row r="3" spans="1:21" x14ac:dyDescent="0.2">
      <c r="A3" s="166" t="s">
        <v>367</v>
      </c>
      <c r="B3" s="172"/>
      <c r="C3" s="167" t="str">
        <f>Rekapitulácia!B3</f>
        <v>Most na Triede arm. gen. L. Svobodu</v>
      </c>
      <c r="D3" s="173"/>
      <c r="E3" s="173"/>
      <c r="F3" s="172"/>
      <c r="G3" s="172"/>
      <c r="H3" s="172"/>
      <c r="I3" s="167"/>
      <c r="J3" s="202"/>
    </row>
    <row r="4" spans="1:21" x14ac:dyDescent="0.2">
      <c r="A4" s="166" t="s">
        <v>368</v>
      </c>
      <c r="B4" s="172"/>
      <c r="C4" s="167" t="s">
        <v>292</v>
      </c>
      <c r="D4" s="173"/>
      <c r="E4" s="173"/>
      <c r="F4" s="172"/>
      <c r="G4" s="172"/>
      <c r="H4" s="172"/>
      <c r="I4" s="167"/>
      <c r="J4" s="202"/>
    </row>
    <row r="5" spans="1:21" x14ac:dyDescent="0.2">
      <c r="A5" s="172" t="s">
        <v>384</v>
      </c>
      <c r="B5" s="172"/>
      <c r="C5" s="167" t="s">
        <v>292</v>
      </c>
      <c r="D5" s="173"/>
      <c r="E5" s="173"/>
      <c r="F5" s="172"/>
      <c r="G5" s="172"/>
      <c r="H5" s="172"/>
      <c r="I5" s="191"/>
      <c r="J5" s="202"/>
    </row>
    <row r="6" spans="1:21" x14ac:dyDescent="0.2">
      <c r="A6" s="172"/>
      <c r="B6" s="172"/>
      <c r="C6" s="167"/>
      <c r="D6" s="173"/>
      <c r="E6" s="173"/>
      <c r="F6" s="172"/>
      <c r="G6" s="172"/>
      <c r="H6" s="172"/>
      <c r="I6" s="191"/>
      <c r="J6" s="202"/>
    </row>
    <row r="7" spans="1:21" x14ac:dyDescent="0.2">
      <c r="A7" s="172" t="s">
        <v>370</v>
      </c>
      <c r="B7" s="172"/>
      <c r="C7" s="167" t="str">
        <f>Rekapitulácia!B7</f>
        <v>Mesto Košice</v>
      </c>
      <c r="D7" s="173"/>
      <c r="E7" s="173"/>
      <c r="F7" s="172"/>
      <c r="G7" s="172"/>
      <c r="H7" s="172"/>
      <c r="I7" s="191"/>
      <c r="J7" s="202"/>
    </row>
    <row r="8" spans="1:21" x14ac:dyDescent="0.2">
      <c r="A8" s="172" t="s">
        <v>371</v>
      </c>
      <c r="B8" s="172"/>
      <c r="C8" s="167" t="s">
        <v>292</v>
      </c>
      <c r="D8" s="173"/>
      <c r="E8" s="173"/>
      <c r="F8" s="172"/>
      <c r="G8" s="172"/>
      <c r="H8" s="172"/>
      <c r="I8" s="191"/>
      <c r="J8" s="202"/>
    </row>
    <row r="9" spans="1:21" x14ac:dyDescent="0.2">
      <c r="A9" s="172" t="s">
        <v>372</v>
      </c>
      <c r="B9" s="172"/>
      <c r="C9" s="167"/>
      <c r="D9" s="173"/>
      <c r="E9" s="173"/>
      <c r="F9" s="172"/>
      <c r="G9" s="172"/>
      <c r="H9" s="172"/>
      <c r="I9" s="191"/>
      <c r="J9" s="202"/>
    </row>
    <row r="10" spans="1:21" ht="15" thickBot="1" x14ac:dyDescent="0.25">
      <c r="A10" s="190"/>
      <c r="B10" s="190"/>
      <c r="C10" s="190"/>
      <c r="D10" s="190"/>
      <c r="E10" s="190"/>
      <c r="F10" s="190"/>
      <c r="G10" s="190"/>
      <c r="H10" s="190"/>
      <c r="I10" s="190"/>
      <c r="J10" s="202"/>
    </row>
    <row r="11" spans="1:21" ht="24.75" customHeight="1" x14ac:dyDescent="0.2">
      <c r="A11" s="216" t="s">
        <v>385</v>
      </c>
      <c r="B11" s="217" t="s">
        <v>0</v>
      </c>
      <c r="C11" s="218" t="s">
        <v>1</v>
      </c>
      <c r="D11" s="219" t="s">
        <v>374</v>
      </c>
      <c r="E11" s="219" t="s">
        <v>374</v>
      </c>
      <c r="F11" s="219" t="s">
        <v>386</v>
      </c>
      <c r="G11" s="220" t="s">
        <v>387</v>
      </c>
      <c r="H11" s="219" t="s">
        <v>388</v>
      </c>
      <c r="I11" s="219" t="s">
        <v>375</v>
      </c>
      <c r="J11" s="221" t="s">
        <v>389</v>
      </c>
    </row>
    <row r="12" spans="1:21" x14ac:dyDescent="0.2">
      <c r="A12" s="222">
        <v>1</v>
      </c>
      <c r="B12" s="200">
        <v>2</v>
      </c>
      <c r="C12" s="200">
        <v>3</v>
      </c>
      <c r="D12" s="200">
        <v>4</v>
      </c>
      <c r="E12" s="200">
        <v>5</v>
      </c>
      <c r="F12" s="200">
        <v>6</v>
      </c>
      <c r="G12" s="205">
        <v>7</v>
      </c>
      <c r="H12" s="205">
        <v>8</v>
      </c>
      <c r="I12" s="200">
        <v>9</v>
      </c>
      <c r="J12" s="223">
        <v>10</v>
      </c>
    </row>
    <row r="13" spans="1:21" ht="25.5" x14ac:dyDescent="0.2">
      <c r="A13" s="196">
        <v>1</v>
      </c>
      <c r="B13" s="39" t="s">
        <v>2</v>
      </c>
      <c r="C13" s="32"/>
      <c r="D13" s="6" t="s">
        <v>3</v>
      </c>
      <c r="E13" s="11"/>
      <c r="F13" s="9" t="s">
        <v>4</v>
      </c>
      <c r="G13" s="206">
        <v>1</v>
      </c>
      <c r="H13" s="209"/>
      <c r="I13" s="212">
        <f>G13*H13</f>
        <v>0</v>
      </c>
      <c r="J13" s="224">
        <v>20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">
      <c r="A14" s="196"/>
      <c r="B14" s="39"/>
      <c r="C14" s="32"/>
      <c r="D14" s="6"/>
      <c r="E14" s="11"/>
      <c r="F14" s="9"/>
      <c r="G14" s="206"/>
      <c r="H14" s="209"/>
      <c r="I14" s="212"/>
      <c r="J14" s="224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">
      <c r="A15" s="196">
        <v>2</v>
      </c>
      <c r="B15" s="39" t="s">
        <v>2</v>
      </c>
      <c r="C15" s="32"/>
      <c r="D15" s="6" t="s">
        <v>5</v>
      </c>
      <c r="E15" s="11"/>
      <c r="F15" s="9" t="s">
        <v>4</v>
      </c>
      <c r="G15" s="206">
        <v>1</v>
      </c>
      <c r="H15" s="209"/>
      <c r="I15" s="212">
        <f>G15*H15</f>
        <v>0</v>
      </c>
      <c r="J15" s="224">
        <v>20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">
      <c r="A16" s="196"/>
      <c r="B16" s="39"/>
      <c r="C16" s="32"/>
      <c r="D16" s="6"/>
      <c r="E16" s="11"/>
      <c r="F16" s="9"/>
      <c r="G16" s="206"/>
      <c r="H16" s="209"/>
      <c r="I16" s="212"/>
      <c r="J16" s="224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25.5" x14ac:dyDescent="0.2">
      <c r="A17" s="196">
        <v>3</v>
      </c>
      <c r="B17" s="39" t="s">
        <v>2</v>
      </c>
      <c r="C17" s="32"/>
      <c r="D17" s="6" t="s">
        <v>6</v>
      </c>
      <c r="E17" s="11"/>
      <c r="F17" s="9" t="s">
        <v>4</v>
      </c>
      <c r="G17" s="206">
        <v>1</v>
      </c>
      <c r="H17" s="209"/>
      <c r="I17" s="212">
        <f>G17*H17</f>
        <v>0</v>
      </c>
      <c r="J17" s="224">
        <v>20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">
      <c r="A18" s="196"/>
      <c r="B18" s="39"/>
      <c r="C18" s="32"/>
      <c r="D18" s="6"/>
      <c r="E18" s="11"/>
      <c r="F18" s="9"/>
      <c r="G18" s="206"/>
      <c r="H18" s="209"/>
      <c r="I18" s="212"/>
      <c r="J18" s="224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">
      <c r="A19" s="196">
        <v>4</v>
      </c>
      <c r="B19" s="39" t="s">
        <v>2</v>
      </c>
      <c r="C19" s="32"/>
      <c r="D19" s="6" t="s">
        <v>7</v>
      </c>
      <c r="E19" s="11"/>
      <c r="F19" s="9" t="s">
        <v>4</v>
      </c>
      <c r="G19" s="206">
        <v>1</v>
      </c>
      <c r="H19" s="209"/>
      <c r="I19" s="212">
        <f>G19*H19</f>
        <v>0</v>
      </c>
      <c r="J19" s="224">
        <v>20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">
      <c r="A20" s="196"/>
      <c r="B20" s="39"/>
      <c r="C20" s="32"/>
      <c r="D20" s="6"/>
      <c r="E20" s="11"/>
      <c r="F20" s="9"/>
      <c r="G20" s="206"/>
      <c r="H20" s="209"/>
      <c r="I20" s="212"/>
      <c r="J20" s="22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25.5" x14ac:dyDescent="0.2">
      <c r="A21" s="196">
        <v>5</v>
      </c>
      <c r="B21" s="39" t="s">
        <v>2</v>
      </c>
      <c r="C21" s="32"/>
      <c r="D21" s="6" t="s">
        <v>8</v>
      </c>
      <c r="E21" s="11"/>
      <c r="F21" s="9" t="s">
        <v>4</v>
      </c>
      <c r="G21" s="206">
        <v>1</v>
      </c>
      <c r="H21" s="209"/>
      <c r="I21" s="212">
        <f>G21*H21</f>
        <v>0</v>
      </c>
      <c r="J21" s="224">
        <v>20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">
      <c r="A22" s="196"/>
      <c r="B22" s="39"/>
      <c r="C22" s="32"/>
      <c r="D22" s="6"/>
      <c r="E22" s="11"/>
      <c r="F22" s="9"/>
      <c r="G22" s="206"/>
      <c r="H22" s="209"/>
      <c r="I22" s="212"/>
      <c r="J22" s="224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25.5" x14ac:dyDescent="0.2">
      <c r="A23" s="196">
        <v>6</v>
      </c>
      <c r="B23" s="39" t="s">
        <v>2</v>
      </c>
      <c r="C23" s="32"/>
      <c r="D23" s="6" t="s">
        <v>9</v>
      </c>
      <c r="E23" s="11"/>
      <c r="F23" s="9" t="s">
        <v>4</v>
      </c>
      <c r="G23" s="206">
        <v>1</v>
      </c>
      <c r="H23" s="209"/>
      <c r="I23" s="212">
        <f>G23*H23</f>
        <v>0</v>
      </c>
      <c r="J23" s="224">
        <v>20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">
      <c r="A24" s="196"/>
      <c r="B24" s="39"/>
      <c r="C24" s="32"/>
      <c r="D24" s="10" t="s">
        <v>248</v>
      </c>
      <c r="E24" s="11"/>
      <c r="F24" s="9"/>
      <c r="G24" s="206"/>
      <c r="H24" s="209"/>
      <c r="I24" s="212"/>
      <c r="J24" s="224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">
      <c r="A25" s="196"/>
      <c r="B25" s="39"/>
      <c r="C25" s="32"/>
      <c r="D25" s="6"/>
      <c r="E25" s="11"/>
      <c r="F25" s="9"/>
      <c r="G25" s="206"/>
      <c r="H25" s="209"/>
      <c r="I25" s="212"/>
      <c r="J25" s="224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">
      <c r="A26" s="196">
        <v>7</v>
      </c>
      <c r="B26" s="39" t="s">
        <v>2</v>
      </c>
      <c r="C26" s="32" t="s">
        <v>10</v>
      </c>
      <c r="D26" s="6" t="s">
        <v>11</v>
      </c>
      <c r="E26" s="11"/>
      <c r="F26" s="9" t="s">
        <v>12</v>
      </c>
      <c r="G26" s="206">
        <f>E44</f>
        <v>3404.0084000000002</v>
      </c>
      <c r="H26" s="209"/>
      <c r="I26" s="212">
        <f>G26*H26</f>
        <v>0</v>
      </c>
      <c r="J26" s="224">
        <v>20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x14ac:dyDescent="0.2">
      <c r="A27" s="196"/>
      <c r="B27" s="39"/>
      <c r="C27" s="32"/>
      <c r="D27" s="10" t="s">
        <v>13</v>
      </c>
      <c r="E27" s="11">
        <f>7*8.1*0.3*2</f>
        <v>34.019999999999996</v>
      </c>
      <c r="F27" s="9"/>
      <c r="G27" s="206"/>
      <c r="H27" s="209"/>
      <c r="I27" s="212"/>
      <c r="J27" s="22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x14ac:dyDescent="0.2">
      <c r="A28" s="196"/>
      <c r="B28" s="39"/>
      <c r="C28" s="32"/>
      <c r="D28" s="10" t="s">
        <v>14</v>
      </c>
      <c r="E28" s="11">
        <f>0.8*2.63*(13.96+13.7)</f>
        <v>58.196640000000002</v>
      </c>
      <c r="F28" s="9"/>
      <c r="G28" s="206"/>
      <c r="H28" s="209"/>
      <c r="I28" s="212"/>
      <c r="J28" s="224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x14ac:dyDescent="0.2">
      <c r="A29" s="196"/>
      <c r="B29" s="39"/>
      <c r="C29" s="32"/>
      <c r="D29" s="10" t="s">
        <v>15</v>
      </c>
      <c r="E29" s="11">
        <f>10*6.44</f>
        <v>64.400000000000006</v>
      </c>
      <c r="F29" s="9"/>
      <c r="G29" s="206"/>
      <c r="H29" s="209"/>
      <c r="I29" s="212"/>
      <c r="J29" s="22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x14ac:dyDescent="0.2">
      <c r="A30" s="196"/>
      <c r="B30" s="39"/>
      <c r="C30" s="32"/>
      <c r="D30" s="10" t="s">
        <v>16</v>
      </c>
      <c r="E30" s="12">
        <f>1.8*0.4*19.9</f>
        <v>14.328000000000001</v>
      </c>
      <c r="F30" s="9"/>
      <c r="G30" s="206"/>
      <c r="H30" s="209"/>
      <c r="I30" s="212"/>
      <c r="J30" s="224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x14ac:dyDescent="0.2">
      <c r="A31" s="196"/>
      <c r="B31" s="39"/>
      <c r="C31" s="32"/>
      <c r="D31" s="13" t="s">
        <v>17</v>
      </c>
      <c r="E31" s="11">
        <f>SUM(E27:E30)</f>
        <v>170.94464000000002</v>
      </c>
      <c r="F31" s="9"/>
      <c r="G31" s="206"/>
      <c r="H31" s="209"/>
      <c r="I31" s="212"/>
      <c r="J31" s="224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x14ac:dyDescent="0.2">
      <c r="A32" s="196"/>
      <c r="B32" s="39"/>
      <c r="C32" s="32"/>
      <c r="D32" s="10" t="s">
        <v>18</v>
      </c>
      <c r="E32" s="11">
        <f>7*8.9*0.3*2</f>
        <v>37.380000000000003</v>
      </c>
      <c r="F32" s="9"/>
      <c r="G32" s="206"/>
      <c r="H32" s="209"/>
      <c r="I32" s="212"/>
      <c r="J32" s="2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x14ac:dyDescent="0.2">
      <c r="A33" s="196"/>
      <c r="B33" s="39"/>
      <c r="C33" s="32"/>
      <c r="D33" s="10" t="s">
        <v>19</v>
      </c>
      <c r="E33" s="11">
        <f>0.8*2.63*(10.45+10.55)</f>
        <v>44.184000000000005</v>
      </c>
      <c r="F33" s="9"/>
      <c r="G33" s="206"/>
      <c r="H33" s="209"/>
      <c r="I33" s="212"/>
      <c r="J33" s="22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2">
      <c r="A34" s="196"/>
      <c r="B34" s="39"/>
      <c r="C34" s="32"/>
      <c r="D34" s="10" t="s">
        <v>20</v>
      </c>
      <c r="E34" s="11">
        <f>9*6.44</f>
        <v>57.96</v>
      </c>
      <c r="F34" s="9"/>
      <c r="G34" s="206"/>
      <c r="H34" s="209"/>
      <c r="I34" s="212"/>
      <c r="J34" s="224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x14ac:dyDescent="0.2">
      <c r="A35" s="196"/>
      <c r="B35" s="39"/>
      <c r="C35" s="32"/>
      <c r="D35" s="10" t="s">
        <v>21</v>
      </c>
      <c r="E35" s="12">
        <f>1.6*0.4*19.9</f>
        <v>12.736000000000002</v>
      </c>
      <c r="F35" s="9"/>
      <c r="G35" s="206"/>
      <c r="H35" s="209"/>
      <c r="I35" s="212"/>
      <c r="J35" s="224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ht="15" thickBot="1" x14ac:dyDescent="0.25">
      <c r="A36" s="196"/>
      <c r="B36" s="39"/>
      <c r="C36" s="32"/>
      <c r="D36" s="13" t="s">
        <v>17</v>
      </c>
      <c r="E36" s="14">
        <f>SUM(E32:E35)</f>
        <v>152.26</v>
      </c>
      <c r="F36" s="9"/>
      <c r="G36" s="206"/>
      <c r="H36" s="209"/>
      <c r="I36" s="212"/>
      <c r="J36" s="224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ht="15.75" thickTop="1" thickBot="1" x14ac:dyDescent="0.25">
      <c r="A37" s="196"/>
      <c r="B37" s="39"/>
      <c r="C37" s="32"/>
      <c r="D37" s="13" t="s">
        <v>284</v>
      </c>
      <c r="E37" s="45">
        <f>E31+E36</f>
        <v>323.20464000000004</v>
      </c>
      <c r="F37" s="9"/>
      <c r="G37" s="206"/>
      <c r="H37" s="209"/>
      <c r="I37" s="212"/>
      <c r="J37" s="224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ht="15" thickTop="1" x14ac:dyDescent="0.2">
      <c r="A38" s="196"/>
      <c r="B38" s="39"/>
      <c r="C38" s="32"/>
      <c r="D38" s="13" t="s">
        <v>285</v>
      </c>
      <c r="E38" s="11">
        <f>313.2*2.3</f>
        <v>720.3599999999999</v>
      </c>
      <c r="F38" s="9"/>
      <c r="G38" s="206"/>
      <c r="H38" s="209"/>
      <c r="I38" s="212"/>
      <c r="J38" s="224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x14ac:dyDescent="0.2">
      <c r="A39" s="196"/>
      <c r="B39" s="39"/>
      <c r="C39" s="32"/>
      <c r="D39" s="13" t="s">
        <v>22</v>
      </c>
      <c r="E39" s="11">
        <f>3009.33*0.127</f>
        <v>382.18491</v>
      </c>
      <c r="F39" s="9"/>
      <c r="G39" s="206"/>
      <c r="H39" s="209"/>
      <c r="I39" s="212"/>
      <c r="J39" s="224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x14ac:dyDescent="0.2">
      <c r="A40" s="196"/>
      <c r="B40" s="39"/>
      <c r="C40" s="32"/>
      <c r="D40" s="13" t="s">
        <v>23</v>
      </c>
      <c r="E40" s="11">
        <v>27.25</v>
      </c>
      <c r="F40" s="9"/>
      <c r="G40" s="206"/>
      <c r="H40" s="209"/>
      <c r="I40" s="212"/>
      <c r="J40" s="224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x14ac:dyDescent="0.2">
      <c r="A41" s="196"/>
      <c r="B41" s="39"/>
      <c r="C41" s="32"/>
      <c r="D41" s="13" t="s">
        <v>24</v>
      </c>
      <c r="E41" s="11">
        <f>1003.11*0.635</f>
        <v>636.97485000000006</v>
      </c>
      <c r="F41" s="9"/>
      <c r="G41" s="206"/>
      <c r="H41" s="209"/>
      <c r="I41" s="212"/>
      <c r="J41" s="224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x14ac:dyDescent="0.2">
      <c r="A42" s="196"/>
      <c r="B42" s="39"/>
      <c r="C42" s="32"/>
      <c r="D42" s="13" t="s">
        <v>286</v>
      </c>
      <c r="E42" s="11">
        <f>741.02*1.7</f>
        <v>1259.7339999999999</v>
      </c>
      <c r="F42" s="9"/>
      <c r="G42" s="206"/>
      <c r="H42" s="209"/>
      <c r="I42" s="212"/>
      <c r="J42" s="224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x14ac:dyDescent="0.2">
      <c r="A43" s="196"/>
      <c r="B43" s="39"/>
      <c r="C43" s="32"/>
      <c r="D43" s="13" t="s">
        <v>25</v>
      </c>
      <c r="E43" s="12">
        <v>54.3</v>
      </c>
      <c r="F43" s="9"/>
      <c r="G43" s="206"/>
      <c r="H43" s="209"/>
      <c r="I43" s="212"/>
      <c r="J43" s="224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x14ac:dyDescent="0.2">
      <c r="A44" s="196"/>
      <c r="B44" s="39"/>
      <c r="C44" s="32"/>
      <c r="D44" s="13" t="s">
        <v>26</v>
      </c>
      <c r="E44" s="11">
        <f>SUM(E37:E43)</f>
        <v>3404.0084000000002</v>
      </c>
      <c r="F44" s="9"/>
      <c r="G44" s="206"/>
      <c r="H44" s="209"/>
      <c r="I44" s="212"/>
      <c r="J44" s="224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x14ac:dyDescent="0.2">
      <c r="A45" s="196"/>
      <c r="B45" s="39"/>
      <c r="C45" s="32"/>
      <c r="D45" s="6"/>
      <c r="E45" s="11"/>
      <c r="F45" s="9"/>
      <c r="G45" s="206"/>
      <c r="H45" s="209"/>
      <c r="I45" s="212"/>
      <c r="J45" s="224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x14ac:dyDescent="0.2">
      <c r="A46" s="196">
        <v>8</v>
      </c>
      <c r="B46" s="39" t="s">
        <v>27</v>
      </c>
      <c r="C46" s="32" t="s">
        <v>28</v>
      </c>
      <c r="D46" s="6" t="s">
        <v>29</v>
      </c>
      <c r="E46" s="11"/>
      <c r="F46" s="9" t="s">
        <v>30</v>
      </c>
      <c r="G46" s="206">
        <f>E57</f>
        <v>143.412128</v>
      </c>
      <c r="H46" s="209"/>
      <c r="I46" s="212">
        <f>G46*H46</f>
        <v>0</v>
      </c>
      <c r="J46" s="225" t="s">
        <v>354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x14ac:dyDescent="0.2">
      <c r="A47" s="196"/>
      <c r="B47" s="39"/>
      <c r="C47" s="32"/>
      <c r="D47" s="10" t="s">
        <v>13</v>
      </c>
      <c r="E47" s="11">
        <f>7*8.1*0.3*2</f>
        <v>34.019999999999996</v>
      </c>
      <c r="F47" s="9"/>
      <c r="G47" s="206"/>
      <c r="H47" s="209"/>
      <c r="I47" s="212"/>
      <c r="J47" s="225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x14ac:dyDescent="0.2">
      <c r="A48" s="196"/>
      <c r="B48" s="39"/>
      <c r="C48" s="32"/>
      <c r="D48" s="10" t="s">
        <v>31</v>
      </c>
      <c r="E48" s="11">
        <f>0.8*2.63*(13.96+13.7)*0.2</f>
        <v>11.639328000000001</v>
      </c>
      <c r="F48" s="9"/>
      <c r="G48" s="206"/>
      <c r="H48" s="209"/>
      <c r="I48" s="212"/>
      <c r="J48" s="225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x14ac:dyDescent="0.2">
      <c r="A49" s="196"/>
      <c r="B49" s="39"/>
      <c r="C49" s="32"/>
      <c r="D49" s="10" t="s">
        <v>32</v>
      </c>
      <c r="E49" s="11">
        <f>10*6.44*0.2</f>
        <v>12.880000000000003</v>
      </c>
      <c r="F49" s="9"/>
      <c r="G49" s="206"/>
      <c r="H49" s="209"/>
      <c r="I49" s="212"/>
      <c r="J49" s="225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x14ac:dyDescent="0.2">
      <c r="A50" s="196"/>
      <c r="B50" s="39"/>
      <c r="C50" s="32"/>
      <c r="D50" s="10" t="s">
        <v>16</v>
      </c>
      <c r="E50" s="12">
        <f>1.8*0.4*19.9</f>
        <v>14.328000000000001</v>
      </c>
      <c r="F50" s="9"/>
      <c r="G50" s="206"/>
      <c r="H50" s="209"/>
      <c r="I50" s="212"/>
      <c r="J50" s="225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x14ac:dyDescent="0.2">
      <c r="A51" s="196"/>
      <c r="B51" s="39"/>
      <c r="C51" s="32"/>
      <c r="D51" s="13" t="s">
        <v>17</v>
      </c>
      <c r="E51" s="11">
        <f>SUM(E47:E50)</f>
        <v>72.867328000000001</v>
      </c>
      <c r="F51" s="9"/>
      <c r="G51" s="206"/>
      <c r="H51" s="209"/>
      <c r="I51" s="212"/>
      <c r="J51" s="225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x14ac:dyDescent="0.2">
      <c r="A52" s="196"/>
      <c r="B52" s="39"/>
      <c r="C52" s="32"/>
      <c r="D52" s="10" t="s">
        <v>18</v>
      </c>
      <c r="E52" s="11">
        <f>7*8.9*0.3*2</f>
        <v>37.380000000000003</v>
      </c>
      <c r="F52" s="9"/>
      <c r="G52" s="206"/>
      <c r="H52" s="209"/>
      <c r="I52" s="212"/>
      <c r="J52" s="225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x14ac:dyDescent="0.2">
      <c r="A53" s="196"/>
      <c r="B53" s="39"/>
      <c r="C53" s="32"/>
      <c r="D53" s="10" t="s">
        <v>33</v>
      </c>
      <c r="E53" s="11">
        <f>0.8*2.63*(10.45+10.55)*0.2</f>
        <v>8.836800000000002</v>
      </c>
      <c r="F53" s="9"/>
      <c r="G53" s="206"/>
      <c r="H53" s="209"/>
      <c r="I53" s="212"/>
      <c r="J53" s="225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x14ac:dyDescent="0.2">
      <c r="A54" s="196"/>
      <c r="B54" s="39"/>
      <c r="C54" s="32"/>
      <c r="D54" s="10" t="s">
        <v>34</v>
      </c>
      <c r="E54" s="11">
        <f>9*6.44*0.2</f>
        <v>11.592000000000001</v>
      </c>
      <c r="F54" s="9"/>
      <c r="G54" s="206"/>
      <c r="H54" s="209"/>
      <c r="I54" s="212"/>
      <c r="J54" s="225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x14ac:dyDescent="0.2">
      <c r="A55" s="196"/>
      <c r="B55" s="39"/>
      <c r="C55" s="32"/>
      <c r="D55" s="10" t="s">
        <v>21</v>
      </c>
      <c r="E55" s="12">
        <f>1.6*0.4*19.9</f>
        <v>12.736000000000002</v>
      </c>
      <c r="F55" s="9"/>
      <c r="G55" s="206"/>
      <c r="H55" s="209"/>
      <c r="I55" s="212"/>
      <c r="J55" s="225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ht="15" thickBot="1" x14ac:dyDescent="0.25">
      <c r="A56" s="196"/>
      <c r="B56" s="39"/>
      <c r="C56" s="32"/>
      <c r="D56" s="13" t="s">
        <v>17</v>
      </c>
      <c r="E56" s="14">
        <f>SUM(E52:E55)</f>
        <v>70.544800000000009</v>
      </c>
      <c r="F56" s="9"/>
      <c r="G56" s="206"/>
      <c r="H56" s="209"/>
      <c r="I56" s="212"/>
      <c r="J56" s="225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ht="15" thickTop="1" x14ac:dyDescent="0.2">
      <c r="A57" s="196"/>
      <c r="B57" s="39"/>
      <c r="C57" s="32"/>
      <c r="D57" s="13" t="s">
        <v>35</v>
      </c>
      <c r="E57" s="11">
        <f>E51+E56</f>
        <v>143.412128</v>
      </c>
      <c r="F57" s="9"/>
      <c r="G57" s="206"/>
      <c r="H57" s="209"/>
      <c r="I57" s="212"/>
      <c r="J57" s="225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x14ac:dyDescent="0.2">
      <c r="A58" s="196"/>
      <c r="B58" s="39"/>
      <c r="C58" s="32"/>
      <c r="D58" s="6"/>
      <c r="E58" s="11"/>
      <c r="F58" s="9"/>
      <c r="G58" s="206"/>
      <c r="H58" s="209"/>
      <c r="I58" s="212"/>
      <c r="J58" s="225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x14ac:dyDescent="0.2">
      <c r="A59" s="196">
        <v>9</v>
      </c>
      <c r="B59" s="39"/>
      <c r="C59" s="32" t="s">
        <v>36</v>
      </c>
      <c r="D59" s="6" t="s">
        <v>37</v>
      </c>
      <c r="E59" s="11"/>
      <c r="F59" s="9" t="s">
        <v>38</v>
      </c>
      <c r="G59" s="206">
        <f>E66</f>
        <v>282.50779999999997</v>
      </c>
      <c r="H59" s="209"/>
      <c r="I59" s="212">
        <f>G59*H59</f>
        <v>0</v>
      </c>
      <c r="J59" s="225" t="s">
        <v>354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x14ac:dyDescent="0.2">
      <c r="A60" s="196"/>
      <c r="B60" s="39"/>
      <c r="C60" s="32"/>
      <c r="D60" s="10" t="s">
        <v>39</v>
      </c>
      <c r="E60" s="11">
        <f>2.63*(13.96+13.7)+2.63*0.8*2*2</f>
        <v>81.161799999999999</v>
      </c>
      <c r="F60" s="9"/>
      <c r="G60" s="206"/>
      <c r="H60" s="209"/>
      <c r="I60" s="212"/>
      <c r="J60" s="225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x14ac:dyDescent="0.2">
      <c r="A61" s="196"/>
      <c r="B61" s="39"/>
      <c r="C61" s="32"/>
      <c r="D61" s="10" t="s">
        <v>40</v>
      </c>
      <c r="E61" s="15">
        <f>0.85*18*5</f>
        <v>76.5</v>
      </c>
      <c r="F61" s="9"/>
      <c r="G61" s="206"/>
      <c r="H61" s="209"/>
      <c r="I61" s="212"/>
      <c r="J61" s="225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x14ac:dyDescent="0.2">
      <c r="A62" s="196"/>
      <c r="B62" s="39"/>
      <c r="C62" s="32"/>
      <c r="D62" s="13" t="s">
        <v>17</v>
      </c>
      <c r="E62" s="11">
        <f>SUM(E60:E61)</f>
        <v>157.6618</v>
      </c>
      <c r="F62" s="9"/>
      <c r="G62" s="206"/>
      <c r="H62" s="209"/>
      <c r="I62" s="212"/>
      <c r="J62" s="225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x14ac:dyDescent="0.2">
      <c r="A63" s="196"/>
      <c r="B63" s="39"/>
      <c r="C63" s="32"/>
      <c r="D63" s="10" t="s">
        <v>41</v>
      </c>
      <c r="E63" s="11">
        <f>2.63*(10.45+10.55)+2.63*0.8*2*2</f>
        <v>63.646000000000001</v>
      </c>
      <c r="F63" s="9"/>
      <c r="G63" s="206"/>
      <c r="H63" s="209"/>
      <c r="I63" s="212"/>
      <c r="J63" s="225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x14ac:dyDescent="0.2">
      <c r="A64" s="196"/>
      <c r="B64" s="39"/>
      <c r="C64" s="32"/>
      <c r="D64" s="10" t="s">
        <v>42</v>
      </c>
      <c r="E64" s="15">
        <f>0.85*18*4</f>
        <v>61.199999999999996</v>
      </c>
      <c r="F64" s="9"/>
      <c r="G64" s="206"/>
      <c r="H64" s="209"/>
      <c r="I64" s="212"/>
      <c r="J64" s="225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15" thickBot="1" x14ac:dyDescent="0.25">
      <c r="A65" s="196"/>
      <c r="B65" s="39"/>
      <c r="C65" s="32"/>
      <c r="D65" s="13" t="s">
        <v>17</v>
      </c>
      <c r="E65" s="14">
        <f>SUM(E63:E64)</f>
        <v>124.846</v>
      </c>
      <c r="F65" s="9"/>
      <c r="G65" s="206"/>
      <c r="H65" s="209"/>
      <c r="I65" s="212"/>
      <c r="J65" s="225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 ht="15" thickTop="1" x14ac:dyDescent="0.2">
      <c r="A66" s="196"/>
      <c r="B66" s="39"/>
      <c r="C66" s="32"/>
      <c r="D66" s="13" t="s">
        <v>35</v>
      </c>
      <c r="E66" s="11">
        <f>E62+E65</f>
        <v>282.50779999999997</v>
      </c>
      <c r="F66" s="9"/>
      <c r="G66" s="206"/>
      <c r="H66" s="209"/>
      <c r="I66" s="212"/>
      <c r="J66" s="225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1:21" x14ac:dyDescent="0.2">
      <c r="A67" s="196"/>
      <c r="B67" s="39"/>
      <c r="C67" s="32"/>
      <c r="D67" s="6"/>
      <c r="E67" s="11"/>
      <c r="F67" s="9"/>
      <c r="G67" s="206"/>
      <c r="H67" s="209"/>
      <c r="I67" s="212"/>
      <c r="J67" s="225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 x14ac:dyDescent="0.2">
      <c r="A68" s="196">
        <v>10</v>
      </c>
      <c r="B68" s="39" t="s">
        <v>43</v>
      </c>
      <c r="C68" s="32" t="s">
        <v>44</v>
      </c>
      <c r="D68" s="6" t="s">
        <v>45</v>
      </c>
      <c r="E68" s="11"/>
      <c r="F68" s="9" t="s">
        <v>46</v>
      </c>
      <c r="G68" s="206">
        <v>122</v>
      </c>
      <c r="H68" s="209"/>
      <c r="I68" s="212">
        <f>G68*H68</f>
        <v>0</v>
      </c>
      <c r="J68" s="225" t="s">
        <v>354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1:21" x14ac:dyDescent="0.2">
      <c r="A69" s="196"/>
      <c r="B69" s="39"/>
      <c r="C69" s="32"/>
      <c r="D69" s="10" t="s">
        <v>47</v>
      </c>
      <c r="E69" s="11">
        <f>20*2</f>
        <v>40</v>
      </c>
      <c r="F69" s="9"/>
      <c r="G69" s="206"/>
      <c r="H69" s="209"/>
      <c r="I69" s="212"/>
      <c r="J69" s="225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1:21" x14ac:dyDescent="0.2">
      <c r="A70" s="196"/>
      <c r="B70" s="39"/>
      <c r="C70" s="32"/>
      <c r="D70" s="10" t="s">
        <v>48</v>
      </c>
      <c r="E70" s="12">
        <f>15+21+27+19</f>
        <v>82</v>
      </c>
      <c r="F70" s="9"/>
      <c r="G70" s="206"/>
      <c r="H70" s="209"/>
      <c r="I70" s="212"/>
      <c r="J70" s="225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1:21" x14ac:dyDescent="0.2">
      <c r="A71" s="196"/>
      <c r="B71" s="39"/>
      <c r="C71" s="32"/>
      <c r="D71" s="6"/>
      <c r="E71" s="11">
        <f>SUM(E69:E70)</f>
        <v>122</v>
      </c>
      <c r="F71" s="9"/>
      <c r="G71" s="206"/>
      <c r="H71" s="209"/>
      <c r="I71" s="212"/>
      <c r="J71" s="225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1:21" x14ac:dyDescent="0.2">
      <c r="A72" s="196"/>
      <c r="B72" s="39"/>
      <c r="C72" s="32"/>
      <c r="D72" s="6"/>
      <c r="E72" s="11"/>
      <c r="F72" s="9"/>
      <c r="G72" s="206"/>
      <c r="H72" s="209"/>
      <c r="I72" s="212"/>
      <c r="J72" s="225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x14ac:dyDescent="0.2">
      <c r="A73" s="196">
        <v>11</v>
      </c>
      <c r="B73" s="39" t="s">
        <v>43</v>
      </c>
      <c r="C73" s="32" t="s">
        <v>49</v>
      </c>
      <c r="D73" s="6" t="s">
        <v>50</v>
      </c>
      <c r="E73" s="11"/>
      <c r="F73" s="9" t="s">
        <v>38</v>
      </c>
      <c r="G73" s="206">
        <v>300</v>
      </c>
      <c r="H73" s="209"/>
      <c r="I73" s="212">
        <f>G73*H73</f>
        <v>0</v>
      </c>
      <c r="J73" s="225" t="s">
        <v>354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1" x14ac:dyDescent="0.2">
      <c r="A74" s="196"/>
      <c r="B74" s="39"/>
      <c r="C74" s="32"/>
      <c r="D74" s="10" t="s">
        <v>51</v>
      </c>
      <c r="E74" s="11">
        <f>3*50*2</f>
        <v>300</v>
      </c>
      <c r="F74" s="9"/>
      <c r="G74" s="206"/>
      <c r="H74" s="209"/>
      <c r="I74" s="212"/>
      <c r="J74" s="225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 x14ac:dyDescent="0.2">
      <c r="A75" s="196"/>
      <c r="B75" s="39"/>
      <c r="C75" s="32"/>
      <c r="D75" s="6"/>
      <c r="E75" s="11"/>
      <c r="F75" s="9"/>
      <c r="G75" s="206"/>
      <c r="H75" s="209"/>
      <c r="I75" s="212"/>
      <c r="J75" s="225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1" ht="25.5" x14ac:dyDescent="0.2">
      <c r="A76" s="196">
        <v>12</v>
      </c>
      <c r="B76" s="39" t="s">
        <v>43</v>
      </c>
      <c r="C76" s="32" t="s">
        <v>52</v>
      </c>
      <c r="D76" s="6" t="s">
        <v>53</v>
      </c>
      <c r="E76" s="11"/>
      <c r="F76" s="9" t="s">
        <v>38</v>
      </c>
      <c r="G76" s="206">
        <f>E77</f>
        <v>1003.11</v>
      </c>
      <c r="H76" s="209"/>
      <c r="I76" s="212">
        <f>G76*H76</f>
        <v>0</v>
      </c>
      <c r="J76" s="225" t="s">
        <v>354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1:21" x14ac:dyDescent="0.2">
      <c r="A77" s="196"/>
      <c r="B77" s="39"/>
      <c r="C77" s="32"/>
      <c r="D77" s="10" t="s">
        <v>54</v>
      </c>
      <c r="E77" s="11">
        <f>3009.33/3</f>
        <v>1003.11</v>
      </c>
      <c r="F77" s="9"/>
      <c r="G77" s="206"/>
      <c r="H77" s="209"/>
      <c r="I77" s="212"/>
      <c r="J77" s="225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x14ac:dyDescent="0.2">
      <c r="A78" s="196"/>
      <c r="B78" s="39"/>
      <c r="C78" s="32"/>
      <c r="D78" s="6"/>
      <c r="E78" s="11"/>
      <c r="F78" s="9"/>
      <c r="G78" s="206"/>
      <c r="H78" s="209"/>
      <c r="I78" s="212"/>
      <c r="J78" s="225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1:21" x14ac:dyDescent="0.2">
      <c r="A79" s="196">
        <v>13</v>
      </c>
      <c r="B79" s="39" t="s">
        <v>43</v>
      </c>
      <c r="C79" s="33" t="s">
        <v>55</v>
      </c>
      <c r="D79" s="226" t="s">
        <v>56</v>
      </c>
      <c r="E79" s="11"/>
      <c r="F79" s="9" t="s">
        <v>46</v>
      </c>
      <c r="G79" s="206">
        <v>180</v>
      </c>
      <c r="H79" s="209"/>
      <c r="I79" s="212">
        <f>G79*H79</f>
        <v>0</v>
      </c>
      <c r="J79" s="225" t="s">
        <v>354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x14ac:dyDescent="0.2">
      <c r="A80" s="196"/>
      <c r="B80" s="39"/>
      <c r="C80" s="32"/>
      <c r="D80" s="10" t="s">
        <v>57</v>
      </c>
      <c r="E80" s="11">
        <f>20.3+15</f>
        <v>35.299999999999997</v>
      </c>
      <c r="F80" s="9"/>
      <c r="G80" s="206"/>
      <c r="H80" s="209"/>
      <c r="I80" s="212"/>
      <c r="J80" s="225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x14ac:dyDescent="0.2">
      <c r="A81" s="196"/>
      <c r="B81" s="39"/>
      <c r="C81" s="32"/>
      <c r="D81" s="10" t="s">
        <v>58</v>
      </c>
      <c r="E81" s="11">
        <f>26+18</f>
        <v>44</v>
      </c>
      <c r="F81" s="9"/>
      <c r="G81" s="206"/>
      <c r="H81" s="209"/>
      <c r="I81" s="212"/>
      <c r="J81" s="225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x14ac:dyDescent="0.2">
      <c r="A82" s="196"/>
      <c r="B82" s="39"/>
      <c r="C82" s="32"/>
      <c r="D82" s="10" t="s">
        <v>59</v>
      </c>
      <c r="E82" s="11">
        <v>100</v>
      </c>
      <c r="F82" s="9"/>
      <c r="G82" s="206"/>
      <c r="H82" s="209"/>
      <c r="I82" s="212"/>
      <c r="J82" s="225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x14ac:dyDescent="0.2">
      <c r="A83" s="196"/>
      <c r="B83" s="39"/>
      <c r="C83" s="32"/>
      <c r="D83" s="6"/>
      <c r="E83" s="11">
        <f>SUM(E80:E82)</f>
        <v>179.3</v>
      </c>
      <c r="F83" s="9"/>
      <c r="G83" s="206"/>
      <c r="H83" s="209"/>
      <c r="I83" s="212"/>
      <c r="J83" s="225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x14ac:dyDescent="0.2">
      <c r="A84" s="196"/>
      <c r="B84" s="39"/>
      <c r="C84" s="32"/>
      <c r="D84" s="6"/>
      <c r="E84" s="11"/>
      <c r="F84" s="9"/>
      <c r="G84" s="206"/>
      <c r="H84" s="209"/>
      <c r="I84" s="212"/>
      <c r="J84" s="225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x14ac:dyDescent="0.2">
      <c r="A85" s="196">
        <v>14</v>
      </c>
      <c r="B85" s="39" t="s">
        <v>43</v>
      </c>
      <c r="C85" s="32" t="s">
        <v>60</v>
      </c>
      <c r="D85" s="6" t="s">
        <v>61</v>
      </c>
      <c r="E85" s="11"/>
      <c r="F85" s="9" t="s">
        <v>12</v>
      </c>
      <c r="G85" s="206">
        <v>2165</v>
      </c>
      <c r="H85" s="209"/>
      <c r="I85" s="212">
        <f>G85*H85</f>
        <v>0</v>
      </c>
      <c r="J85" s="225" t="s">
        <v>354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x14ac:dyDescent="0.2">
      <c r="A86" s="196"/>
      <c r="B86" s="39"/>
      <c r="C86" s="32"/>
      <c r="D86" s="10" t="s">
        <v>62</v>
      </c>
      <c r="E86" s="11"/>
      <c r="F86" s="9"/>
      <c r="G86" s="206"/>
      <c r="H86" s="209"/>
      <c r="I86" s="212"/>
      <c r="J86" s="225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x14ac:dyDescent="0.2">
      <c r="A87" s="196"/>
      <c r="B87" s="39"/>
      <c r="C87" s="32"/>
      <c r="D87" s="6"/>
      <c r="E87" s="11"/>
      <c r="F87" s="9"/>
      <c r="G87" s="206"/>
      <c r="H87" s="209"/>
      <c r="I87" s="212"/>
      <c r="J87" s="225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x14ac:dyDescent="0.2">
      <c r="A88" s="196">
        <v>15</v>
      </c>
      <c r="B88" s="39" t="s">
        <v>43</v>
      </c>
      <c r="C88" s="32" t="s">
        <v>63</v>
      </c>
      <c r="D88" s="6" t="s">
        <v>64</v>
      </c>
      <c r="E88" s="11"/>
      <c r="F88" s="9" t="s">
        <v>38</v>
      </c>
      <c r="G88" s="206">
        <f>E93</f>
        <v>3384.33</v>
      </c>
      <c r="H88" s="209"/>
      <c r="I88" s="212">
        <f>G88*H88</f>
        <v>0</v>
      </c>
      <c r="J88" s="225" t="s">
        <v>354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x14ac:dyDescent="0.2">
      <c r="A89" s="196"/>
      <c r="B89" s="39"/>
      <c r="C89" s="32"/>
      <c r="D89" s="6" t="s">
        <v>65</v>
      </c>
      <c r="E89" s="11"/>
      <c r="F89" s="9"/>
      <c r="G89" s="206"/>
      <c r="H89" s="209"/>
      <c r="I89" s="212"/>
      <c r="J89" s="225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 x14ac:dyDescent="0.2">
      <c r="A90" s="196"/>
      <c r="B90" s="39"/>
      <c r="C90" s="32"/>
      <c r="D90" s="10" t="s">
        <v>66</v>
      </c>
      <c r="E90" s="11">
        <f>(8.1*19.6+9*18+8*20.3)*0.15/0.05</f>
        <v>1449.4799999999998</v>
      </c>
      <c r="F90" s="9"/>
      <c r="G90" s="206"/>
      <c r="H90" s="209"/>
      <c r="I90" s="212"/>
      <c r="J90" s="225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x14ac:dyDescent="0.2">
      <c r="A91" s="196"/>
      <c r="B91" s="39"/>
      <c r="C91" s="32"/>
      <c r="D91" s="10" t="s">
        <v>67</v>
      </c>
      <c r="E91" s="11">
        <f>(8.5*20.3+9*18+9*20.6)*0.15/0.05</f>
        <v>1559.8500000000001</v>
      </c>
      <c r="F91" s="9"/>
      <c r="G91" s="206"/>
      <c r="H91" s="209"/>
      <c r="I91" s="212"/>
      <c r="J91" s="225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x14ac:dyDescent="0.2">
      <c r="A92" s="196"/>
      <c r="B92" s="39"/>
      <c r="C92" s="32"/>
      <c r="D92" s="10" t="s">
        <v>68</v>
      </c>
      <c r="E92" s="11">
        <f>50*7.5</f>
        <v>375</v>
      </c>
      <c r="F92" s="9"/>
      <c r="G92" s="206"/>
      <c r="H92" s="209"/>
      <c r="I92" s="212"/>
      <c r="J92" s="225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x14ac:dyDescent="0.2">
      <c r="A93" s="196"/>
      <c r="B93" s="39"/>
      <c r="C93" s="32"/>
      <c r="D93" s="10" t="s">
        <v>69</v>
      </c>
      <c r="E93" s="11">
        <f>SUM(E90:E92)</f>
        <v>3384.33</v>
      </c>
      <c r="F93" s="9"/>
      <c r="G93" s="206"/>
      <c r="H93" s="209"/>
      <c r="I93" s="212"/>
      <c r="J93" s="225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x14ac:dyDescent="0.2">
      <c r="A94" s="196"/>
      <c r="B94" s="39"/>
      <c r="C94" s="32"/>
      <c r="D94" s="6"/>
      <c r="E94" s="11"/>
      <c r="F94" s="9"/>
      <c r="G94" s="206"/>
      <c r="H94" s="209"/>
      <c r="I94" s="212"/>
      <c r="J94" s="225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x14ac:dyDescent="0.2">
      <c r="A95" s="196">
        <v>16</v>
      </c>
      <c r="B95" s="39" t="s">
        <v>43</v>
      </c>
      <c r="C95" s="32" t="s">
        <v>70</v>
      </c>
      <c r="D95" s="6" t="s">
        <v>71</v>
      </c>
      <c r="E95" s="11"/>
      <c r="F95" s="9" t="s">
        <v>38</v>
      </c>
      <c r="G95" s="206">
        <v>470</v>
      </c>
      <c r="H95" s="209"/>
      <c r="I95" s="212">
        <f>G95*H95</f>
        <v>0</v>
      </c>
      <c r="J95" s="225" t="s">
        <v>354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x14ac:dyDescent="0.2">
      <c r="A96" s="196"/>
      <c r="B96" s="39"/>
      <c r="C96" s="32"/>
      <c r="D96" s="10" t="s">
        <v>457</v>
      </c>
      <c r="E96" s="11"/>
      <c r="F96" s="9"/>
      <c r="G96" s="206"/>
      <c r="H96" s="209"/>
      <c r="I96" s="212"/>
      <c r="J96" s="225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x14ac:dyDescent="0.2">
      <c r="A97" s="196"/>
      <c r="B97" s="39"/>
      <c r="C97" s="32"/>
      <c r="D97" s="6"/>
      <c r="E97" s="11"/>
      <c r="F97" s="9"/>
      <c r="G97" s="206"/>
      <c r="H97" s="209"/>
      <c r="I97" s="212"/>
      <c r="J97" s="225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ht="25.5" x14ac:dyDescent="0.2">
      <c r="A98" s="196">
        <v>17</v>
      </c>
      <c r="B98" s="39" t="s">
        <v>43</v>
      </c>
      <c r="C98" s="32" t="s">
        <v>282</v>
      </c>
      <c r="D98" s="6" t="s">
        <v>474</v>
      </c>
      <c r="E98" s="11"/>
      <c r="F98" s="9" t="s">
        <v>72</v>
      </c>
      <c r="G98" s="206">
        <f>E112</f>
        <v>453.5</v>
      </c>
      <c r="H98" s="209"/>
      <c r="I98" s="212">
        <f>G98*H98</f>
        <v>0</v>
      </c>
      <c r="J98" s="225" t="s">
        <v>354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 x14ac:dyDescent="0.2">
      <c r="A99" s="196"/>
      <c r="B99" s="39"/>
      <c r="C99" s="32"/>
      <c r="D99" s="10" t="s">
        <v>272</v>
      </c>
      <c r="E99" s="11"/>
      <c r="F99" s="9"/>
      <c r="G99" s="206"/>
      <c r="H99" s="209"/>
      <c r="I99" s="212"/>
      <c r="J99" s="225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x14ac:dyDescent="0.2">
      <c r="A100" s="196"/>
      <c r="B100" s="39"/>
      <c r="C100" s="32"/>
      <c r="D100" s="10" t="s">
        <v>271</v>
      </c>
      <c r="E100" s="11">
        <f>540*0.25</f>
        <v>135</v>
      </c>
      <c r="F100" s="9"/>
      <c r="G100" s="206"/>
      <c r="H100" s="209"/>
      <c r="I100" s="212"/>
      <c r="J100" s="225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x14ac:dyDescent="0.2">
      <c r="A101" s="196"/>
      <c r="B101" s="39"/>
      <c r="C101" s="32"/>
      <c r="D101" s="10" t="s">
        <v>273</v>
      </c>
      <c r="E101" s="11">
        <f>600*0.25</f>
        <v>150</v>
      </c>
      <c r="F101" s="9"/>
      <c r="G101" s="206"/>
      <c r="H101" s="209"/>
      <c r="I101" s="212"/>
      <c r="J101" s="225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 x14ac:dyDescent="0.2">
      <c r="A102" s="196"/>
      <c r="B102" s="39"/>
      <c r="C102" s="32"/>
      <c r="D102" s="10" t="s">
        <v>274</v>
      </c>
      <c r="E102" s="11">
        <f>250*0.25</f>
        <v>62.5</v>
      </c>
      <c r="F102" s="9"/>
      <c r="G102" s="206"/>
      <c r="H102" s="209"/>
      <c r="I102" s="212"/>
      <c r="J102" s="225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 x14ac:dyDescent="0.2">
      <c r="A103" s="196"/>
      <c r="B103" s="39"/>
      <c r="C103" s="32"/>
      <c r="D103" s="10" t="s">
        <v>277</v>
      </c>
      <c r="E103" s="11">
        <f>321*0.25</f>
        <v>80.25</v>
      </c>
      <c r="F103" s="9"/>
      <c r="G103" s="206"/>
      <c r="H103" s="209"/>
      <c r="I103" s="212"/>
      <c r="J103" s="225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 x14ac:dyDescent="0.2">
      <c r="A104" s="196"/>
      <c r="B104" s="39"/>
      <c r="C104" s="32"/>
      <c r="D104" s="10" t="s">
        <v>275</v>
      </c>
      <c r="E104" s="11">
        <f>7*0.25</f>
        <v>1.75</v>
      </c>
      <c r="F104" s="9"/>
      <c r="G104" s="206"/>
      <c r="H104" s="209"/>
      <c r="I104" s="212"/>
      <c r="J104" s="225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 x14ac:dyDescent="0.2">
      <c r="A105" s="196"/>
      <c r="B105" s="39"/>
      <c r="C105" s="32"/>
      <c r="D105" s="10" t="s">
        <v>276</v>
      </c>
      <c r="E105" s="11">
        <f>20*0.25</f>
        <v>5</v>
      </c>
      <c r="F105" s="9"/>
      <c r="G105" s="206"/>
      <c r="H105" s="209"/>
      <c r="I105" s="212"/>
      <c r="J105" s="225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 x14ac:dyDescent="0.2">
      <c r="A106" s="196"/>
      <c r="B106" s="39"/>
      <c r="C106" s="32"/>
      <c r="D106" s="10" t="s">
        <v>278</v>
      </c>
      <c r="E106" s="11">
        <f>4*0.25</f>
        <v>1</v>
      </c>
      <c r="F106" s="9"/>
      <c r="G106" s="206"/>
      <c r="H106" s="209"/>
      <c r="I106" s="212"/>
      <c r="J106" s="225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 x14ac:dyDescent="0.2">
      <c r="A107" s="196"/>
      <c r="B107" s="39"/>
      <c r="C107" s="32"/>
      <c r="D107" s="10" t="s">
        <v>279</v>
      </c>
      <c r="E107" s="11">
        <f>11*0.25</f>
        <v>2.75</v>
      </c>
      <c r="F107" s="9"/>
      <c r="G107" s="206"/>
      <c r="H107" s="209"/>
      <c r="I107" s="212"/>
      <c r="J107" s="225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x14ac:dyDescent="0.2">
      <c r="A108" s="196"/>
      <c r="B108" s="39"/>
      <c r="C108" s="32"/>
      <c r="D108" s="10" t="s">
        <v>280</v>
      </c>
      <c r="E108" s="41">
        <f>11*0.25</f>
        <v>2.75</v>
      </c>
      <c r="F108" s="9"/>
      <c r="G108" s="206"/>
      <c r="H108" s="209"/>
      <c r="I108" s="212"/>
      <c r="J108" s="225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x14ac:dyDescent="0.2">
      <c r="A109" s="196"/>
      <c r="B109" s="39"/>
      <c r="C109" s="32"/>
      <c r="D109" s="10"/>
      <c r="E109" s="11">
        <f>SUM(E100:E108)</f>
        <v>441</v>
      </c>
      <c r="F109" s="9"/>
      <c r="G109" s="206"/>
      <c r="H109" s="209"/>
      <c r="I109" s="212"/>
      <c r="J109" s="225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x14ac:dyDescent="0.2">
      <c r="A110" s="196"/>
      <c r="B110" s="39"/>
      <c r="C110" s="32"/>
      <c r="D110" s="10" t="s">
        <v>73</v>
      </c>
      <c r="E110" s="11"/>
      <c r="F110" s="9"/>
      <c r="G110" s="206"/>
      <c r="H110" s="209"/>
      <c r="I110" s="212"/>
      <c r="J110" s="225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ht="15" thickBot="1" x14ac:dyDescent="0.25">
      <c r="A111" s="196"/>
      <c r="B111" s="39"/>
      <c r="C111" s="32"/>
      <c r="D111" s="10" t="s">
        <v>281</v>
      </c>
      <c r="E111" s="42">
        <f>50*0.25</f>
        <v>12.5</v>
      </c>
      <c r="F111" s="9"/>
      <c r="G111" s="206"/>
      <c r="H111" s="209"/>
      <c r="I111" s="212"/>
      <c r="J111" s="225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ht="15" thickTop="1" x14ac:dyDescent="0.2">
      <c r="A112" s="196"/>
      <c r="B112" s="39"/>
      <c r="C112" s="32"/>
      <c r="D112" s="10" t="s">
        <v>283</v>
      </c>
      <c r="E112" s="11">
        <f>E109+E111</f>
        <v>453.5</v>
      </c>
      <c r="F112" s="9"/>
      <c r="G112" s="206"/>
      <c r="H112" s="209"/>
      <c r="I112" s="212"/>
      <c r="J112" s="225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x14ac:dyDescent="0.2">
      <c r="A113" s="196"/>
      <c r="B113" s="39"/>
      <c r="C113" s="32"/>
      <c r="D113" s="10"/>
      <c r="E113" s="11"/>
      <c r="F113" s="9"/>
      <c r="G113" s="206"/>
      <c r="H113" s="209"/>
      <c r="I113" s="212"/>
      <c r="J113" s="225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x14ac:dyDescent="0.2">
      <c r="A114" s="196">
        <v>18</v>
      </c>
      <c r="B114" s="39" t="s">
        <v>74</v>
      </c>
      <c r="C114" s="32" t="s">
        <v>75</v>
      </c>
      <c r="D114" s="6" t="s">
        <v>76</v>
      </c>
      <c r="E114" s="11"/>
      <c r="F114" s="9" t="s">
        <v>30</v>
      </c>
      <c r="G114" s="206">
        <f>E117</f>
        <v>741.01575000000003</v>
      </c>
      <c r="H114" s="209"/>
      <c r="I114" s="212">
        <f>G114*H114</f>
        <v>0</v>
      </c>
      <c r="J114" s="225" t="s">
        <v>354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x14ac:dyDescent="0.2">
      <c r="A115" s="196"/>
      <c r="B115" s="39"/>
      <c r="C115" s="32"/>
      <c r="D115" s="10" t="s">
        <v>77</v>
      </c>
      <c r="E115" s="11">
        <f>11.5*(8.245+5.715)/2*2.515+12*(7.85+5.72)/2*2.125</f>
        <v>374.89655000000005</v>
      </c>
      <c r="F115" s="9"/>
      <c r="G115" s="206"/>
      <c r="H115" s="209"/>
      <c r="I115" s="212"/>
      <c r="J115" s="225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x14ac:dyDescent="0.2">
      <c r="A116" s="196"/>
      <c r="B116" s="39"/>
      <c r="C116" s="32"/>
      <c r="D116" s="10" t="s">
        <v>78</v>
      </c>
      <c r="E116" s="12">
        <f>11*(8.245+5.715)/2*2.515+12*(7.85+5.72)/2*2.125</f>
        <v>366.11920000000003</v>
      </c>
      <c r="F116" s="9"/>
      <c r="G116" s="206"/>
      <c r="H116" s="209"/>
      <c r="I116" s="212"/>
      <c r="J116" s="225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 x14ac:dyDescent="0.2">
      <c r="A117" s="196"/>
      <c r="B117" s="39"/>
      <c r="C117" s="32"/>
      <c r="D117" s="6"/>
      <c r="E117" s="11">
        <f>SUM(E115:E116)</f>
        <v>741.01575000000003</v>
      </c>
      <c r="F117" s="9"/>
      <c r="G117" s="206"/>
      <c r="H117" s="209"/>
      <c r="I117" s="212"/>
      <c r="J117" s="225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 ht="18" customHeight="1" x14ac:dyDescent="0.2">
      <c r="A118" s="196"/>
      <c r="B118" s="39"/>
      <c r="C118" s="32"/>
      <c r="D118" s="6"/>
      <c r="E118" s="11"/>
      <c r="F118" s="9"/>
      <c r="G118" s="206"/>
      <c r="H118" s="209"/>
      <c r="I118" s="212"/>
      <c r="J118" s="225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 x14ac:dyDescent="0.2">
      <c r="A119" s="196">
        <v>19</v>
      </c>
      <c r="B119" s="39" t="s">
        <v>74</v>
      </c>
      <c r="C119" s="32" t="s">
        <v>79</v>
      </c>
      <c r="D119" s="6" t="s">
        <v>80</v>
      </c>
      <c r="E119" s="11"/>
      <c r="F119" s="9" t="s">
        <v>30</v>
      </c>
      <c r="G119" s="206">
        <v>10</v>
      </c>
      <c r="H119" s="209"/>
      <c r="I119" s="212">
        <f>G119*H119</f>
        <v>0</v>
      </c>
      <c r="J119" s="225" t="s">
        <v>354</v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x14ac:dyDescent="0.2">
      <c r="A120" s="196"/>
      <c r="B120" s="39"/>
      <c r="C120" s="32"/>
      <c r="D120" s="10" t="s">
        <v>263</v>
      </c>
      <c r="E120" s="11">
        <f>40*0.5*0.5</f>
        <v>10</v>
      </c>
      <c r="F120" s="9"/>
      <c r="G120" s="206"/>
      <c r="H120" s="209"/>
      <c r="I120" s="212"/>
      <c r="J120" s="225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x14ac:dyDescent="0.2">
      <c r="A121" s="196"/>
      <c r="B121" s="39"/>
      <c r="C121" s="34"/>
      <c r="D121" s="6"/>
      <c r="E121" s="11"/>
      <c r="F121" s="9"/>
      <c r="G121" s="206"/>
      <c r="H121" s="209"/>
      <c r="I121" s="212"/>
      <c r="J121" s="225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 x14ac:dyDescent="0.2">
      <c r="A122" s="196"/>
      <c r="B122" s="39"/>
      <c r="C122" s="32"/>
      <c r="D122" s="6"/>
      <c r="E122" s="11"/>
      <c r="F122" s="9"/>
      <c r="G122" s="206"/>
      <c r="H122" s="209"/>
      <c r="I122" s="212"/>
      <c r="J122" s="225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 x14ac:dyDescent="0.2">
      <c r="A123" s="196">
        <v>20</v>
      </c>
      <c r="B123" s="39" t="s">
        <v>74</v>
      </c>
      <c r="C123" s="32" t="s">
        <v>81</v>
      </c>
      <c r="D123" s="6" t="s">
        <v>82</v>
      </c>
      <c r="E123" s="11"/>
      <c r="F123" s="9" t="s">
        <v>30</v>
      </c>
      <c r="G123" s="206">
        <v>741</v>
      </c>
      <c r="H123" s="209"/>
      <c r="I123" s="212">
        <f>G123*H123</f>
        <v>0</v>
      </c>
      <c r="J123" s="225" t="s">
        <v>354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x14ac:dyDescent="0.2">
      <c r="A124" s="196"/>
      <c r="B124" s="39"/>
      <c r="C124" s="32"/>
      <c r="D124" s="6"/>
      <c r="E124" s="11"/>
      <c r="F124" s="9"/>
      <c r="G124" s="206"/>
      <c r="H124" s="209"/>
      <c r="I124" s="212"/>
      <c r="J124" s="225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x14ac:dyDescent="0.2">
      <c r="A125" s="196"/>
      <c r="B125" s="39"/>
      <c r="C125" s="32"/>
      <c r="D125" s="6"/>
      <c r="E125" s="11"/>
      <c r="F125" s="9"/>
      <c r="G125" s="206"/>
      <c r="H125" s="209"/>
      <c r="I125" s="212"/>
      <c r="J125" s="225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 x14ac:dyDescent="0.2">
      <c r="A126" s="196">
        <v>21</v>
      </c>
      <c r="B126" s="39"/>
      <c r="C126" s="34" t="s">
        <v>262</v>
      </c>
      <c r="D126" s="227" t="s">
        <v>264</v>
      </c>
      <c r="E126" s="11"/>
      <c r="F126" s="9" t="s">
        <v>30</v>
      </c>
      <c r="G126" s="206">
        <f>E127</f>
        <v>51.153600000000004</v>
      </c>
      <c r="H126" s="209"/>
      <c r="I126" s="212">
        <f>G126*H126</f>
        <v>0</v>
      </c>
      <c r="J126" s="225" t="s">
        <v>354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 x14ac:dyDescent="0.2">
      <c r="A127" s="196"/>
      <c r="B127" s="39"/>
      <c r="C127" s="34"/>
      <c r="D127" s="10" t="s">
        <v>265</v>
      </c>
      <c r="E127" s="11">
        <f>((1.488+3)/2*4.6+8*2.61/2+4.67*2/2+8.67*2/2)*1.5</f>
        <v>51.153600000000004</v>
      </c>
      <c r="F127" s="9"/>
      <c r="G127" s="206"/>
      <c r="H127" s="209"/>
      <c r="I127" s="212"/>
      <c r="J127" s="225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x14ac:dyDescent="0.2">
      <c r="A128" s="196"/>
      <c r="B128" s="39"/>
      <c r="C128" s="34"/>
      <c r="D128" s="228"/>
      <c r="E128" s="11"/>
      <c r="F128" s="9"/>
      <c r="G128" s="206"/>
      <c r="H128" s="209"/>
      <c r="I128" s="212"/>
      <c r="J128" s="225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ht="25.5" x14ac:dyDescent="0.2">
      <c r="A129" s="196">
        <v>22</v>
      </c>
      <c r="B129" s="39" t="s">
        <v>74</v>
      </c>
      <c r="C129" s="32" t="s">
        <v>83</v>
      </c>
      <c r="D129" s="6" t="s">
        <v>84</v>
      </c>
      <c r="E129" s="11"/>
      <c r="F129" s="9" t="s">
        <v>30</v>
      </c>
      <c r="G129" s="206">
        <v>9.36</v>
      </c>
      <c r="H129" s="209"/>
      <c r="I129" s="212">
        <f>G129*H129</f>
        <v>0</v>
      </c>
      <c r="J129" s="225" t="s">
        <v>354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x14ac:dyDescent="0.2">
      <c r="A130" s="196"/>
      <c r="B130" s="39"/>
      <c r="C130" s="32"/>
      <c r="D130" s="10" t="s">
        <v>85</v>
      </c>
      <c r="E130" s="11">
        <f>19.5*0.8*0.3*2</f>
        <v>9.3600000000000012</v>
      </c>
      <c r="F130" s="9"/>
      <c r="G130" s="206"/>
      <c r="H130" s="209"/>
      <c r="I130" s="212"/>
      <c r="J130" s="225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x14ac:dyDescent="0.2">
      <c r="A131" s="196"/>
      <c r="B131" s="39"/>
      <c r="C131" s="32"/>
      <c r="D131" s="6"/>
      <c r="E131" s="11"/>
      <c r="F131" s="9"/>
      <c r="G131" s="206"/>
      <c r="H131" s="209"/>
      <c r="I131" s="212"/>
      <c r="J131" s="225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x14ac:dyDescent="0.2">
      <c r="A132" s="196">
        <v>23</v>
      </c>
      <c r="B132" s="39" t="s">
        <v>74</v>
      </c>
      <c r="C132" s="32" t="s">
        <v>86</v>
      </c>
      <c r="D132" s="6" t="s">
        <v>87</v>
      </c>
      <c r="E132" s="11"/>
      <c r="F132" s="9" t="s">
        <v>46</v>
      </c>
      <c r="G132" s="206">
        <v>39.5</v>
      </c>
      <c r="H132" s="209"/>
      <c r="I132" s="212">
        <f>G132*H132</f>
        <v>0</v>
      </c>
      <c r="J132" s="225" t="s">
        <v>354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ht="25.5" x14ac:dyDescent="0.2">
      <c r="A133" s="196"/>
      <c r="B133" s="39"/>
      <c r="C133" s="32"/>
      <c r="D133" s="10" t="s">
        <v>88</v>
      </c>
      <c r="E133" s="11">
        <f>(19.5+2*10)</f>
        <v>39.5</v>
      </c>
      <c r="F133" s="9"/>
      <c r="G133" s="206"/>
      <c r="H133" s="209"/>
      <c r="I133" s="212"/>
      <c r="J133" s="225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 x14ac:dyDescent="0.2">
      <c r="A134" s="196"/>
      <c r="B134" s="39"/>
      <c r="C134" s="32"/>
      <c r="D134" s="10" t="s">
        <v>89</v>
      </c>
      <c r="E134" s="11"/>
      <c r="F134" s="9"/>
      <c r="G134" s="206"/>
      <c r="H134" s="209"/>
      <c r="I134" s="212"/>
      <c r="J134" s="225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x14ac:dyDescent="0.2">
      <c r="A135" s="196"/>
      <c r="B135" s="39"/>
      <c r="C135" s="32"/>
      <c r="D135" s="6"/>
      <c r="E135" s="11"/>
      <c r="F135" s="9"/>
      <c r="G135" s="206"/>
      <c r="H135" s="209"/>
      <c r="I135" s="212"/>
      <c r="J135" s="225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x14ac:dyDescent="0.2">
      <c r="A136" s="196">
        <v>24</v>
      </c>
      <c r="B136" s="39"/>
      <c r="C136" s="34" t="s">
        <v>267</v>
      </c>
      <c r="D136" s="227" t="s">
        <v>268</v>
      </c>
      <c r="E136" s="11"/>
      <c r="F136" s="9" t="s">
        <v>38</v>
      </c>
      <c r="G136" s="206">
        <v>470</v>
      </c>
      <c r="H136" s="209"/>
      <c r="I136" s="212">
        <f>G136*H136</f>
        <v>0</v>
      </c>
      <c r="J136" s="225" t="s">
        <v>354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 x14ac:dyDescent="0.2">
      <c r="A137" s="196"/>
      <c r="B137" s="39"/>
      <c r="C137" s="32"/>
      <c r="D137" s="10" t="s">
        <v>269</v>
      </c>
      <c r="E137" s="11">
        <v>470</v>
      </c>
      <c r="F137" s="9"/>
      <c r="G137" s="206"/>
      <c r="H137" s="209"/>
      <c r="I137" s="212"/>
      <c r="J137" s="225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x14ac:dyDescent="0.2">
      <c r="A138" s="196"/>
      <c r="B138" s="39"/>
      <c r="C138" s="32"/>
      <c r="D138" s="6"/>
      <c r="E138" s="11"/>
      <c r="F138" s="9"/>
      <c r="G138" s="206"/>
      <c r="H138" s="209"/>
      <c r="I138" s="212"/>
      <c r="J138" s="225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x14ac:dyDescent="0.2">
      <c r="A139" s="196">
        <v>25</v>
      </c>
      <c r="B139" s="39" t="s">
        <v>180</v>
      </c>
      <c r="C139" s="34" t="s">
        <v>462</v>
      </c>
      <c r="D139" s="338" t="s">
        <v>463</v>
      </c>
      <c r="E139" s="11"/>
      <c r="F139" s="9" t="s">
        <v>30</v>
      </c>
      <c r="G139" s="206">
        <f>E142</f>
        <v>13.458875000000001</v>
      </c>
      <c r="H139" s="209"/>
      <c r="I139" s="212">
        <f>G139*H139</f>
        <v>0</v>
      </c>
      <c r="J139" s="225" t="s">
        <v>354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x14ac:dyDescent="0.2">
      <c r="A140" s="196"/>
      <c r="B140" s="39"/>
      <c r="C140" s="32"/>
      <c r="D140" s="10" t="s">
        <v>464</v>
      </c>
      <c r="E140" s="11">
        <f>(3.95*0.925+2.9*1.45+2.45*4.4+3.25*2.2)*0.1</f>
        <v>2.578875</v>
      </c>
      <c r="F140" s="9"/>
      <c r="G140" s="206"/>
      <c r="H140" s="209"/>
      <c r="I140" s="212"/>
      <c r="J140" s="225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 x14ac:dyDescent="0.2">
      <c r="A141" s="196"/>
      <c r="B141" s="39"/>
      <c r="C141" s="32"/>
      <c r="D141" s="10" t="s">
        <v>132</v>
      </c>
      <c r="E141" s="12">
        <f>17*(2.8+0.3+0.1)*0.1*2</f>
        <v>10.88</v>
      </c>
      <c r="F141" s="9"/>
      <c r="G141" s="206"/>
      <c r="H141" s="209"/>
      <c r="I141" s="212"/>
      <c r="J141" s="225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x14ac:dyDescent="0.2">
      <c r="A142" s="196"/>
      <c r="B142" s="39"/>
      <c r="C142" s="32"/>
      <c r="D142" s="6"/>
      <c r="E142" s="11">
        <f>SUM(E140:E141)</f>
        <v>13.458875000000001</v>
      </c>
      <c r="F142" s="9"/>
      <c r="G142" s="206"/>
      <c r="H142" s="209"/>
      <c r="I142" s="212"/>
      <c r="J142" s="225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x14ac:dyDescent="0.2">
      <c r="A143" s="196"/>
      <c r="B143" s="39"/>
      <c r="C143" s="32"/>
      <c r="D143" s="6"/>
      <c r="E143" s="11"/>
      <c r="F143" s="9"/>
      <c r="G143" s="206"/>
      <c r="H143" s="209"/>
      <c r="I143" s="212"/>
      <c r="J143" s="225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spans="1:21" x14ac:dyDescent="0.2">
      <c r="A144" s="196"/>
      <c r="B144" s="39"/>
      <c r="C144" s="32"/>
      <c r="D144" s="6"/>
      <c r="E144" s="11"/>
      <c r="F144" s="9"/>
      <c r="G144" s="206"/>
      <c r="H144" s="209"/>
      <c r="I144" s="212"/>
      <c r="J144" s="225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spans="1:1024" x14ac:dyDescent="0.2">
      <c r="A145" s="196"/>
      <c r="B145" s="39"/>
      <c r="C145" s="32"/>
      <c r="D145" s="6"/>
      <c r="E145" s="11"/>
      <c r="F145" s="9"/>
      <c r="G145" s="206"/>
      <c r="H145" s="209"/>
      <c r="I145" s="212"/>
      <c r="J145" s="225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spans="1:1024" x14ac:dyDescent="0.2">
      <c r="A146" s="196">
        <v>26</v>
      </c>
      <c r="B146" s="39" t="s">
        <v>90</v>
      </c>
      <c r="C146" s="32" t="s">
        <v>91</v>
      </c>
      <c r="D146" s="6" t="s">
        <v>92</v>
      </c>
      <c r="E146" s="11"/>
      <c r="F146" s="9" t="s">
        <v>30</v>
      </c>
      <c r="G146" s="206">
        <f>E153</f>
        <v>113.72454512500001</v>
      </c>
      <c r="H146" s="209"/>
      <c r="I146" s="212">
        <f>G146*H146</f>
        <v>0</v>
      </c>
      <c r="J146" s="225" t="s">
        <v>354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spans="1:1024" ht="25.5" x14ac:dyDescent="0.2">
      <c r="A147" s="196"/>
      <c r="B147" s="39"/>
      <c r="C147" s="32"/>
      <c r="D147" s="10" t="s">
        <v>93</v>
      </c>
      <c r="E147" s="11">
        <f>2.285*13.36*0.39+2.5*13.81*0.34+0.55*0.55*0.2*10+0.55*0.55*0.24*10</f>
        <v>24.975263999999999</v>
      </c>
      <c r="F147" s="9"/>
      <c r="G147" s="206"/>
      <c r="H147" s="209"/>
      <c r="I147" s="212"/>
      <c r="J147" s="225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spans="1:1024" x14ac:dyDescent="0.2">
      <c r="A148" s="196"/>
      <c r="B148" s="39"/>
      <c r="C148" s="32"/>
      <c r="D148" s="10" t="s">
        <v>94</v>
      </c>
      <c r="E148" s="11">
        <f>1.675*10.1*0.45+1.715*9.9*0.45</f>
        <v>15.253200000000001</v>
      </c>
      <c r="F148" s="9"/>
      <c r="G148" s="206"/>
      <c r="H148" s="209"/>
      <c r="I148" s="212"/>
      <c r="J148" s="225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spans="1:1024" ht="25.5" x14ac:dyDescent="0.2">
      <c r="A149" s="196"/>
      <c r="B149" s="39"/>
      <c r="C149" s="32"/>
      <c r="D149" s="10" t="s">
        <v>95</v>
      </c>
      <c r="E149" s="11">
        <f>2.285*10.79*0.39+2.5*10.73*0.34+0.55*0.55*0.2*9+0.55*0.55*0.24*9</f>
        <v>19.933908500000005</v>
      </c>
      <c r="F149" s="9"/>
      <c r="G149" s="206"/>
      <c r="H149" s="209"/>
      <c r="I149" s="212"/>
      <c r="J149" s="225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spans="1:1024" x14ac:dyDescent="0.2">
      <c r="A150" s="196"/>
      <c r="B150" s="39"/>
      <c r="C150" s="32"/>
      <c r="D150" s="10" t="s">
        <v>96</v>
      </c>
      <c r="E150" s="11">
        <f>1.7*9.6*0.45+1.7*8.9*0.45</f>
        <v>14.1525</v>
      </c>
      <c r="F150" s="9"/>
      <c r="G150" s="206"/>
      <c r="H150" s="209"/>
      <c r="I150" s="212"/>
      <c r="J150" s="225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spans="1:1024" ht="25.5" x14ac:dyDescent="0.2">
      <c r="A151" s="196"/>
      <c r="B151" s="39"/>
      <c r="C151" s="32"/>
      <c r="D151" s="10" t="s">
        <v>97</v>
      </c>
      <c r="E151" s="11">
        <f>((1.665+2.275)/2*1.675+1*2.275)*1.9+((1.725+2.28)/2*3.39+1.06*2.2)*(1.59+2.15)/2</f>
        <v>27.647313250000003</v>
      </c>
      <c r="F151" s="9"/>
      <c r="G151" s="206"/>
      <c r="H151" s="209"/>
      <c r="I151" s="212"/>
      <c r="J151" s="225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1024" ht="25.5" x14ac:dyDescent="0.2">
      <c r="A152" s="196"/>
      <c r="B152" s="39"/>
      <c r="C152" s="32"/>
      <c r="D152" s="10" t="s">
        <v>98</v>
      </c>
      <c r="E152" s="11">
        <f>((1.645+2.275)/2*2.91+1*2.275)*0.625+((1.67+2.28)/2*1.885+1*2.3)*1.125</f>
        <v>11.762359374999999</v>
      </c>
      <c r="F152" s="9"/>
      <c r="G152" s="206"/>
      <c r="H152" s="209"/>
      <c r="I152" s="212"/>
      <c r="J152" s="225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spans="1:1024" x14ac:dyDescent="0.2">
      <c r="A153" s="196"/>
      <c r="B153" s="39"/>
      <c r="C153" s="32"/>
      <c r="D153" s="10"/>
      <c r="E153" s="11">
        <f>SUM(E147:E152)</f>
        <v>113.72454512500001</v>
      </c>
      <c r="F153" s="9"/>
      <c r="G153" s="206"/>
      <c r="H153" s="209"/>
      <c r="I153" s="212"/>
      <c r="J153" s="225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spans="1:1024" x14ac:dyDescent="0.2">
      <c r="A154" s="196"/>
      <c r="B154" s="39"/>
      <c r="C154" s="32"/>
      <c r="D154" s="6"/>
      <c r="E154" s="11"/>
      <c r="F154" s="9"/>
      <c r="G154" s="206"/>
      <c r="H154" s="209"/>
      <c r="I154" s="212"/>
      <c r="J154" s="225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spans="1:1024" x14ac:dyDescent="0.2">
      <c r="A155" s="196">
        <v>27</v>
      </c>
      <c r="B155" s="39" t="s">
        <v>90</v>
      </c>
      <c r="C155" s="32" t="s">
        <v>99</v>
      </c>
      <c r="D155" s="6" t="s">
        <v>100</v>
      </c>
      <c r="E155" s="11"/>
      <c r="F155" s="9" t="s">
        <v>38</v>
      </c>
      <c r="G155" s="206">
        <v>252.79</v>
      </c>
      <c r="H155" s="209"/>
      <c r="I155" s="212">
        <f>G155*H155</f>
        <v>0</v>
      </c>
      <c r="J155" s="225" t="s">
        <v>354</v>
      </c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spans="1:1024" ht="38.25" x14ac:dyDescent="0.2">
      <c r="A156" s="196"/>
      <c r="B156" s="39"/>
      <c r="C156" s="32"/>
      <c r="D156" s="10" t="s">
        <v>101</v>
      </c>
      <c r="E156" s="11">
        <f>(2.285+13.36)*2*0.39+(2.5+13.81)*2*0.34+(0.55+0.55)*2*0.2*10+(0.55+0.55)*2*0.24*10</f>
        <v>32.9739</v>
      </c>
      <c r="F156" s="9"/>
      <c r="G156" s="206"/>
      <c r="H156" s="209"/>
      <c r="I156" s="212"/>
      <c r="J156" s="225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spans="1:1024" x14ac:dyDescent="0.2">
      <c r="A157" s="196"/>
      <c r="B157" s="39"/>
      <c r="C157" s="32"/>
      <c r="D157" s="10" t="s">
        <v>102</v>
      </c>
      <c r="E157" s="11">
        <f>1.675*(10.1+0.45)*2+1.715*(9.9+0.45)*2</f>
        <v>70.842999999999989</v>
      </c>
      <c r="F157" s="9"/>
      <c r="G157" s="206"/>
      <c r="H157" s="209"/>
      <c r="I157" s="212"/>
      <c r="J157" s="225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spans="1:1024" ht="25.5" x14ac:dyDescent="0.2">
      <c r="A158" s="196"/>
      <c r="B158" s="39"/>
      <c r="C158" s="32"/>
      <c r="D158" s="10" t="s">
        <v>103</v>
      </c>
      <c r="E158" s="11">
        <f>(2.285+10.79)*2*0.39+(2.5+10.73)*2*0.34+(0.55+0.55)*2*0.2*9+(0.55+0.55)*2*0.24*9</f>
        <v>27.9069</v>
      </c>
      <c r="F158" s="9"/>
      <c r="G158" s="206"/>
      <c r="H158" s="209"/>
      <c r="I158" s="212"/>
      <c r="J158" s="225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spans="1:1024" x14ac:dyDescent="0.2">
      <c r="A159" s="196"/>
      <c r="B159" s="39"/>
      <c r="C159" s="32"/>
      <c r="D159" s="10" t="s">
        <v>104</v>
      </c>
      <c r="E159" s="11">
        <f>1.7*(9.6+0.45)*2+1.7*(8.9+0.45)*2</f>
        <v>65.959999999999994</v>
      </c>
      <c r="F159" s="9"/>
      <c r="G159" s="206"/>
      <c r="H159" s="209"/>
      <c r="I159" s="212"/>
      <c r="J159" s="225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spans="1:1024" ht="39" x14ac:dyDescent="0.25">
      <c r="A160" s="229"/>
      <c r="B160" s="230"/>
      <c r="C160" s="231"/>
      <c r="D160" s="10" t="s">
        <v>105</v>
      </c>
      <c r="E160" s="11">
        <f>((1.665+2.275)/2*1.675*2+0.5*2.275+1.9*1.665)+((1.725+2.28)/2*3.39*2+0.5*2.2+2.15*1.725)</f>
        <v>29.286200000000001</v>
      </c>
      <c r="F160" s="204"/>
      <c r="G160" s="204"/>
      <c r="H160" s="210"/>
      <c r="I160" s="213"/>
      <c r="J160" s="232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  <c r="ALX160"/>
      <c r="ALY160"/>
      <c r="ALZ160"/>
      <c r="AMA160"/>
      <c r="AMB160"/>
      <c r="AMC160"/>
      <c r="AMD160"/>
      <c r="AME160"/>
      <c r="AMF160"/>
      <c r="AMG160"/>
      <c r="AMH160"/>
      <c r="AMI160"/>
      <c r="AMJ160"/>
    </row>
    <row r="161" spans="1:21" ht="38.25" x14ac:dyDescent="0.2">
      <c r="A161" s="196"/>
      <c r="B161" s="39"/>
      <c r="C161" s="32"/>
      <c r="D161" s="10" t="s">
        <v>106</v>
      </c>
      <c r="E161" s="11">
        <f>((1.645+2.275)/2*2.91*2+0.5*2.275+0.625*1.645)+((1.67+2.28)/2*1.885*2+0.5*2.3+1.67*1.125)</f>
        <v>24.047324999999997</v>
      </c>
      <c r="F161" s="9"/>
      <c r="G161" s="206"/>
      <c r="H161" s="209"/>
      <c r="I161" s="212"/>
      <c r="J161" s="225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spans="1:21" x14ac:dyDescent="0.2">
      <c r="A162" s="196"/>
      <c r="B162" s="39"/>
      <c r="C162" s="32"/>
      <c r="D162" s="10" t="s">
        <v>107</v>
      </c>
      <c r="E162" s="12">
        <f>0.1*(2.1+2+1+1.35+0.6*4)*2</f>
        <v>1.77</v>
      </c>
      <c r="F162" s="9"/>
      <c r="G162" s="206"/>
      <c r="H162" s="209"/>
      <c r="I162" s="212"/>
      <c r="J162" s="225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spans="1:21" x14ac:dyDescent="0.2">
      <c r="A163" s="196"/>
      <c r="B163" s="39"/>
      <c r="C163" s="32"/>
      <c r="D163" s="10"/>
      <c r="E163" s="11">
        <f>SUM(E156:E162)</f>
        <v>252.78732499999998</v>
      </c>
      <c r="F163" s="9"/>
      <c r="G163" s="206"/>
      <c r="H163" s="209"/>
      <c r="I163" s="212"/>
      <c r="J163" s="225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spans="1:21" x14ac:dyDescent="0.2">
      <c r="A164" s="196"/>
      <c r="B164" s="39"/>
      <c r="C164" s="32"/>
      <c r="D164" s="10"/>
      <c r="E164" s="11"/>
      <c r="F164" s="9"/>
      <c r="G164" s="206"/>
      <c r="H164" s="209"/>
      <c r="I164" s="212"/>
      <c r="J164" s="225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spans="1:21" x14ac:dyDescent="0.2">
      <c r="A165" s="196">
        <v>28</v>
      </c>
      <c r="B165" s="39" t="s">
        <v>90</v>
      </c>
      <c r="C165" s="32" t="s">
        <v>108</v>
      </c>
      <c r="D165" s="6" t="s">
        <v>109</v>
      </c>
      <c r="E165" s="11"/>
      <c r="F165" s="9" t="s">
        <v>12</v>
      </c>
      <c r="G165" s="206">
        <f>E169</f>
        <v>13.330999999999998</v>
      </c>
      <c r="H165" s="209"/>
      <c r="I165" s="212">
        <f>G165*H165</f>
        <v>0</v>
      </c>
      <c r="J165" s="225" t="s">
        <v>354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spans="1:21" x14ac:dyDescent="0.2">
      <c r="A166" s="196"/>
      <c r="B166" s="39"/>
      <c r="C166" s="32"/>
      <c r="D166" s="10" t="s">
        <v>110</v>
      </c>
      <c r="E166" s="11">
        <f>13.11-0.695</f>
        <v>12.414999999999999</v>
      </c>
      <c r="F166" s="9"/>
      <c r="G166" s="206"/>
      <c r="H166" s="209"/>
      <c r="I166" s="212"/>
      <c r="J166" s="225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spans="1:21" x14ac:dyDescent="0.2">
      <c r="A167" s="196"/>
      <c r="B167" s="39"/>
      <c r="C167" s="32"/>
      <c r="D167" s="10" t="s">
        <v>111</v>
      </c>
      <c r="E167" s="11">
        <v>0.155</v>
      </c>
      <c r="F167" s="9"/>
      <c r="G167" s="206"/>
      <c r="H167" s="209"/>
      <c r="I167" s="212"/>
      <c r="J167" s="225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spans="1:21" x14ac:dyDescent="0.2">
      <c r="A168" s="196"/>
      <c r="B168" s="39"/>
      <c r="C168" s="32"/>
      <c r="D168" s="339" t="s">
        <v>459</v>
      </c>
      <c r="E168" s="12">
        <v>0.76100000000000001</v>
      </c>
      <c r="F168" s="9"/>
      <c r="G168" s="206"/>
      <c r="H168" s="209"/>
      <c r="I168" s="212"/>
      <c r="J168" s="225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spans="1:21" x14ac:dyDescent="0.2">
      <c r="A169" s="196"/>
      <c r="B169" s="39"/>
      <c r="C169" s="32"/>
      <c r="D169" s="10"/>
      <c r="E169" s="11">
        <f>SUM(E166:E168)</f>
        <v>13.330999999999998</v>
      </c>
      <c r="F169" s="9"/>
      <c r="G169" s="206"/>
      <c r="H169" s="209"/>
      <c r="I169" s="212"/>
      <c r="J169" s="225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spans="1:21" x14ac:dyDescent="0.2">
      <c r="A170" s="196"/>
      <c r="B170" s="39"/>
      <c r="C170" s="32"/>
      <c r="D170" s="10"/>
      <c r="E170" s="11"/>
      <c r="F170" s="9"/>
      <c r="G170" s="206"/>
      <c r="H170" s="209"/>
      <c r="I170" s="212"/>
      <c r="J170" s="225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spans="1:21" x14ac:dyDescent="0.2">
      <c r="A171" s="196">
        <v>29</v>
      </c>
      <c r="B171" s="39" t="s">
        <v>90</v>
      </c>
      <c r="C171" s="32" t="s">
        <v>112</v>
      </c>
      <c r="D171" s="6" t="s">
        <v>113</v>
      </c>
      <c r="E171" s="11"/>
      <c r="F171" s="9" t="s">
        <v>30</v>
      </c>
      <c r="G171" s="206">
        <f>E180</f>
        <v>27.182207999999999</v>
      </c>
      <c r="H171" s="209"/>
      <c r="I171" s="212">
        <f>G171*H171</f>
        <v>0</v>
      </c>
      <c r="J171" s="225" t="s">
        <v>354</v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spans="1:21" x14ac:dyDescent="0.2">
      <c r="A172" s="196"/>
      <c r="B172" s="39"/>
      <c r="C172" s="32"/>
      <c r="D172" s="10" t="s">
        <v>114</v>
      </c>
      <c r="E172" s="11"/>
      <c r="F172" s="9"/>
      <c r="G172" s="206"/>
      <c r="H172" s="209"/>
      <c r="I172" s="212"/>
      <c r="J172" s="225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spans="1:21" x14ac:dyDescent="0.2">
      <c r="A173" s="196"/>
      <c r="B173" s="39"/>
      <c r="C173" s="32"/>
      <c r="D173" s="10" t="s">
        <v>115</v>
      </c>
      <c r="E173" s="11">
        <f>(3.49+2.51)/2*1.885*0.24</f>
        <v>1.3572</v>
      </c>
      <c r="F173" s="9"/>
      <c r="G173" s="206"/>
      <c r="H173" s="209"/>
      <c r="I173" s="212"/>
      <c r="J173" s="225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spans="1:21" x14ac:dyDescent="0.2">
      <c r="A174" s="196"/>
      <c r="B174" s="39"/>
      <c r="C174" s="32"/>
      <c r="D174" s="10" t="s">
        <v>116</v>
      </c>
      <c r="E174" s="11">
        <f>(5.835+4.86)*(1.755+1.915)*0.24</f>
        <v>9.4201560000000004</v>
      </c>
      <c r="F174" s="9"/>
      <c r="G174" s="206"/>
      <c r="H174" s="209"/>
      <c r="I174" s="212"/>
      <c r="J174" s="225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spans="1:21" x14ac:dyDescent="0.2">
      <c r="A175" s="196"/>
      <c r="B175" s="39"/>
      <c r="C175" s="32"/>
      <c r="D175" s="10" t="s">
        <v>117</v>
      </c>
      <c r="E175" s="11">
        <f>1.94*6.02*0.24</f>
        <v>2.8029119999999996</v>
      </c>
      <c r="F175" s="9"/>
      <c r="G175" s="206"/>
      <c r="H175" s="209"/>
      <c r="I175" s="212"/>
      <c r="J175" s="225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spans="1:21" x14ac:dyDescent="0.2">
      <c r="A176" s="196"/>
      <c r="B176" s="39"/>
      <c r="C176" s="32"/>
      <c r="D176" s="10" t="s">
        <v>118</v>
      </c>
      <c r="E176" s="11">
        <f>(7.455+6.495)*1.745*0.24</f>
        <v>5.8422599999999996</v>
      </c>
      <c r="F176" s="9"/>
      <c r="G176" s="206"/>
      <c r="H176" s="209"/>
      <c r="I176" s="212"/>
      <c r="J176" s="225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spans="1:21" x14ac:dyDescent="0.2">
      <c r="A177" s="196"/>
      <c r="B177" s="39"/>
      <c r="C177" s="32"/>
      <c r="D177" s="10" t="s">
        <v>119</v>
      </c>
      <c r="E177" s="11">
        <f>(3.455+4.4)*(1.865+1.725)/2*0.24</f>
        <v>3.3839339999999996</v>
      </c>
      <c r="F177" s="9"/>
      <c r="G177" s="206"/>
      <c r="H177" s="209"/>
      <c r="I177" s="212"/>
      <c r="J177" s="225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spans="1:21" x14ac:dyDescent="0.2">
      <c r="A178" s="196"/>
      <c r="B178" s="39"/>
      <c r="C178" s="32"/>
      <c r="D178" s="10" t="s">
        <v>120</v>
      </c>
      <c r="E178" s="11"/>
      <c r="F178" s="9"/>
      <c r="G178" s="206"/>
      <c r="H178" s="209"/>
      <c r="I178" s="212"/>
      <c r="J178" s="225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spans="1:21" ht="38.25" x14ac:dyDescent="0.2">
      <c r="A179" s="196"/>
      <c r="B179" s="39"/>
      <c r="C179" s="32"/>
      <c r="D179" s="10" t="s">
        <v>121</v>
      </c>
      <c r="E179" s="12">
        <f>((3.885+3.515)/2*(0.735+0.67)/2+(6.36+6)/2*0.675+6.02*0.7+(6.205+5.8)/2*(0.7+0.76)/2+(1.255+0.765)/2*2.345+(0.765*0.855-0.765*0.41/2))*0.24</f>
        <v>4.3757459999999995</v>
      </c>
      <c r="F179" s="9"/>
      <c r="G179" s="206"/>
      <c r="H179" s="209"/>
      <c r="I179" s="212"/>
      <c r="J179" s="225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spans="1:21" x14ac:dyDescent="0.2">
      <c r="A180" s="196"/>
      <c r="B180" s="39"/>
      <c r="C180" s="32"/>
      <c r="D180" s="10" t="s">
        <v>122</v>
      </c>
      <c r="E180" s="11">
        <f>SUM(E173:E179)</f>
        <v>27.182207999999999</v>
      </c>
      <c r="F180" s="9"/>
      <c r="G180" s="206"/>
      <c r="H180" s="209"/>
      <c r="I180" s="212"/>
      <c r="J180" s="225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spans="1:21" x14ac:dyDescent="0.2">
      <c r="A181" s="196"/>
      <c r="B181" s="39"/>
      <c r="C181" s="32"/>
      <c r="D181" s="10"/>
      <c r="E181" s="11"/>
      <c r="F181" s="9"/>
      <c r="G181" s="206"/>
      <c r="H181" s="209"/>
      <c r="I181" s="212"/>
      <c r="J181" s="225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spans="1:21" x14ac:dyDescent="0.2">
      <c r="A182" s="196">
        <v>30</v>
      </c>
      <c r="B182" s="39" t="s">
        <v>90</v>
      </c>
      <c r="C182" s="32" t="s">
        <v>123</v>
      </c>
      <c r="D182" s="6" t="s">
        <v>124</v>
      </c>
      <c r="E182" s="11"/>
      <c r="F182" s="9" t="s">
        <v>38</v>
      </c>
      <c r="G182" s="206">
        <f>E185</f>
        <v>16.777100000000001</v>
      </c>
      <c r="H182" s="209"/>
      <c r="I182" s="212">
        <f>G182*H182</f>
        <v>0</v>
      </c>
      <c r="J182" s="225" t="s">
        <v>354</v>
      </c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spans="1:21" x14ac:dyDescent="0.2">
      <c r="A183" s="196"/>
      <c r="B183" s="39"/>
      <c r="C183" s="32"/>
      <c r="D183" s="10" t="s">
        <v>125</v>
      </c>
      <c r="E183" s="11">
        <f>(25.815+2.1*6)*0.24</f>
        <v>9.2196000000000016</v>
      </c>
      <c r="F183" s="9"/>
      <c r="G183" s="206"/>
      <c r="H183" s="209"/>
      <c r="I183" s="212"/>
      <c r="J183" s="225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spans="1:21" x14ac:dyDescent="0.2">
      <c r="A184" s="196"/>
      <c r="B184" s="39"/>
      <c r="C184" s="32"/>
      <c r="D184" s="10" t="s">
        <v>126</v>
      </c>
      <c r="E184" s="12">
        <f>(25.475+0.7*5+1.255)*0.25</f>
        <v>7.5575000000000001</v>
      </c>
      <c r="F184" s="9"/>
      <c r="G184" s="206"/>
      <c r="H184" s="209"/>
      <c r="I184" s="212"/>
      <c r="J184" s="225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spans="1:21" x14ac:dyDescent="0.2">
      <c r="A185" s="196"/>
      <c r="B185" s="39"/>
      <c r="C185" s="32"/>
      <c r="D185" s="10"/>
      <c r="E185" s="11">
        <f>SUM(E183:E184)</f>
        <v>16.777100000000001</v>
      </c>
      <c r="F185" s="9"/>
      <c r="G185" s="206"/>
      <c r="H185" s="209"/>
      <c r="I185" s="212"/>
      <c r="J185" s="225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spans="1:21" x14ac:dyDescent="0.2">
      <c r="A186" s="196"/>
      <c r="B186" s="39"/>
      <c r="C186" s="32"/>
      <c r="D186" s="10"/>
      <c r="E186" s="11"/>
      <c r="F186" s="9"/>
      <c r="G186" s="206"/>
      <c r="H186" s="209"/>
      <c r="I186" s="212"/>
      <c r="J186" s="225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spans="1:21" x14ac:dyDescent="0.2">
      <c r="A187" s="196">
        <v>31</v>
      </c>
      <c r="B187" s="39" t="s">
        <v>90</v>
      </c>
      <c r="C187" s="32" t="s">
        <v>127</v>
      </c>
      <c r="D187" s="6" t="s">
        <v>128</v>
      </c>
      <c r="E187" s="11"/>
      <c r="F187" s="9" t="s">
        <v>12</v>
      </c>
      <c r="G187" s="206">
        <f>E188</f>
        <v>1.85</v>
      </c>
      <c r="H187" s="209"/>
      <c r="I187" s="212">
        <f>G187*H187</f>
        <v>0</v>
      </c>
      <c r="J187" s="225" t="s">
        <v>354</v>
      </c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spans="1:21" x14ac:dyDescent="0.2">
      <c r="A188" s="196"/>
      <c r="B188" s="39"/>
      <c r="C188" s="32"/>
      <c r="D188" s="10" t="s">
        <v>461</v>
      </c>
      <c r="E188" s="11">
        <v>1.85</v>
      </c>
      <c r="F188" s="9"/>
      <c r="G188" s="206"/>
      <c r="H188" s="209"/>
      <c r="I188" s="212"/>
      <c r="J188" s="225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spans="1:21" x14ac:dyDescent="0.2">
      <c r="A189" s="196"/>
      <c r="B189" s="39"/>
      <c r="C189" s="32"/>
      <c r="D189" s="6"/>
      <c r="E189" s="11"/>
      <c r="F189" s="9"/>
      <c r="G189" s="206"/>
      <c r="H189" s="209"/>
      <c r="I189" s="212"/>
      <c r="J189" s="225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spans="1:21" ht="25.5" x14ac:dyDescent="0.2">
      <c r="A190" s="196">
        <v>32</v>
      </c>
      <c r="B190" s="39" t="s">
        <v>90</v>
      </c>
      <c r="C190" s="32" t="s">
        <v>129</v>
      </c>
      <c r="D190" s="6" t="s">
        <v>130</v>
      </c>
      <c r="E190" s="11"/>
      <c r="F190" s="9" t="s">
        <v>30</v>
      </c>
      <c r="G190" s="206">
        <f>E191</f>
        <v>36.889999999999993</v>
      </c>
      <c r="H190" s="209"/>
      <c r="I190" s="212">
        <f>G190*H190</f>
        <v>0</v>
      </c>
      <c r="J190" s="225" t="s">
        <v>354</v>
      </c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spans="1:21" x14ac:dyDescent="0.2">
      <c r="A191" s="196"/>
      <c r="B191" s="39"/>
      <c r="C191" s="32"/>
      <c r="D191" s="10" t="s">
        <v>131</v>
      </c>
      <c r="E191" s="11">
        <f>17*(2.8+0.3)*0.35*2</f>
        <v>36.889999999999993</v>
      </c>
      <c r="F191" s="9"/>
      <c r="G191" s="206"/>
      <c r="H191" s="209"/>
      <c r="I191" s="212"/>
      <c r="J191" s="225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spans="1:21" x14ac:dyDescent="0.2">
      <c r="A192" s="196"/>
      <c r="B192" s="39"/>
      <c r="C192" s="32"/>
      <c r="D192" s="6"/>
      <c r="E192" s="11"/>
      <c r="F192" s="9"/>
      <c r="G192" s="206"/>
      <c r="H192" s="209"/>
      <c r="I192" s="212"/>
      <c r="J192" s="225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 ht="25.5" x14ac:dyDescent="0.2">
      <c r="A193" s="196">
        <v>33</v>
      </c>
      <c r="B193" s="39" t="s">
        <v>90</v>
      </c>
      <c r="C193" s="32" t="s">
        <v>133</v>
      </c>
      <c r="D193" s="6" t="s">
        <v>134</v>
      </c>
      <c r="E193" s="11"/>
      <c r="F193" s="9" t="s">
        <v>38</v>
      </c>
      <c r="G193" s="206">
        <f>E194</f>
        <v>17.549999999999997</v>
      </c>
      <c r="H193" s="209"/>
      <c r="I193" s="212">
        <f>G193*H193</f>
        <v>0</v>
      </c>
      <c r="J193" s="225" t="s">
        <v>354</v>
      </c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 x14ac:dyDescent="0.2">
      <c r="A194" s="196"/>
      <c r="B194" s="39"/>
      <c r="C194" s="32"/>
      <c r="D194" s="10" t="s">
        <v>135</v>
      </c>
      <c r="E194" s="11">
        <f>(0.35+0.1)*19.5*2</f>
        <v>17.549999999999997</v>
      </c>
      <c r="F194" s="9"/>
      <c r="G194" s="206"/>
      <c r="H194" s="209"/>
      <c r="I194" s="212"/>
      <c r="J194" s="225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 x14ac:dyDescent="0.2">
      <c r="A195" s="196"/>
      <c r="B195" s="39"/>
      <c r="C195" s="32"/>
      <c r="D195" s="6"/>
      <c r="E195" s="11"/>
      <c r="F195" s="9"/>
      <c r="G195" s="206"/>
      <c r="H195" s="209"/>
      <c r="I195" s="212"/>
      <c r="J195" s="225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spans="1:21" ht="25.5" x14ac:dyDescent="0.2">
      <c r="A196" s="196">
        <v>34</v>
      </c>
      <c r="B196" s="39" t="s">
        <v>90</v>
      </c>
      <c r="C196" s="32" t="s">
        <v>136</v>
      </c>
      <c r="D196" s="6" t="s">
        <v>137</v>
      </c>
      <c r="E196" s="11"/>
      <c r="F196" s="9" t="s">
        <v>12</v>
      </c>
      <c r="G196" s="206">
        <f>E197</f>
        <v>3.6949999999999998</v>
      </c>
      <c r="H196" s="209"/>
      <c r="I196" s="212">
        <f>G196*H196</f>
        <v>0</v>
      </c>
      <c r="J196" s="225" t="s">
        <v>354</v>
      </c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spans="1:21" x14ac:dyDescent="0.2">
      <c r="A197" s="196"/>
      <c r="B197" s="39"/>
      <c r="C197" s="32"/>
      <c r="D197" s="10" t="s">
        <v>138</v>
      </c>
      <c r="E197" s="11">
        <v>3.6949999999999998</v>
      </c>
      <c r="F197" s="9"/>
      <c r="G197" s="206"/>
      <c r="H197" s="209"/>
      <c r="I197" s="212"/>
      <c r="J197" s="225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spans="1:21" x14ac:dyDescent="0.2">
      <c r="A198" s="196"/>
      <c r="B198" s="39"/>
      <c r="C198" s="32"/>
      <c r="D198" s="6"/>
      <c r="E198" s="11"/>
      <c r="F198" s="9"/>
      <c r="G198" s="206"/>
      <c r="H198" s="209"/>
      <c r="I198" s="212"/>
      <c r="J198" s="225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spans="1:21" ht="25.5" x14ac:dyDescent="0.2">
      <c r="A199" s="196">
        <v>35</v>
      </c>
      <c r="B199" s="39" t="s">
        <v>90</v>
      </c>
      <c r="C199" s="32" t="s">
        <v>139</v>
      </c>
      <c r="D199" s="6" t="s">
        <v>140</v>
      </c>
      <c r="E199" s="11"/>
      <c r="F199" s="9" t="s">
        <v>30</v>
      </c>
      <c r="G199" s="206">
        <f>E202</f>
        <v>93.882956000000021</v>
      </c>
      <c r="H199" s="209"/>
      <c r="I199" s="212">
        <f>G199*H199</f>
        <v>0</v>
      </c>
      <c r="J199" s="225" t="s">
        <v>354</v>
      </c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spans="1:21" x14ac:dyDescent="0.2">
      <c r="A200" s="196"/>
      <c r="B200" s="39"/>
      <c r="C200" s="32"/>
      <c r="D200" s="10" t="s">
        <v>141</v>
      </c>
      <c r="E200" s="11">
        <f>18.6*19.44*0.2</f>
        <v>72.316800000000015</v>
      </c>
      <c r="F200" s="9"/>
      <c r="G200" s="206"/>
      <c r="H200" s="209"/>
      <c r="I200" s="212"/>
      <c r="J200" s="225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spans="1:21" x14ac:dyDescent="0.2">
      <c r="A201" s="196"/>
      <c r="B201" s="39"/>
      <c r="C201" s="32"/>
      <c r="D201" s="10" t="s">
        <v>142</v>
      </c>
      <c r="E201" s="12">
        <f>(22.165*0.55-0.42*0.08*0.54*2*19-0.18*0.42*0.5*19)*2</f>
        <v>21.566156000000003</v>
      </c>
      <c r="F201" s="9"/>
      <c r="G201" s="206"/>
      <c r="H201" s="209"/>
      <c r="I201" s="212"/>
      <c r="J201" s="225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spans="1:21" x14ac:dyDescent="0.2">
      <c r="A202" s="196"/>
      <c r="B202" s="39"/>
      <c r="C202" s="32"/>
      <c r="D202" s="10"/>
      <c r="E202" s="11">
        <f>SUM(E200:E201)</f>
        <v>93.882956000000021</v>
      </c>
      <c r="F202" s="9"/>
      <c r="G202" s="206"/>
      <c r="H202" s="209"/>
      <c r="I202" s="212"/>
      <c r="J202" s="225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spans="1:21" x14ac:dyDescent="0.2">
      <c r="A203" s="196"/>
      <c r="B203" s="39"/>
      <c r="C203" s="32"/>
      <c r="D203" s="6"/>
      <c r="E203" s="11"/>
      <c r="F203" s="9"/>
      <c r="G203" s="206"/>
      <c r="H203" s="209"/>
      <c r="I203" s="212"/>
      <c r="J203" s="225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spans="1:21" ht="25.5" x14ac:dyDescent="0.2">
      <c r="A204" s="196">
        <v>36</v>
      </c>
      <c r="B204" s="39" t="s">
        <v>90</v>
      </c>
      <c r="C204" s="32" t="s">
        <v>143</v>
      </c>
      <c r="D204" s="6" t="s">
        <v>144</v>
      </c>
      <c r="E204" s="11"/>
      <c r="F204" s="9" t="s">
        <v>38</v>
      </c>
      <c r="G204" s="206">
        <f>E207</f>
        <v>125.66155000000001</v>
      </c>
      <c r="H204" s="209"/>
      <c r="I204" s="212">
        <f>G204*H204</f>
        <v>0</v>
      </c>
      <c r="J204" s="225" t="s">
        <v>354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spans="1:21" x14ac:dyDescent="0.2">
      <c r="A205" s="196"/>
      <c r="B205" s="39"/>
      <c r="C205" s="32"/>
      <c r="D205" s="10" t="s">
        <v>145</v>
      </c>
      <c r="E205" s="11">
        <f>18.6*0.2*3</f>
        <v>11.160000000000002</v>
      </c>
      <c r="F205" s="9"/>
      <c r="G205" s="206"/>
      <c r="H205" s="209"/>
      <c r="I205" s="212"/>
      <c r="J205" s="225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spans="1:21" x14ac:dyDescent="0.2">
      <c r="A206" s="196"/>
      <c r="B206" s="39"/>
      <c r="C206" s="32"/>
      <c r="D206" s="10" t="s">
        <v>146</v>
      </c>
      <c r="E206" s="12">
        <f>(1.06+0.625+0.85)*22.165*2+0.625*0.85*4</f>
        <v>114.50155000000001</v>
      </c>
      <c r="F206" s="9"/>
      <c r="G206" s="206"/>
      <c r="H206" s="209"/>
      <c r="I206" s="212"/>
      <c r="J206" s="225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spans="1:21" x14ac:dyDescent="0.2">
      <c r="A207" s="196"/>
      <c r="B207" s="39"/>
      <c r="C207" s="32"/>
      <c r="D207" s="10"/>
      <c r="E207" s="11">
        <f>SUM(E205:E206)</f>
        <v>125.66155000000001</v>
      </c>
      <c r="F207" s="9"/>
      <c r="G207" s="206"/>
      <c r="H207" s="209"/>
      <c r="I207" s="212"/>
      <c r="J207" s="225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spans="1:21" x14ac:dyDescent="0.2">
      <c r="A208" s="196"/>
      <c r="B208" s="39"/>
      <c r="C208" s="32"/>
      <c r="D208" s="10"/>
      <c r="E208" s="11"/>
      <c r="F208" s="9"/>
      <c r="G208" s="206"/>
      <c r="H208" s="209"/>
      <c r="I208" s="212"/>
      <c r="J208" s="225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spans="1:21" ht="25.5" x14ac:dyDescent="0.2">
      <c r="A209" s="196">
        <v>37</v>
      </c>
      <c r="B209" s="39" t="s">
        <v>90</v>
      </c>
      <c r="C209" s="35" t="s">
        <v>147</v>
      </c>
      <c r="D209" s="233" t="s">
        <v>148</v>
      </c>
      <c r="E209" s="11"/>
      <c r="F209" s="9" t="s">
        <v>38</v>
      </c>
      <c r="G209" s="206">
        <f>E210</f>
        <v>153</v>
      </c>
      <c r="H209" s="209"/>
      <c r="I209" s="212">
        <f>G209*H209</f>
        <v>0</v>
      </c>
      <c r="J209" s="225" t="s">
        <v>354</v>
      </c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spans="1:21" x14ac:dyDescent="0.2">
      <c r="A210" s="196"/>
      <c r="B210" s="39"/>
      <c r="C210" s="32"/>
      <c r="D210" s="16" t="s">
        <v>258</v>
      </c>
      <c r="E210" s="11">
        <f>0.5*17*18</f>
        <v>153</v>
      </c>
      <c r="F210" s="9"/>
      <c r="G210" s="206"/>
      <c r="H210" s="209"/>
      <c r="I210" s="212"/>
      <c r="J210" s="225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spans="1:21" x14ac:dyDescent="0.2">
      <c r="A211" s="196"/>
      <c r="B211" s="39"/>
      <c r="C211" s="32"/>
      <c r="D211" s="6"/>
      <c r="E211" s="11"/>
      <c r="F211" s="9"/>
      <c r="G211" s="206"/>
      <c r="H211" s="209"/>
      <c r="I211" s="212"/>
      <c r="J211" s="225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spans="1:21" ht="25.5" x14ac:dyDescent="0.2">
      <c r="A212" s="196">
        <v>38</v>
      </c>
      <c r="B212" s="39" t="s">
        <v>90</v>
      </c>
      <c r="C212" s="32" t="s">
        <v>149</v>
      </c>
      <c r="D212" s="6" t="s">
        <v>150</v>
      </c>
      <c r="E212" s="11"/>
      <c r="F212" s="9" t="s">
        <v>12</v>
      </c>
      <c r="G212" s="206">
        <f>E216</f>
        <v>11.379999999999999</v>
      </c>
      <c r="H212" s="209"/>
      <c r="I212" s="212">
        <f>G212*H212</f>
        <v>0</v>
      </c>
      <c r="J212" s="225" t="s">
        <v>354</v>
      </c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spans="1:21" x14ac:dyDescent="0.2">
      <c r="A213" s="196"/>
      <c r="B213" s="39"/>
      <c r="C213" s="32"/>
      <c r="D213" s="339" t="s">
        <v>460</v>
      </c>
      <c r="E213" s="11">
        <v>2.2749999999999999</v>
      </c>
      <c r="F213" s="9"/>
      <c r="G213" s="206"/>
      <c r="H213" s="209"/>
      <c r="I213" s="212"/>
      <c r="J213" s="225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spans="1:21" x14ac:dyDescent="0.2">
      <c r="A214" s="196"/>
      <c r="B214" s="39"/>
      <c r="C214" s="32"/>
      <c r="D214" s="10" t="s">
        <v>151</v>
      </c>
      <c r="E214" s="11">
        <v>8.19</v>
      </c>
      <c r="F214" s="9"/>
      <c r="G214" s="206"/>
      <c r="H214" s="209"/>
      <c r="I214" s="212"/>
      <c r="J214" s="225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spans="1:21" x14ac:dyDescent="0.2">
      <c r="A215" s="196"/>
      <c r="B215" s="39"/>
      <c r="C215" s="32"/>
      <c r="D215" s="10" t="s">
        <v>152</v>
      </c>
      <c r="E215" s="41">
        <v>0.91500000000000004</v>
      </c>
      <c r="F215" s="9"/>
      <c r="G215" s="206"/>
      <c r="H215" s="209"/>
      <c r="I215" s="212"/>
      <c r="J215" s="225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spans="1:21" x14ac:dyDescent="0.2">
      <c r="A216" s="196"/>
      <c r="B216" s="39"/>
      <c r="C216" s="32"/>
      <c r="D216" s="10"/>
      <c r="E216" s="11">
        <f>SUM(E213:E215)</f>
        <v>11.379999999999999</v>
      </c>
      <c r="F216" s="9"/>
      <c r="G216" s="206"/>
      <c r="H216" s="209"/>
      <c r="I216" s="212"/>
      <c r="J216" s="225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spans="1:21" x14ac:dyDescent="0.2">
      <c r="A217" s="196"/>
      <c r="B217" s="39"/>
      <c r="C217" s="32"/>
      <c r="D217" s="10"/>
      <c r="E217" s="11"/>
      <c r="F217" s="9"/>
      <c r="G217" s="206"/>
      <c r="H217" s="209"/>
      <c r="I217" s="212"/>
      <c r="J217" s="225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spans="1:21" x14ac:dyDescent="0.2">
      <c r="A218" s="196"/>
      <c r="B218" s="39"/>
      <c r="C218" s="32"/>
      <c r="D218" s="6"/>
      <c r="E218" s="11"/>
      <c r="F218" s="9"/>
      <c r="G218" s="206"/>
      <c r="H218" s="209"/>
      <c r="I218" s="212"/>
      <c r="J218" s="225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spans="1:21" x14ac:dyDescent="0.2">
      <c r="A219" s="196">
        <v>39</v>
      </c>
      <c r="B219" s="39" t="s">
        <v>90</v>
      </c>
      <c r="C219" s="32" t="s">
        <v>153</v>
      </c>
      <c r="D219" s="6" t="s">
        <v>451</v>
      </c>
      <c r="E219" s="11"/>
      <c r="F219" s="9" t="s">
        <v>30</v>
      </c>
      <c r="G219" s="206">
        <f>E220</f>
        <v>6.15456</v>
      </c>
      <c r="H219" s="209"/>
      <c r="I219" s="212">
        <f>G219*H219</f>
        <v>0</v>
      </c>
      <c r="J219" s="225" t="s">
        <v>354</v>
      </c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spans="1:21" x14ac:dyDescent="0.2">
      <c r="A220" s="196"/>
      <c r="B220" s="39"/>
      <c r="C220" s="32"/>
      <c r="D220" s="10" t="s">
        <v>154</v>
      </c>
      <c r="E220" s="11">
        <f>(25.813+25.475)*0.15*0.8</f>
        <v>6.15456</v>
      </c>
      <c r="F220" s="9"/>
      <c r="G220" s="206"/>
      <c r="H220" s="209"/>
      <c r="I220" s="212"/>
      <c r="J220" s="225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spans="1:21" x14ac:dyDescent="0.2">
      <c r="A221" s="196"/>
      <c r="B221" s="39"/>
      <c r="C221" s="32"/>
      <c r="D221" s="6"/>
      <c r="E221" s="11"/>
      <c r="F221" s="9"/>
      <c r="G221" s="206"/>
      <c r="H221" s="209"/>
      <c r="I221" s="212"/>
      <c r="J221" s="225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spans="1:21" ht="25.5" x14ac:dyDescent="0.2">
      <c r="A222" s="196">
        <v>40</v>
      </c>
      <c r="B222" s="39" t="s">
        <v>90</v>
      </c>
      <c r="C222" s="38" t="s">
        <v>155</v>
      </c>
      <c r="D222" s="233" t="s">
        <v>450</v>
      </c>
      <c r="E222" s="11"/>
      <c r="F222" s="9" t="s">
        <v>30</v>
      </c>
      <c r="G222" s="206">
        <f>E223</f>
        <v>292.99499999999995</v>
      </c>
      <c r="H222" s="209"/>
      <c r="I222" s="212">
        <f>G222*H222</f>
        <v>0</v>
      </c>
      <c r="J222" s="225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spans="1:21" x14ac:dyDescent="0.2">
      <c r="A223" s="196"/>
      <c r="B223" s="39"/>
      <c r="C223" s="32"/>
      <c r="D223" s="10" t="s">
        <v>156</v>
      </c>
      <c r="E223" s="11">
        <f>0.85*18*19.15</f>
        <v>292.99499999999995</v>
      </c>
      <c r="F223" s="9"/>
      <c r="G223" s="206"/>
      <c r="H223" s="209"/>
      <c r="I223" s="212"/>
      <c r="J223" s="225" t="s">
        <v>354</v>
      </c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spans="1:21" x14ac:dyDescent="0.2">
      <c r="A224" s="196"/>
      <c r="B224" s="39"/>
      <c r="C224" s="32"/>
      <c r="D224" s="10"/>
      <c r="E224" s="11"/>
      <c r="F224" s="9"/>
      <c r="G224" s="206"/>
      <c r="H224" s="209"/>
      <c r="I224" s="212"/>
      <c r="J224" s="225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spans="1:21" x14ac:dyDescent="0.2">
      <c r="A225" s="196"/>
      <c r="B225" s="47"/>
      <c r="C225" s="46" t="s">
        <v>287</v>
      </c>
      <c r="D225" s="234" t="s">
        <v>288</v>
      </c>
      <c r="E225" s="11"/>
      <c r="F225" s="9" t="s">
        <v>72</v>
      </c>
      <c r="G225" s="206">
        <v>38</v>
      </c>
      <c r="H225" s="209"/>
      <c r="I225" s="212">
        <f>G225*H225</f>
        <v>0</v>
      </c>
      <c r="J225" s="225" t="s">
        <v>354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spans="1:21" x14ac:dyDescent="0.2">
      <c r="A226" s="196"/>
      <c r="B226" s="39"/>
      <c r="C226" s="32"/>
      <c r="D226" s="10" t="s">
        <v>452</v>
      </c>
      <c r="E226" s="11"/>
      <c r="F226" s="9"/>
      <c r="G226" s="206"/>
      <c r="H226" s="209"/>
      <c r="I226" s="212"/>
      <c r="J226" s="225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spans="1:21" x14ac:dyDescent="0.2">
      <c r="A227" s="196"/>
      <c r="B227" s="39"/>
      <c r="C227" s="32"/>
      <c r="D227" s="6"/>
      <c r="E227" s="11"/>
      <c r="F227" s="9"/>
      <c r="G227" s="206"/>
      <c r="H227" s="209"/>
      <c r="I227" s="212"/>
      <c r="J227" s="225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spans="1:21" x14ac:dyDescent="0.2">
      <c r="A228" s="196">
        <v>41</v>
      </c>
      <c r="B228" s="39" t="s">
        <v>90</v>
      </c>
      <c r="C228" s="32" t="s">
        <v>157</v>
      </c>
      <c r="D228" s="6" t="s">
        <v>158</v>
      </c>
      <c r="E228" s="11"/>
      <c r="F228" s="9" t="s">
        <v>46</v>
      </c>
      <c r="G228" s="206">
        <v>39</v>
      </c>
      <c r="H228" s="209"/>
      <c r="I228" s="212">
        <f>G228*H228</f>
        <v>0</v>
      </c>
      <c r="J228" s="225" t="s">
        <v>354</v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spans="1:21" ht="25.5" x14ac:dyDescent="0.2">
      <c r="A229" s="196"/>
      <c r="B229" s="39"/>
      <c r="C229" s="32"/>
      <c r="D229" s="10" t="s">
        <v>159</v>
      </c>
      <c r="E229" s="11"/>
      <c r="F229" s="9"/>
      <c r="G229" s="206"/>
      <c r="H229" s="209"/>
      <c r="I229" s="212"/>
      <c r="J229" s="225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spans="1:21" x14ac:dyDescent="0.2">
      <c r="A230" s="196"/>
      <c r="B230" s="39"/>
      <c r="C230" s="32"/>
      <c r="D230" s="6"/>
      <c r="E230" s="11"/>
      <c r="F230" s="9"/>
      <c r="G230" s="206"/>
      <c r="H230" s="209"/>
      <c r="I230" s="212"/>
      <c r="J230" s="225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spans="1:21" ht="25.5" x14ac:dyDescent="0.2">
      <c r="A231" s="196">
        <v>42</v>
      </c>
      <c r="B231" s="39" t="s">
        <v>90</v>
      </c>
      <c r="C231" s="32" t="s">
        <v>160</v>
      </c>
      <c r="D231" s="6" t="s">
        <v>161</v>
      </c>
      <c r="E231" s="11"/>
      <c r="F231" s="9" t="s">
        <v>30</v>
      </c>
      <c r="G231" s="206">
        <f>E233</f>
        <v>717.59999999999991</v>
      </c>
      <c r="H231" s="209"/>
      <c r="I231" s="212">
        <f>G231*H231</f>
        <v>0</v>
      </c>
      <c r="J231" s="225" t="s">
        <v>354</v>
      </c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spans="1:21" ht="25.5" x14ac:dyDescent="0.2">
      <c r="A232" s="196"/>
      <c r="B232" s="39"/>
      <c r="C232" s="32"/>
      <c r="D232" s="10" t="s">
        <v>162</v>
      </c>
      <c r="E232" s="11"/>
      <c r="F232" s="9"/>
      <c r="G232" s="206"/>
      <c r="H232" s="209"/>
      <c r="I232" s="212"/>
      <c r="J232" s="225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spans="1:21" x14ac:dyDescent="0.2">
      <c r="A233" s="196"/>
      <c r="B233" s="39"/>
      <c r="C233" s="32"/>
      <c r="D233" s="10" t="s">
        <v>163</v>
      </c>
      <c r="E233" s="11">
        <f>19.5*8*2.3*2</f>
        <v>717.59999999999991</v>
      </c>
      <c r="F233" s="9"/>
      <c r="G233" s="206"/>
      <c r="H233" s="209"/>
      <c r="I233" s="212"/>
      <c r="J233" s="225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spans="1:21" x14ac:dyDescent="0.2">
      <c r="A234" s="196"/>
      <c r="B234" s="39"/>
      <c r="C234" s="32"/>
      <c r="D234" s="10"/>
      <c r="E234" s="11"/>
      <c r="F234" s="9"/>
      <c r="G234" s="206"/>
      <c r="H234" s="209"/>
      <c r="I234" s="212"/>
      <c r="J234" s="225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spans="1:21" x14ac:dyDescent="0.2">
      <c r="A235" s="196">
        <v>43</v>
      </c>
      <c r="B235" s="39" t="s">
        <v>90</v>
      </c>
      <c r="C235" s="32" t="s">
        <v>164</v>
      </c>
      <c r="D235" s="6" t="s">
        <v>165</v>
      </c>
      <c r="E235" s="11"/>
      <c r="F235" s="9" t="s">
        <v>46</v>
      </c>
      <c r="G235" s="206">
        <v>100</v>
      </c>
      <c r="H235" s="209"/>
      <c r="I235" s="212">
        <f>G235*H235</f>
        <v>0</v>
      </c>
      <c r="J235" s="225" t="s">
        <v>354</v>
      </c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spans="1:21" x14ac:dyDescent="0.2">
      <c r="A236" s="196"/>
      <c r="B236" s="39"/>
      <c r="C236" s="32"/>
      <c r="D236" s="339" t="s">
        <v>443</v>
      </c>
      <c r="E236" s="11">
        <f>25.475+25.813</f>
        <v>51.287999999999997</v>
      </c>
      <c r="F236" s="9"/>
      <c r="G236" s="206"/>
      <c r="H236" s="209"/>
      <c r="I236" s="212"/>
      <c r="J236" s="225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spans="1:21" x14ac:dyDescent="0.2">
      <c r="A237" s="196"/>
      <c r="B237" s="39"/>
      <c r="C237" s="32"/>
      <c r="D237" s="10" t="s">
        <v>166</v>
      </c>
      <c r="E237" s="12">
        <f>4*12</f>
        <v>48</v>
      </c>
      <c r="F237" s="9"/>
      <c r="G237" s="206"/>
      <c r="H237" s="209"/>
      <c r="I237" s="212"/>
      <c r="J237" s="225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spans="1:21" x14ac:dyDescent="0.2">
      <c r="A238" s="196"/>
      <c r="B238" s="39"/>
      <c r="C238" s="32"/>
      <c r="D238" s="10"/>
      <c r="E238" s="11">
        <f>SUM(E236:E237)</f>
        <v>99.287999999999997</v>
      </c>
      <c r="F238" s="9"/>
      <c r="G238" s="206"/>
      <c r="H238" s="209"/>
      <c r="I238" s="212"/>
      <c r="J238" s="225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spans="1:21" x14ac:dyDescent="0.2">
      <c r="A239" s="196"/>
      <c r="B239" s="39"/>
      <c r="C239" s="32"/>
      <c r="D239" s="6"/>
      <c r="E239" s="11"/>
      <c r="F239" s="9"/>
      <c r="G239" s="206"/>
      <c r="H239" s="209"/>
      <c r="I239" s="212"/>
      <c r="J239" s="225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spans="1:21" x14ac:dyDescent="0.2">
      <c r="A240" s="196">
        <v>44</v>
      </c>
      <c r="B240" s="39" t="s">
        <v>90</v>
      </c>
      <c r="C240" s="32" t="s">
        <v>167</v>
      </c>
      <c r="D240" s="6" t="s">
        <v>168</v>
      </c>
      <c r="E240" s="11"/>
      <c r="F240" s="9" t="s">
        <v>46</v>
      </c>
      <c r="G240" s="206">
        <v>25.82</v>
      </c>
      <c r="H240" s="209"/>
      <c r="I240" s="212">
        <f>G240*H240</f>
        <v>0</v>
      </c>
      <c r="J240" s="225" t="s">
        <v>354</v>
      </c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spans="1:21" x14ac:dyDescent="0.2">
      <c r="A241" s="196"/>
      <c r="B241" s="39"/>
      <c r="C241" s="32"/>
      <c r="D241" s="10" t="s">
        <v>444</v>
      </c>
      <c r="E241" s="11"/>
      <c r="F241" s="9"/>
      <c r="G241" s="206"/>
      <c r="H241" s="209"/>
      <c r="I241" s="212"/>
      <c r="J241" s="225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spans="1:21" x14ac:dyDescent="0.2">
      <c r="A242" s="196"/>
      <c r="B242" s="39"/>
      <c r="C242" s="32"/>
      <c r="D242" s="6"/>
      <c r="E242" s="11"/>
      <c r="F242" s="9"/>
      <c r="G242" s="206"/>
      <c r="H242" s="209"/>
      <c r="I242" s="212"/>
      <c r="J242" s="225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spans="1:21" x14ac:dyDescent="0.2">
      <c r="A243" s="196">
        <v>45</v>
      </c>
      <c r="B243" s="39" t="s">
        <v>90</v>
      </c>
      <c r="C243" s="32" t="s">
        <v>169</v>
      </c>
      <c r="D243" s="6" t="s">
        <v>168</v>
      </c>
      <c r="E243" s="11"/>
      <c r="F243" s="9" t="s">
        <v>170</v>
      </c>
      <c r="G243" s="206">
        <f>E246</f>
        <v>594.92100000000005</v>
      </c>
      <c r="H243" s="209"/>
      <c r="I243" s="212">
        <f>G243*H243</f>
        <v>0</v>
      </c>
      <c r="J243" s="225" t="s">
        <v>354</v>
      </c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spans="1:21" x14ac:dyDescent="0.2">
      <c r="A244" s="196"/>
      <c r="B244" s="39"/>
      <c r="C244" s="32"/>
      <c r="D244" s="10" t="s">
        <v>171</v>
      </c>
      <c r="E244" s="11">
        <f>40.464+34.79+53.226+68.517+239.28</f>
        <v>436.27699999999999</v>
      </c>
      <c r="F244" s="9"/>
      <c r="G244" s="206"/>
      <c r="H244" s="209"/>
      <c r="I244" s="212"/>
      <c r="J244" s="225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spans="1:21" x14ac:dyDescent="0.2">
      <c r="A245" s="196"/>
      <c r="B245" s="39"/>
      <c r="C245" s="32"/>
      <c r="D245" s="10" t="s">
        <v>172</v>
      </c>
      <c r="E245" s="12">
        <f>33.184+35.99+17.06+13.86+58.55</f>
        <v>158.64400000000001</v>
      </c>
      <c r="F245" s="9"/>
      <c r="G245" s="206"/>
      <c r="H245" s="209"/>
      <c r="I245" s="212"/>
      <c r="J245" s="225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spans="1:21" x14ac:dyDescent="0.2">
      <c r="A246" s="196"/>
      <c r="B246" s="39"/>
      <c r="C246" s="32"/>
      <c r="D246" s="10"/>
      <c r="E246" s="11">
        <f>SUM(E244:E245)</f>
        <v>594.92100000000005</v>
      </c>
      <c r="F246" s="9"/>
      <c r="G246" s="206"/>
      <c r="H246" s="209"/>
      <c r="I246" s="212"/>
      <c r="J246" s="225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spans="1:21" x14ac:dyDescent="0.2">
      <c r="A247" s="196"/>
      <c r="B247" s="39"/>
      <c r="C247" s="32"/>
      <c r="D247" s="10"/>
      <c r="E247" s="11"/>
      <c r="F247" s="9"/>
      <c r="G247" s="206"/>
      <c r="H247" s="209"/>
      <c r="I247" s="212"/>
      <c r="J247" s="225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spans="1:21" x14ac:dyDescent="0.2">
      <c r="A248" s="196">
        <v>46</v>
      </c>
      <c r="B248" s="39" t="s">
        <v>90</v>
      </c>
      <c r="C248" s="32" t="s">
        <v>173</v>
      </c>
      <c r="D248" s="6" t="s">
        <v>174</v>
      </c>
      <c r="E248" s="11"/>
      <c r="F248" s="9" t="s">
        <v>72</v>
      </c>
      <c r="G248" s="206">
        <v>6</v>
      </c>
      <c r="H248" s="209"/>
      <c r="I248" s="212">
        <f>G248*H248</f>
        <v>0</v>
      </c>
      <c r="J248" s="225" t="s">
        <v>354</v>
      </c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spans="1:21" x14ac:dyDescent="0.2">
      <c r="A249" s="196"/>
      <c r="B249" s="39"/>
      <c r="C249" s="32"/>
      <c r="D249" s="10" t="s">
        <v>175</v>
      </c>
      <c r="E249" s="11"/>
      <c r="F249" s="9"/>
      <c r="G249" s="206"/>
      <c r="H249" s="209"/>
      <c r="I249" s="212"/>
      <c r="J249" s="225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spans="1:21" x14ac:dyDescent="0.2">
      <c r="A250" s="196"/>
      <c r="B250" s="39"/>
      <c r="C250" s="32"/>
      <c r="D250" s="6"/>
      <c r="E250" s="11"/>
      <c r="F250" s="9"/>
      <c r="G250" s="206"/>
      <c r="H250" s="209"/>
      <c r="I250" s="212"/>
      <c r="J250" s="225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spans="1:21" x14ac:dyDescent="0.2">
      <c r="A251" s="196">
        <v>47</v>
      </c>
      <c r="B251" s="39" t="s">
        <v>90</v>
      </c>
      <c r="C251" s="35" t="s">
        <v>176</v>
      </c>
      <c r="D251" s="233" t="s">
        <v>177</v>
      </c>
      <c r="E251" s="11"/>
      <c r="F251" s="9" t="s">
        <v>46</v>
      </c>
      <c r="G251" s="206">
        <f>E254</f>
        <v>29.5</v>
      </c>
      <c r="H251" s="209"/>
      <c r="I251" s="212">
        <f>G251*H251</f>
        <v>0</v>
      </c>
      <c r="J251" s="225" t="s">
        <v>354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spans="1:21" x14ac:dyDescent="0.2">
      <c r="A252" s="196"/>
      <c r="B252" s="39"/>
      <c r="C252" s="32"/>
      <c r="D252" s="10" t="s">
        <v>445</v>
      </c>
      <c r="E252" s="11">
        <v>26</v>
      </c>
      <c r="F252" s="9"/>
      <c r="G252" s="206"/>
      <c r="H252" s="209"/>
      <c r="I252" s="212"/>
      <c r="J252" s="225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spans="1:21" x14ac:dyDescent="0.2">
      <c r="A253" s="196"/>
      <c r="B253" s="39"/>
      <c r="C253" s="32"/>
      <c r="D253" s="339" t="s">
        <v>449</v>
      </c>
      <c r="E253" s="12">
        <v>3.5</v>
      </c>
      <c r="F253" s="9"/>
      <c r="G253" s="206"/>
      <c r="H253" s="209"/>
      <c r="I253" s="212"/>
      <c r="J253" s="225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spans="1:21" x14ac:dyDescent="0.2">
      <c r="A254" s="196"/>
      <c r="B254" s="39"/>
      <c r="C254" s="32"/>
      <c r="D254" s="10"/>
      <c r="E254" s="11">
        <f>SUM(E252:E253)</f>
        <v>29.5</v>
      </c>
      <c r="F254" s="9"/>
      <c r="G254" s="206"/>
      <c r="H254" s="209"/>
      <c r="I254" s="212"/>
      <c r="J254" s="225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spans="1:21" x14ac:dyDescent="0.2">
      <c r="A255" s="196"/>
      <c r="B255" s="39"/>
      <c r="C255" s="32"/>
      <c r="D255" s="6"/>
      <c r="E255" s="11"/>
      <c r="F255" s="9"/>
      <c r="G255" s="206"/>
      <c r="H255" s="209"/>
      <c r="I255" s="212"/>
      <c r="J255" s="225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spans="1:21" x14ac:dyDescent="0.2">
      <c r="A256" s="196">
        <v>48</v>
      </c>
      <c r="B256" s="39" t="s">
        <v>90</v>
      </c>
      <c r="C256" s="32" t="s">
        <v>178</v>
      </c>
      <c r="D256" s="6" t="s">
        <v>179</v>
      </c>
      <c r="E256" s="11"/>
      <c r="F256" s="9" t="s">
        <v>38</v>
      </c>
      <c r="G256" s="206">
        <v>21.45</v>
      </c>
      <c r="H256" s="209"/>
      <c r="I256" s="212">
        <f>G256*H256</f>
        <v>0</v>
      </c>
      <c r="J256" s="225" t="s">
        <v>354</v>
      </c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spans="1:21" x14ac:dyDescent="0.2">
      <c r="A257" s="196"/>
      <c r="B257" s="39"/>
      <c r="C257" s="32"/>
      <c r="D257" s="10" t="s">
        <v>270</v>
      </c>
      <c r="E257" s="11">
        <f>19.5*0.55*2</f>
        <v>21.450000000000003</v>
      </c>
      <c r="F257" s="9"/>
      <c r="G257" s="206"/>
      <c r="H257" s="209"/>
      <c r="I257" s="212"/>
      <c r="J257" s="225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spans="1:21" x14ac:dyDescent="0.2">
      <c r="A258" s="196"/>
      <c r="B258" s="39"/>
      <c r="C258" s="32"/>
      <c r="D258" s="6"/>
      <c r="E258" s="11"/>
      <c r="F258" s="9"/>
      <c r="G258" s="206"/>
      <c r="H258" s="209"/>
      <c r="I258" s="212"/>
      <c r="J258" s="225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spans="1:21" x14ac:dyDescent="0.2">
      <c r="A259" s="196">
        <v>49</v>
      </c>
      <c r="B259" s="39" t="s">
        <v>180</v>
      </c>
      <c r="C259" s="35" t="s">
        <v>181</v>
      </c>
      <c r="D259" s="233" t="s">
        <v>182</v>
      </c>
      <c r="E259" s="11"/>
      <c r="F259" s="9" t="s">
        <v>46</v>
      </c>
      <c r="G259" s="206">
        <v>44.4</v>
      </c>
      <c r="H259" s="209"/>
      <c r="I259" s="212">
        <f>G259*H259</f>
        <v>0</v>
      </c>
      <c r="J259" s="225" t="s">
        <v>354</v>
      </c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spans="1:21" x14ac:dyDescent="0.2">
      <c r="A260" s="196"/>
      <c r="B260" s="39"/>
      <c r="C260" s="32"/>
      <c r="D260" s="10" t="s">
        <v>183</v>
      </c>
      <c r="E260" s="11">
        <f>22.2*2</f>
        <v>44.4</v>
      </c>
      <c r="F260" s="9"/>
      <c r="G260" s="206"/>
      <c r="H260" s="209"/>
      <c r="I260" s="212"/>
      <c r="J260" s="225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spans="1:21" x14ac:dyDescent="0.2">
      <c r="A261" s="196"/>
      <c r="B261" s="39"/>
      <c r="C261" s="32"/>
      <c r="D261" s="10"/>
      <c r="E261" s="11"/>
      <c r="F261" s="9"/>
      <c r="G261" s="206"/>
      <c r="H261" s="209"/>
      <c r="I261" s="212"/>
      <c r="J261" s="225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spans="1:21" x14ac:dyDescent="0.2">
      <c r="A262" s="196">
        <v>50</v>
      </c>
      <c r="B262" s="39"/>
      <c r="C262" s="34" t="s">
        <v>255</v>
      </c>
      <c r="D262" s="227" t="s">
        <v>256</v>
      </c>
      <c r="E262" s="11"/>
      <c r="F262" s="9" t="s">
        <v>38</v>
      </c>
      <c r="G262" s="206">
        <f>E263</f>
        <v>3.84</v>
      </c>
      <c r="H262" s="209"/>
      <c r="I262" s="212">
        <f>G262*H262</f>
        <v>0</v>
      </c>
      <c r="J262" s="225" t="s">
        <v>354</v>
      </c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spans="1:21" x14ac:dyDescent="0.2">
      <c r="A263" s="196"/>
      <c r="B263" s="39"/>
      <c r="C263" s="32"/>
      <c r="D263" s="10" t="s">
        <v>472</v>
      </c>
      <c r="E263" s="11">
        <f>1.2*1.6*2</f>
        <v>3.84</v>
      </c>
      <c r="F263" s="9"/>
      <c r="G263" s="206"/>
      <c r="H263" s="209"/>
      <c r="I263" s="212"/>
      <c r="J263" s="225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spans="1:21" x14ac:dyDescent="0.2">
      <c r="A264" s="196"/>
      <c r="B264" s="39"/>
      <c r="C264" s="32"/>
      <c r="D264" s="6"/>
      <c r="E264" s="11"/>
      <c r="F264" s="9"/>
      <c r="G264" s="206"/>
      <c r="H264" s="209"/>
      <c r="I264" s="212"/>
      <c r="J264" s="225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spans="1:21" x14ac:dyDescent="0.2">
      <c r="A265" s="196">
        <v>51</v>
      </c>
      <c r="B265" s="39"/>
      <c r="C265" s="34" t="s">
        <v>465</v>
      </c>
      <c r="D265" s="227" t="s">
        <v>256</v>
      </c>
      <c r="E265" s="11"/>
      <c r="F265" s="9" t="s">
        <v>30</v>
      </c>
      <c r="G265" s="206">
        <f>E266</f>
        <v>1350</v>
      </c>
      <c r="H265" s="209"/>
      <c r="I265" s="212">
        <f>G265*H265</f>
        <v>0</v>
      </c>
      <c r="J265" s="225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spans="1:21" ht="25.5" x14ac:dyDescent="0.2">
      <c r="A266" s="196"/>
      <c r="B266" s="39"/>
      <c r="C266" s="32"/>
      <c r="D266" s="339" t="s">
        <v>466</v>
      </c>
      <c r="E266" s="11">
        <f>7.5*30*6</f>
        <v>1350</v>
      </c>
      <c r="F266" s="9"/>
      <c r="G266" s="206"/>
      <c r="H266" s="209"/>
      <c r="I266" s="212"/>
      <c r="J266" s="225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spans="1:21" ht="25.5" x14ac:dyDescent="0.2">
      <c r="A267" s="196"/>
      <c r="B267" s="39"/>
      <c r="C267" s="32"/>
      <c r="D267" s="339" t="s">
        <v>467</v>
      </c>
      <c r="E267" s="11"/>
      <c r="F267" s="9"/>
      <c r="G267" s="206"/>
      <c r="H267" s="209"/>
      <c r="I267" s="212"/>
      <c r="J267" s="225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spans="1:21" x14ac:dyDescent="0.2">
      <c r="A268" s="196"/>
      <c r="B268" s="39"/>
      <c r="C268" s="32"/>
      <c r="D268" s="340"/>
      <c r="E268" s="11"/>
      <c r="F268" s="9"/>
      <c r="G268" s="206"/>
      <c r="H268" s="209"/>
      <c r="I268" s="212"/>
      <c r="J268" s="225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spans="1:21" x14ac:dyDescent="0.2">
      <c r="A269" s="196">
        <v>52</v>
      </c>
      <c r="B269" s="39" t="s">
        <v>90</v>
      </c>
      <c r="C269" s="32" t="s">
        <v>184</v>
      </c>
      <c r="D269" s="340" t="s">
        <v>185</v>
      </c>
      <c r="E269" s="11"/>
      <c r="F269" s="9" t="s">
        <v>72</v>
      </c>
      <c r="G269" s="206">
        <f>E272</f>
        <v>112</v>
      </c>
      <c r="H269" s="209"/>
      <c r="I269" s="212">
        <f>G269*H269</f>
        <v>0</v>
      </c>
      <c r="J269" s="225" t="s">
        <v>354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spans="1:21" x14ac:dyDescent="0.2">
      <c r="A270" s="196"/>
      <c r="B270" s="39"/>
      <c r="C270" s="32"/>
      <c r="D270" s="339" t="s">
        <v>446</v>
      </c>
      <c r="E270" s="11">
        <v>110</v>
      </c>
      <c r="F270" s="9"/>
      <c r="G270" s="206"/>
      <c r="H270" s="209"/>
      <c r="I270" s="212"/>
      <c r="J270" s="225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spans="1:21" x14ac:dyDescent="0.2">
      <c r="A271" s="196"/>
      <c r="B271" s="39"/>
      <c r="C271" s="32"/>
      <c r="D271" s="339" t="s">
        <v>257</v>
      </c>
      <c r="E271" s="41">
        <v>2</v>
      </c>
      <c r="F271" s="9"/>
      <c r="G271" s="206"/>
      <c r="H271" s="209"/>
      <c r="I271" s="212"/>
      <c r="J271" s="225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spans="1:21" x14ac:dyDescent="0.2">
      <c r="A272" s="196"/>
      <c r="B272" s="39"/>
      <c r="C272" s="32"/>
      <c r="D272" s="339"/>
      <c r="E272" s="11">
        <f>SUM(E270:E271)</f>
        <v>112</v>
      </c>
      <c r="F272" s="9"/>
      <c r="G272" s="206"/>
      <c r="H272" s="209"/>
      <c r="I272" s="212"/>
      <c r="J272" s="225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spans="1:1024" x14ac:dyDescent="0.2">
      <c r="A273" s="196"/>
      <c r="B273" s="39"/>
      <c r="C273" s="32"/>
      <c r="D273" s="339"/>
      <c r="E273" s="11"/>
      <c r="F273" s="9"/>
      <c r="G273" s="206"/>
      <c r="H273" s="209"/>
      <c r="I273" s="212"/>
      <c r="J273" s="225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spans="1:1024" x14ac:dyDescent="0.2">
      <c r="A274" s="196">
        <v>53</v>
      </c>
      <c r="B274" s="39"/>
      <c r="C274" s="337" t="s">
        <v>468</v>
      </c>
      <c r="D274" s="341" t="s">
        <v>469</v>
      </c>
      <c r="E274" s="11"/>
      <c r="F274" s="9" t="s">
        <v>38</v>
      </c>
      <c r="G274" s="206">
        <f>E277</f>
        <v>114.58333333333333</v>
      </c>
      <c r="H274" s="209"/>
      <c r="I274" s="212">
        <f>G274*H274</f>
        <v>0</v>
      </c>
      <c r="J274" s="225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spans="1:1024" x14ac:dyDescent="0.2">
      <c r="A275" s="196"/>
      <c r="B275" s="39"/>
      <c r="C275" s="32"/>
      <c r="D275" s="339" t="s">
        <v>470</v>
      </c>
      <c r="E275" s="11">
        <f>125*2*0.25</f>
        <v>62.5</v>
      </c>
      <c r="F275" s="9"/>
      <c r="G275" s="206"/>
      <c r="H275" s="209"/>
      <c r="I275" s="212"/>
      <c r="J275" s="225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spans="1:1024" x14ac:dyDescent="0.2">
      <c r="A276" s="196"/>
      <c r="B276" s="39"/>
      <c r="C276" s="32"/>
      <c r="D276" s="339" t="s">
        <v>471</v>
      </c>
      <c r="E276" s="12">
        <f>125*2*0.125+125*2*0.125*2/3</f>
        <v>52.083333333333329</v>
      </c>
      <c r="F276" s="9"/>
      <c r="G276" s="206"/>
      <c r="H276" s="209"/>
      <c r="I276" s="212"/>
      <c r="J276" s="225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spans="1:1024" x14ac:dyDescent="0.2">
      <c r="A277" s="196"/>
      <c r="B277" s="39"/>
      <c r="C277" s="32"/>
      <c r="D277" s="339"/>
      <c r="E277" s="11">
        <f>SUM(E275:E276)</f>
        <v>114.58333333333333</v>
      </c>
      <c r="F277" s="9"/>
      <c r="G277" s="206"/>
      <c r="H277" s="209"/>
      <c r="I277" s="212"/>
      <c r="J277" s="225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spans="1:1024" x14ac:dyDescent="0.2">
      <c r="A278" s="196"/>
      <c r="B278" s="39"/>
      <c r="C278" s="32"/>
      <c r="D278" s="10"/>
      <c r="E278" s="11"/>
      <c r="F278" s="9"/>
      <c r="G278" s="206"/>
      <c r="H278" s="209"/>
      <c r="I278" s="212"/>
      <c r="J278" s="225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spans="1:1024" x14ac:dyDescent="0.2">
      <c r="A279" s="196"/>
      <c r="B279" s="39"/>
      <c r="C279" s="32"/>
      <c r="D279" s="6"/>
      <c r="E279" s="11"/>
      <c r="F279" s="9"/>
      <c r="G279" s="206"/>
      <c r="H279" s="209"/>
      <c r="I279" s="212"/>
      <c r="J279" s="225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spans="1:1024" x14ac:dyDescent="0.2">
      <c r="A280" s="196">
        <v>54</v>
      </c>
      <c r="B280" s="39" t="s">
        <v>186</v>
      </c>
      <c r="C280" s="32" t="s">
        <v>187</v>
      </c>
      <c r="D280" s="6" t="s">
        <v>188</v>
      </c>
      <c r="E280" s="11"/>
      <c r="F280" s="9" t="s">
        <v>38</v>
      </c>
      <c r="G280" s="206">
        <f>E284</f>
        <v>261.64999999999998</v>
      </c>
      <c r="H280" s="209"/>
      <c r="I280" s="212">
        <f>G280*H280</f>
        <v>0</v>
      </c>
      <c r="J280" s="225" t="s">
        <v>354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spans="1:1024" x14ac:dyDescent="0.2">
      <c r="A281" s="196"/>
      <c r="B281" s="39"/>
      <c r="C281" s="32"/>
      <c r="D281" s="10" t="s">
        <v>189</v>
      </c>
      <c r="E281" s="17">
        <f>(19.5+3.1+3.1)*2.5*2</f>
        <v>128.5</v>
      </c>
      <c r="F281" s="9"/>
      <c r="G281" s="206"/>
      <c r="H281" s="209"/>
      <c r="I281" s="212"/>
      <c r="J281" s="225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spans="1:1024" ht="15" x14ac:dyDescent="0.25">
      <c r="A282" s="229"/>
      <c r="B282" s="230"/>
      <c r="C282" s="231"/>
      <c r="D282" s="10" t="s">
        <v>190</v>
      </c>
      <c r="E282" s="11">
        <f>17*(2.8+0.3)*2+19.5*0.35*2</f>
        <v>119.04999999999998</v>
      </c>
      <c r="F282" s="204"/>
      <c r="G282" s="204"/>
      <c r="H282" s="210"/>
      <c r="I282" s="213"/>
      <c r="J282" s="23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/>
      <c r="RC282"/>
      <c r="RD282"/>
      <c r="RE282"/>
      <c r="RF282"/>
      <c r="RG282"/>
      <c r="RH282"/>
      <c r="RI282"/>
      <c r="RJ282"/>
      <c r="RK282"/>
      <c r="RL282"/>
      <c r="RM282"/>
      <c r="RN282"/>
      <c r="RO282"/>
      <c r="RP282"/>
      <c r="RQ282"/>
      <c r="RR282"/>
      <c r="RS282"/>
      <c r="RT282"/>
      <c r="RU282"/>
      <c r="RV282"/>
      <c r="RW282"/>
      <c r="RX282"/>
      <c r="RY282"/>
      <c r="RZ282"/>
      <c r="SA282"/>
      <c r="SB282"/>
      <c r="SC282"/>
      <c r="SD282"/>
      <c r="SE282"/>
      <c r="SF282"/>
      <c r="SG282"/>
      <c r="SH282"/>
      <c r="SI282"/>
      <c r="SJ282"/>
      <c r="SK282"/>
      <c r="SL282"/>
      <c r="SM282"/>
      <c r="SN282"/>
      <c r="SO282"/>
      <c r="SP282"/>
      <c r="SQ282"/>
      <c r="SR282"/>
      <c r="SS282"/>
      <c r="ST282"/>
      <c r="SU282"/>
      <c r="SV282"/>
      <c r="SW282"/>
      <c r="SX282"/>
      <c r="SY282"/>
      <c r="SZ282"/>
      <c r="TA282"/>
      <c r="TB282"/>
      <c r="TC282"/>
      <c r="TD282"/>
      <c r="TE282"/>
      <c r="TF282"/>
      <c r="TG282"/>
      <c r="TH282"/>
      <c r="TI282"/>
      <c r="TJ282"/>
      <c r="TK282"/>
      <c r="TL282"/>
      <c r="TM282"/>
      <c r="TN282"/>
      <c r="TO282"/>
      <c r="TP282"/>
      <c r="TQ282"/>
      <c r="TR282"/>
      <c r="TS282"/>
      <c r="TT282"/>
      <c r="TU282"/>
      <c r="TV282"/>
      <c r="TW282"/>
      <c r="TX282"/>
      <c r="TY282"/>
      <c r="TZ282"/>
      <c r="UA282"/>
      <c r="UB282"/>
      <c r="UC282"/>
      <c r="UD282"/>
      <c r="UE282"/>
      <c r="UF282"/>
      <c r="UG282"/>
      <c r="UH282"/>
      <c r="UI282"/>
      <c r="UJ282"/>
      <c r="UK282"/>
      <c r="UL282"/>
      <c r="UM282"/>
      <c r="UN282"/>
      <c r="UO282"/>
      <c r="UP282"/>
      <c r="UQ282"/>
      <c r="UR282"/>
      <c r="US282"/>
      <c r="UT282"/>
      <c r="UU282"/>
      <c r="UV282"/>
      <c r="UW282"/>
      <c r="UX282"/>
      <c r="UY282"/>
      <c r="UZ282"/>
      <c r="VA282"/>
      <c r="VB282"/>
      <c r="VC282"/>
      <c r="VD282"/>
      <c r="VE282"/>
      <c r="VF282"/>
      <c r="VG282"/>
      <c r="VH282"/>
      <c r="VI282"/>
      <c r="VJ282"/>
      <c r="VK282"/>
      <c r="VL282"/>
      <c r="VM282"/>
      <c r="VN282"/>
      <c r="VO282"/>
      <c r="VP282"/>
      <c r="VQ282"/>
      <c r="VR282"/>
      <c r="VS282"/>
      <c r="VT282"/>
      <c r="VU282"/>
      <c r="VV282"/>
      <c r="VW282"/>
      <c r="VX282"/>
      <c r="VY282"/>
      <c r="VZ282"/>
      <c r="WA282"/>
      <c r="WB282"/>
      <c r="WC282"/>
      <c r="WD282"/>
      <c r="WE282"/>
      <c r="WF282"/>
      <c r="WG282"/>
      <c r="WH282"/>
      <c r="WI282"/>
      <c r="WJ282"/>
      <c r="WK282"/>
      <c r="WL282"/>
      <c r="WM282"/>
      <c r="WN282"/>
      <c r="WO282"/>
      <c r="WP282"/>
      <c r="WQ282"/>
      <c r="WR282"/>
      <c r="WS282"/>
      <c r="WT282"/>
      <c r="WU282"/>
      <c r="WV282"/>
      <c r="WW282"/>
      <c r="WX282"/>
      <c r="WY282"/>
      <c r="WZ282"/>
      <c r="XA282"/>
      <c r="XB282"/>
      <c r="XC282"/>
      <c r="XD282"/>
      <c r="XE282"/>
      <c r="XF282"/>
      <c r="XG282"/>
      <c r="XH282"/>
      <c r="XI282"/>
      <c r="XJ282"/>
      <c r="XK282"/>
      <c r="XL282"/>
      <c r="XM282"/>
      <c r="XN282"/>
      <c r="XO282"/>
      <c r="XP282"/>
      <c r="XQ282"/>
      <c r="XR282"/>
      <c r="XS282"/>
      <c r="XT282"/>
      <c r="XU282"/>
      <c r="XV282"/>
      <c r="XW282"/>
      <c r="XX282"/>
      <c r="XY282"/>
      <c r="XZ282"/>
      <c r="YA282"/>
      <c r="YB282"/>
      <c r="YC282"/>
      <c r="YD282"/>
      <c r="YE282"/>
      <c r="YF282"/>
      <c r="YG282"/>
      <c r="YH282"/>
      <c r="YI282"/>
      <c r="YJ282"/>
      <c r="YK282"/>
      <c r="YL282"/>
      <c r="YM282"/>
      <c r="YN282"/>
      <c r="YO282"/>
      <c r="YP282"/>
      <c r="YQ282"/>
      <c r="YR282"/>
      <c r="YS282"/>
      <c r="YT282"/>
      <c r="YU282"/>
      <c r="YV282"/>
      <c r="YW282"/>
      <c r="YX282"/>
      <c r="YY282"/>
      <c r="YZ282"/>
      <c r="ZA282"/>
      <c r="ZB282"/>
      <c r="ZC282"/>
      <c r="ZD282"/>
      <c r="ZE282"/>
      <c r="ZF282"/>
      <c r="ZG282"/>
      <c r="ZH282"/>
      <c r="ZI282"/>
      <c r="ZJ282"/>
      <c r="ZK282"/>
      <c r="ZL282"/>
      <c r="ZM282"/>
      <c r="ZN282"/>
      <c r="ZO282"/>
      <c r="ZP282"/>
      <c r="ZQ282"/>
      <c r="ZR282"/>
      <c r="ZS282"/>
      <c r="ZT282"/>
      <c r="ZU282"/>
      <c r="ZV282"/>
      <c r="ZW282"/>
      <c r="ZX282"/>
      <c r="ZY282"/>
      <c r="ZZ282"/>
      <c r="AAA282"/>
      <c r="AAB282"/>
      <c r="AAC282"/>
      <c r="AAD282"/>
      <c r="AAE282"/>
      <c r="AAF282"/>
      <c r="AAG282"/>
      <c r="AAH282"/>
      <c r="AAI282"/>
      <c r="AAJ282"/>
      <c r="AAK282"/>
      <c r="AAL282"/>
      <c r="AAM282"/>
      <c r="AAN282"/>
      <c r="AAO282"/>
      <c r="AAP282"/>
      <c r="AAQ282"/>
      <c r="AAR282"/>
      <c r="AAS282"/>
      <c r="AAT282"/>
      <c r="AAU282"/>
      <c r="AAV282"/>
      <c r="AAW282"/>
      <c r="AAX282"/>
      <c r="AAY282"/>
      <c r="AAZ282"/>
      <c r="ABA282"/>
      <c r="ABB282"/>
      <c r="ABC282"/>
      <c r="ABD282"/>
      <c r="ABE282"/>
      <c r="ABF282"/>
      <c r="ABG282"/>
      <c r="ABH282"/>
      <c r="ABI282"/>
      <c r="ABJ282"/>
      <c r="ABK282"/>
      <c r="ABL282"/>
      <c r="ABM282"/>
      <c r="ABN282"/>
      <c r="ABO282"/>
      <c r="ABP282"/>
      <c r="ABQ282"/>
      <c r="ABR282"/>
      <c r="ABS282"/>
      <c r="ABT282"/>
      <c r="ABU282"/>
      <c r="ABV282"/>
      <c r="ABW282"/>
      <c r="ABX282"/>
      <c r="ABY282"/>
      <c r="ABZ282"/>
      <c r="ACA282"/>
      <c r="ACB282"/>
      <c r="ACC282"/>
      <c r="ACD282"/>
      <c r="ACE282"/>
      <c r="ACF282"/>
      <c r="ACG282"/>
      <c r="ACH282"/>
      <c r="ACI282"/>
      <c r="ACJ282"/>
      <c r="ACK282"/>
      <c r="ACL282"/>
      <c r="ACM282"/>
      <c r="ACN282"/>
      <c r="ACO282"/>
      <c r="ACP282"/>
      <c r="ACQ282"/>
      <c r="ACR282"/>
      <c r="ACS282"/>
      <c r="ACT282"/>
      <c r="ACU282"/>
      <c r="ACV282"/>
      <c r="ACW282"/>
      <c r="ACX282"/>
      <c r="ACY282"/>
      <c r="ACZ282"/>
      <c r="ADA282"/>
      <c r="ADB282"/>
      <c r="ADC282"/>
      <c r="ADD282"/>
      <c r="ADE282"/>
      <c r="ADF282"/>
      <c r="ADG282"/>
      <c r="ADH282"/>
      <c r="ADI282"/>
      <c r="ADJ282"/>
      <c r="ADK282"/>
      <c r="ADL282"/>
      <c r="ADM282"/>
      <c r="ADN282"/>
      <c r="ADO282"/>
      <c r="ADP282"/>
      <c r="ADQ282"/>
      <c r="ADR282"/>
      <c r="ADS282"/>
      <c r="ADT282"/>
      <c r="ADU282"/>
      <c r="ADV282"/>
      <c r="ADW282"/>
      <c r="ADX282"/>
      <c r="ADY282"/>
      <c r="ADZ282"/>
      <c r="AEA282"/>
      <c r="AEB282"/>
      <c r="AEC282"/>
      <c r="AED282"/>
      <c r="AEE282"/>
      <c r="AEF282"/>
      <c r="AEG282"/>
      <c r="AEH282"/>
      <c r="AEI282"/>
      <c r="AEJ282"/>
      <c r="AEK282"/>
      <c r="AEL282"/>
      <c r="AEM282"/>
      <c r="AEN282"/>
      <c r="AEO282"/>
      <c r="AEP282"/>
      <c r="AEQ282"/>
      <c r="AER282"/>
      <c r="AES282"/>
      <c r="AET282"/>
      <c r="AEU282"/>
      <c r="AEV282"/>
      <c r="AEW282"/>
      <c r="AEX282"/>
      <c r="AEY282"/>
      <c r="AEZ282"/>
      <c r="AFA282"/>
      <c r="AFB282"/>
      <c r="AFC282"/>
      <c r="AFD282"/>
      <c r="AFE282"/>
      <c r="AFF282"/>
      <c r="AFG282"/>
      <c r="AFH282"/>
      <c r="AFI282"/>
      <c r="AFJ282"/>
      <c r="AFK282"/>
      <c r="AFL282"/>
      <c r="AFM282"/>
      <c r="AFN282"/>
      <c r="AFO282"/>
      <c r="AFP282"/>
      <c r="AFQ282"/>
      <c r="AFR282"/>
      <c r="AFS282"/>
      <c r="AFT282"/>
      <c r="AFU282"/>
      <c r="AFV282"/>
      <c r="AFW282"/>
      <c r="AFX282"/>
      <c r="AFY282"/>
      <c r="AFZ282"/>
      <c r="AGA282"/>
      <c r="AGB282"/>
      <c r="AGC282"/>
      <c r="AGD282"/>
      <c r="AGE282"/>
      <c r="AGF282"/>
      <c r="AGG282"/>
      <c r="AGH282"/>
      <c r="AGI282"/>
      <c r="AGJ282"/>
      <c r="AGK282"/>
      <c r="AGL282"/>
      <c r="AGM282"/>
      <c r="AGN282"/>
      <c r="AGO282"/>
      <c r="AGP282"/>
      <c r="AGQ282"/>
      <c r="AGR282"/>
      <c r="AGS282"/>
      <c r="AGT282"/>
      <c r="AGU282"/>
      <c r="AGV282"/>
      <c r="AGW282"/>
      <c r="AGX282"/>
      <c r="AGY282"/>
      <c r="AGZ282"/>
      <c r="AHA282"/>
      <c r="AHB282"/>
      <c r="AHC282"/>
      <c r="AHD282"/>
      <c r="AHE282"/>
      <c r="AHF282"/>
      <c r="AHG282"/>
      <c r="AHH282"/>
      <c r="AHI282"/>
      <c r="AHJ282"/>
      <c r="AHK282"/>
      <c r="AHL282"/>
      <c r="AHM282"/>
      <c r="AHN282"/>
      <c r="AHO282"/>
      <c r="AHP282"/>
      <c r="AHQ282"/>
      <c r="AHR282"/>
      <c r="AHS282"/>
      <c r="AHT282"/>
      <c r="AHU282"/>
      <c r="AHV282"/>
      <c r="AHW282"/>
      <c r="AHX282"/>
      <c r="AHY282"/>
      <c r="AHZ282"/>
      <c r="AIA282"/>
      <c r="AIB282"/>
      <c r="AIC282"/>
      <c r="AID282"/>
      <c r="AIE282"/>
      <c r="AIF282"/>
      <c r="AIG282"/>
      <c r="AIH282"/>
      <c r="AII282"/>
      <c r="AIJ282"/>
      <c r="AIK282"/>
      <c r="AIL282"/>
      <c r="AIM282"/>
      <c r="AIN282"/>
      <c r="AIO282"/>
      <c r="AIP282"/>
      <c r="AIQ282"/>
      <c r="AIR282"/>
      <c r="AIS282"/>
      <c r="AIT282"/>
      <c r="AIU282"/>
      <c r="AIV282"/>
      <c r="AIW282"/>
      <c r="AIX282"/>
      <c r="AIY282"/>
      <c r="AIZ282"/>
      <c r="AJA282"/>
      <c r="AJB282"/>
      <c r="AJC282"/>
      <c r="AJD282"/>
      <c r="AJE282"/>
      <c r="AJF282"/>
      <c r="AJG282"/>
      <c r="AJH282"/>
      <c r="AJI282"/>
      <c r="AJJ282"/>
      <c r="AJK282"/>
      <c r="AJL282"/>
      <c r="AJM282"/>
      <c r="AJN282"/>
      <c r="AJO282"/>
      <c r="AJP282"/>
      <c r="AJQ282"/>
      <c r="AJR282"/>
      <c r="AJS282"/>
      <c r="AJT282"/>
      <c r="AJU282"/>
      <c r="AJV282"/>
      <c r="AJW282"/>
      <c r="AJX282"/>
      <c r="AJY282"/>
      <c r="AJZ282"/>
      <c r="AKA282"/>
      <c r="AKB282"/>
      <c r="AKC282"/>
      <c r="AKD282"/>
      <c r="AKE282"/>
      <c r="AKF282"/>
      <c r="AKG282"/>
      <c r="AKH282"/>
      <c r="AKI282"/>
      <c r="AKJ282"/>
      <c r="AKK282"/>
      <c r="AKL282"/>
      <c r="AKM282"/>
      <c r="AKN282"/>
      <c r="AKO282"/>
      <c r="AKP282"/>
      <c r="AKQ282"/>
      <c r="AKR282"/>
      <c r="AKS282"/>
      <c r="AKT282"/>
      <c r="AKU282"/>
      <c r="AKV282"/>
      <c r="AKW282"/>
      <c r="AKX282"/>
      <c r="AKY282"/>
      <c r="AKZ282"/>
      <c r="ALA282"/>
      <c r="ALB282"/>
      <c r="ALC282"/>
      <c r="ALD282"/>
      <c r="ALE282"/>
      <c r="ALF282"/>
      <c r="ALG282"/>
      <c r="ALH282"/>
      <c r="ALI282"/>
      <c r="ALJ282"/>
      <c r="ALK282"/>
      <c r="ALL282"/>
      <c r="ALM282"/>
      <c r="ALN282"/>
      <c r="ALO282"/>
      <c r="ALP282"/>
      <c r="ALQ282"/>
      <c r="ALR282"/>
      <c r="ALS282"/>
      <c r="ALT282"/>
      <c r="ALU282"/>
      <c r="ALV282"/>
      <c r="ALW282"/>
      <c r="ALX282"/>
      <c r="ALY282"/>
      <c r="ALZ282"/>
      <c r="AMA282"/>
      <c r="AMB282"/>
      <c r="AMC282"/>
      <c r="AMD282"/>
      <c r="AME282"/>
      <c r="AMF282"/>
      <c r="AMG282"/>
      <c r="AMH282"/>
      <c r="AMI282"/>
      <c r="AMJ282"/>
    </row>
    <row r="283" spans="1:1024" x14ac:dyDescent="0.2">
      <c r="A283" s="196"/>
      <c r="B283" s="39"/>
      <c r="C283" s="32"/>
      <c r="D283" s="10" t="s">
        <v>191</v>
      </c>
      <c r="E283" s="18">
        <f>3.9*2/2+3*2/2+2.7*2/2+4.5*2/2</f>
        <v>14.100000000000001</v>
      </c>
      <c r="F283" s="9"/>
      <c r="G283" s="206"/>
      <c r="H283" s="209"/>
      <c r="I283" s="212"/>
      <c r="J283" s="225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spans="1:1024" s="22" customFormat="1" ht="12.75" x14ac:dyDescent="0.2">
      <c r="A284" s="197"/>
      <c r="B284" s="19"/>
      <c r="C284" s="36"/>
      <c r="D284" s="10"/>
      <c r="E284" s="17">
        <f>SUM(E281:E283)</f>
        <v>261.64999999999998</v>
      </c>
      <c r="F284" s="20"/>
      <c r="G284" s="207"/>
      <c r="H284" s="211"/>
      <c r="I284" s="214"/>
      <c r="J284" s="235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1:1024" s="22" customFormat="1" ht="12.75" x14ac:dyDescent="0.2">
      <c r="A285" s="197"/>
      <c r="B285" s="19"/>
      <c r="C285" s="36"/>
      <c r="D285" s="10"/>
      <c r="E285" s="17"/>
      <c r="F285" s="20"/>
      <c r="G285" s="207"/>
      <c r="H285" s="211"/>
      <c r="I285" s="214"/>
      <c r="J285" s="235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1:1024" s="22" customFormat="1" ht="12.75" x14ac:dyDescent="0.2">
      <c r="A286" s="197">
        <v>55</v>
      </c>
      <c r="B286" s="19"/>
      <c r="C286" s="35" t="s">
        <v>192</v>
      </c>
      <c r="D286" s="233" t="s">
        <v>193</v>
      </c>
      <c r="E286" s="17"/>
      <c r="F286" s="20" t="s">
        <v>38</v>
      </c>
      <c r="G286" s="207">
        <v>361</v>
      </c>
      <c r="H286" s="211"/>
      <c r="I286" s="212">
        <f>G286*H286</f>
        <v>0</v>
      </c>
      <c r="J286" s="225" t="s">
        <v>354</v>
      </c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1:1024" s="22" customFormat="1" ht="12.75" x14ac:dyDescent="0.2">
      <c r="A287" s="197"/>
      <c r="B287" s="19"/>
      <c r="C287" s="35"/>
      <c r="D287" s="236" t="s">
        <v>194</v>
      </c>
      <c r="E287" s="17">
        <f>18.57*19.44</f>
        <v>361.00080000000003</v>
      </c>
      <c r="F287" s="20"/>
      <c r="G287" s="207"/>
      <c r="H287" s="211"/>
      <c r="I287" s="214"/>
      <c r="J287" s="235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1:1024" x14ac:dyDescent="0.2">
      <c r="A288" s="196"/>
      <c r="B288" s="39"/>
      <c r="C288" s="32"/>
      <c r="D288" s="10"/>
      <c r="E288" s="11"/>
      <c r="F288" s="9"/>
      <c r="G288" s="206"/>
      <c r="H288" s="209"/>
      <c r="I288" s="212"/>
      <c r="J288" s="225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 spans="1:21" x14ac:dyDescent="0.2">
      <c r="A289" s="196">
        <v>56</v>
      </c>
      <c r="B289" s="39" t="s">
        <v>186</v>
      </c>
      <c r="C289" s="32" t="s">
        <v>195</v>
      </c>
      <c r="D289" s="6" t="s">
        <v>196</v>
      </c>
      <c r="E289" s="11"/>
      <c r="F289" s="9" t="s">
        <v>38</v>
      </c>
      <c r="G289" s="206">
        <f>E293</f>
        <v>459.52</v>
      </c>
      <c r="H289" s="209"/>
      <c r="I289" s="212">
        <f>G289*H289</f>
        <v>0</v>
      </c>
      <c r="J289" s="225" t="s">
        <v>354</v>
      </c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 spans="1:21" x14ac:dyDescent="0.2">
      <c r="A290" s="196"/>
      <c r="B290" s="39"/>
      <c r="C290" s="32"/>
      <c r="D290" s="10" t="s">
        <v>197</v>
      </c>
      <c r="E290" s="11">
        <v>361</v>
      </c>
      <c r="F290" s="9"/>
      <c r="G290" s="206"/>
      <c r="H290" s="209"/>
      <c r="I290" s="212"/>
      <c r="J290" s="225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 spans="1:21" x14ac:dyDescent="0.2">
      <c r="A291" s="196"/>
      <c r="B291" s="39"/>
      <c r="C291" s="32"/>
      <c r="D291" s="10" t="s">
        <v>198</v>
      </c>
      <c r="E291" s="11">
        <f>19.5*2</f>
        <v>39</v>
      </c>
      <c r="F291" s="9"/>
      <c r="G291" s="206"/>
      <c r="H291" s="209"/>
      <c r="I291" s="212"/>
      <c r="J291" s="225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 spans="1:21" ht="25.5" x14ac:dyDescent="0.2">
      <c r="A292" s="196"/>
      <c r="B292" s="39"/>
      <c r="C292" s="32"/>
      <c r="D292" s="339" t="s">
        <v>447</v>
      </c>
      <c r="E292" s="12">
        <f>18.6*(2.2+1)</f>
        <v>59.52000000000001</v>
      </c>
      <c r="F292" s="9"/>
      <c r="G292" s="206"/>
      <c r="H292" s="209"/>
      <c r="I292" s="212"/>
      <c r="J292" s="225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 spans="1:21" x14ac:dyDescent="0.2">
      <c r="A293" s="196"/>
      <c r="B293" s="39"/>
      <c r="C293" s="32"/>
      <c r="D293" s="339"/>
      <c r="E293" s="11">
        <f>SUM(E290:E292)</f>
        <v>459.52</v>
      </c>
      <c r="F293" s="9"/>
      <c r="G293" s="206"/>
      <c r="H293" s="209"/>
      <c r="I293" s="212"/>
      <c r="J293" s="225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spans="1:21" x14ac:dyDescent="0.2">
      <c r="A294" s="196"/>
      <c r="B294" s="39"/>
      <c r="C294" s="32"/>
      <c r="D294" s="6"/>
      <c r="E294" s="11"/>
      <c r="F294" s="9"/>
      <c r="G294" s="206"/>
      <c r="H294" s="209"/>
      <c r="I294" s="212"/>
      <c r="J294" s="225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 spans="1:21" ht="25.5" x14ac:dyDescent="0.2">
      <c r="A295" s="196">
        <v>57</v>
      </c>
      <c r="B295" s="39" t="s">
        <v>186</v>
      </c>
      <c r="C295" s="32" t="s">
        <v>199</v>
      </c>
      <c r="D295" s="6" t="s">
        <v>200</v>
      </c>
      <c r="E295" s="11"/>
      <c r="F295" s="9" t="s">
        <v>38</v>
      </c>
      <c r="G295" s="206">
        <v>58.5</v>
      </c>
      <c r="H295" s="209"/>
      <c r="I295" s="212">
        <f>G295*H295</f>
        <v>0</v>
      </c>
      <c r="J295" s="225" t="s">
        <v>354</v>
      </c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 spans="1:21" x14ac:dyDescent="0.2">
      <c r="A296" s="196"/>
      <c r="B296" s="39"/>
      <c r="C296" s="32"/>
      <c r="D296" s="10" t="s">
        <v>201</v>
      </c>
      <c r="E296" s="11">
        <f>1.5*19.5*2</f>
        <v>58.5</v>
      </c>
      <c r="F296" s="9"/>
      <c r="G296" s="206"/>
      <c r="H296" s="209"/>
      <c r="I296" s="212"/>
      <c r="J296" s="225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 spans="1:21" x14ac:dyDescent="0.2">
      <c r="A297" s="196"/>
      <c r="B297" s="39"/>
      <c r="C297" s="32"/>
      <c r="D297" s="6"/>
      <c r="E297" s="11"/>
      <c r="F297" s="9"/>
      <c r="G297" s="206"/>
      <c r="H297" s="209"/>
      <c r="I297" s="212"/>
      <c r="J297" s="225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 spans="1:21" x14ac:dyDescent="0.2">
      <c r="A298" s="196">
        <v>58</v>
      </c>
      <c r="B298" s="39" t="s">
        <v>202</v>
      </c>
      <c r="C298" s="32" t="s">
        <v>203</v>
      </c>
      <c r="D298" s="6" t="s">
        <v>204</v>
      </c>
      <c r="E298" s="11"/>
      <c r="F298" s="9" t="s">
        <v>30</v>
      </c>
      <c r="G298" s="206">
        <f>E299</f>
        <v>61.2</v>
      </c>
      <c r="H298" s="209"/>
      <c r="I298" s="212">
        <f>G298*H298</f>
        <v>0</v>
      </c>
      <c r="J298" s="225" t="s">
        <v>354</v>
      </c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 spans="1:21" x14ac:dyDescent="0.2">
      <c r="A299" s="196"/>
      <c r="B299" s="39"/>
      <c r="C299" s="32"/>
      <c r="D299" s="10" t="s">
        <v>254</v>
      </c>
      <c r="E299" s="11">
        <v>61.2</v>
      </c>
      <c r="F299" s="9"/>
      <c r="G299" s="206"/>
      <c r="H299" s="209"/>
      <c r="I299" s="212"/>
      <c r="J299" s="225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 spans="1:21" x14ac:dyDescent="0.2">
      <c r="A300" s="196"/>
      <c r="B300" s="39"/>
      <c r="C300" s="32"/>
      <c r="D300" s="6"/>
      <c r="E300" s="11"/>
      <c r="F300" s="9"/>
      <c r="G300" s="206"/>
      <c r="H300" s="209"/>
      <c r="I300" s="212"/>
      <c r="J300" s="225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 spans="1:21" ht="25.5" x14ac:dyDescent="0.2">
      <c r="A301" s="196">
        <v>59</v>
      </c>
      <c r="B301" s="39" t="s">
        <v>202</v>
      </c>
      <c r="C301" s="32" t="s">
        <v>205</v>
      </c>
      <c r="D301" s="6" t="s">
        <v>206</v>
      </c>
      <c r="E301" s="11"/>
      <c r="F301" s="9" t="s">
        <v>30</v>
      </c>
      <c r="G301" s="206">
        <v>61.2</v>
      </c>
      <c r="H301" s="209"/>
      <c r="I301" s="212">
        <f>G301*H301</f>
        <v>0</v>
      </c>
      <c r="J301" s="225" t="s">
        <v>354</v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 spans="1:21" x14ac:dyDescent="0.2">
      <c r="A302" s="196"/>
      <c r="B302" s="39"/>
      <c r="C302" s="32"/>
      <c r="D302" s="10" t="s">
        <v>259</v>
      </c>
      <c r="E302" s="11">
        <f>17*9*2*0.2</f>
        <v>61.2</v>
      </c>
      <c r="F302" s="9"/>
      <c r="G302" s="206"/>
      <c r="H302" s="209"/>
      <c r="I302" s="212"/>
      <c r="J302" s="225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 spans="1:21" x14ac:dyDescent="0.2">
      <c r="A303" s="196"/>
      <c r="B303" s="39"/>
      <c r="C303" s="32"/>
      <c r="D303" s="6"/>
      <c r="E303" s="11"/>
      <c r="F303" s="9"/>
      <c r="G303" s="206"/>
      <c r="H303" s="209"/>
      <c r="I303" s="212"/>
      <c r="J303" s="225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 spans="1:21" ht="25.5" x14ac:dyDescent="0.2">
      <c r="A304" s="196">
        <v>60</v>
      </c>
      <c r="B304" s="39" t="s">
        <v>207</v>
      </c>
      <c r="C304" s="32" t="s">
        <v>208</v>
      </c>
      <c r="D304" s="6" t="s">
        <v>209</v>
      </c>
      <c r="E304" s="11"/>
      <c r="F304" s="9" t="s">
        <v>38</v>
      </c>
      <c r="G304" s="206">
        <f>E305</f>
        <v>2692.8</v>
      </c>
      <c r="H304" s="209"/>
      <c r="I304" s="212">
        <f>G304*H304</f>
        <v>0</v>
      </c>
      <c r="J304" s="225" t="s">
        <v>354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 spans="1:21" x14ac:dyDescent="0.2">
      <c r="A305" s="196"/>
      <c r="B305" s="39"/>
      <c r="C305" s="32"/>
      <c r="D305" s="10" t="s">
        <v>253</v>
      </c>
      <c r="E305" s="11">
        <f>17*(25*2+20.2)*2+17*9*2</f>
        <v>2692.8</v>
      </c>
      <c r="F305" s="9"/>
      <c r="G305" s="206"/>
      <c r="H305" s="209"/>
      <c r="I305" s="212"/>
      <c r="J305" s="225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 spans="1:21" x14ac:dyDescent="0.2">
      <c r="A306" s="196"/>
      <c r="B306" s="39"/>
      <c r="C306" s="32"/>
      <c r="D306" s="6"/>
      <c r="E306" s="11"/>
      <c r="F306" s="9"/>
      <c r="G306" s="206"/>
      <c r="H306" s="209"/>
      <c r="I306" s="212"/>
      <c r="J306" s="225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 spans="1:21" ht="25.5" x14ac:dyDescent="0.2">
      <c r="A307" s="196">
        <v>61</v>
      </c>
      <c r="B307" s="39" t="s">
        <v>207</v>
      </c>
      <c r="C307" s="32" t="s">
        <v>210</v>
      </c>
      <c r="D307" s="6" t="s">
        <v>211</v>
      </c>
      <c r="E307" s="11"/>
      <c r="F307" s="9" t="s">
        <v>30</v>
      </c>
      <c r="G307" s="206">
        <f>E311</f>
        <v>79.033000000000001</v>
      </c>
      <c r="H307" s="209"/>
      <c r="I307" s="212">
        <f>G307*H307</f>
        <v>0</v>
      </c>
      <c r="J307" s="225" t="s">
        <v>354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 spans="1:21" x14ac:dyDescent="0.2">
      <c r="A308" s="196"/>
      <c r="B308" s="39"/>
      <c r="C308" s="32"/>
      <c r="D308" s="10" t="s">
        <v>249</v>
      </c>
      <c r="E308" s="11">
        <f>17*20.2*0.045</f>
        <v>15.452999999999998</v>
      </c>
      <c r="F308" s="9"/>
      <c r="G308" s="206"/>
      <c r="H308" s="209"/>
      <c r="I308" s="212"/>
      <c r="J308" s="225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 spans="1:21" x14ac:dyDescent="0.2">
      <c r="A309" s="196"/>
      <c r="B309" s="39"/>
      <c r="C309" s="32"/>
      <c r="D309" s="10" t="s">
        <v>251</v>
      </c>
      <c r="E309" s="11">
        <f>17*24.8*2*0.05</f>
        <v>42.160000000000004</v>
      </c>
      <c r="F309" s="9"/>
      <c r="G309" s="206"/>
      <c r="H309" s="209"/>
      <c r="I309" s="212"/>
      <c r="J309" s="225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 spans="1:21" x14ac:dyDescent="0.2">
      <c r="A310" s="196"/>
      <c r="B310" s="39"/>
      <c r="C310" s="32"/>
      <c r="D310" s="10" t="s">
        <v>252</v>
      </c>
      <c r="E310" s="41">
        <f>17*9*2*0.07</f>
        <v>21.42</v>
      </c>
      <c r="F310" s="9"/>
      <c r="G310" s="206"/>
      <c r="H310" s="209"/>
      <c r="I310" s="212"/>
      <c r="J310" s="225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 spans="1:21" x14ac:dyDescent="0.2">
      <c r="A311" s="196"/>
      <c r="B311" s="39"/>
      <c r="C311" s="32"/>
      <c r="D311" s="10"/>
      <c r="E311" s="11">
        <f>SUM(E308:E310)</f>
        <v>79.033000000000001</v>
      </c>
      <c r="F311" s="9"/>
      <c r="G311" s="206"/>
      <c r="H311" s="209"/>
      <c r="I311" s="212"/>
      <c r="J311" s="225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 spans="1:21" x14ac:dyDescent="0.2">
      <c r="A312" s="196"/>
      <c r="B312" s="39"/>
      <c r="C312" s="32"/>
      <c r="D312" s="10"/>
      <c r="E312" s="11"/>
      <c r="F312" s="9"/>
      <c r="G312" s="206"/>
      <c r="H312" s="209"/>
      <c r="I312" s="212"/>
      <c r="J312" s="225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 spans="1:21" ht="25.5" x14ac:dyDescent="0.2">
      <c r="A313" s="196">
        <v>62</v>
      </c>
      <c r="B313" s="39" t="s">
        <v>207</v>
      </c>
      <c r="C313" s="32" t="s">
        <v>212</v>
      </c>
      <c r="D313" s="6" t="s">
        <v>213</v>
      </c>
      <c r="E313" s="11"/>
      <c r="F313" s="9" t="s">
        <v>30</v>
      </c>
      <c r="G313" s="206">
        <f>E314</f>
        <v>47.736000000000004</v>
      </c>
      <c r="H313" s="209"/>
      <c r="I313" s="212">
        <f>G313*H313</f>
        <v>0</v>
      </c>
      <c r="J313" s="225" t="s">
        <v>354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 spans="1:21" x14ac:dyDescent="0.2">
      <c r="A314" s="196"/>
      <c r="B314" s="39"/>
      <c r="C314" s="32"/>
      <c r="D314" s="10" t="s">
        <v>250</v>
      </c>
      <c r="E314" s="11">
        <f>17*(25*2+20.2)*0.04</f>
        <v>47.736000000000004</v>
      </c>
      <c r="F314" s="9"/>
      <c r="G314" s="206"/>
      <c r="H314" s="209"/>
      <c r="I314" s="212"/>
      <c r="J314" s="225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 spans="1:21" x14ac:dyDescent="0.2">
      <c r="A315" s="196"/>
      <c r="B315" s="39"/>
      <c r="C315" s="32"/>
      <c r="D315" s="6"/>
      <c r="E315" s="11"/>
      <c r="F315" s="9"/>
      <c r="G315" s="206"/>
      <c r="H315" s="209"/>
      <c r="I315" s="212"/>
      <c r="J315" s="225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 spans="1:21" ht="25.5" x14ac:dyDescent="0.2">
      <c r="A316" s="196">
        <v>63</v>
      </c>
      <c r="B316" s="39" t="s">
        <v>207</v>
      </c>
      <c r="C316" s="32" t="s">
        <v>214</v>
      </c>
      <c r="D316" s="6" t="s">
        <v>215</v>
      </c>
      <c r="E316" s="11"/>
      <c r="F316" s="9" t="s">
        <v>38</v>
      </c>
      <c r="G316" s="206">
        <f>E321</f>
        <v>6.8800000000000008</v>
      </c>
      <c r="H316" s="209"/>
      <c r="I316" s="212">
        <f>G316*H316</f>
        <v>0</v>
      </c>
      <c r="J316" s="225" t="s">
        <v>354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 spans="1:21" x14ac:dyDescent="0.2">
      <c r="A317" s="196"/>
      <c r="B317" s="39"/>
      <c r="C317" s="32"/>
      <c r="D317" s="10" t="s">
        <v>216</v>
      </c>
      <c r="E317" s="11"/>
      <c r="F317" s="9"/>
      <c r="G317" s="206"/>
      <c r="H317" s="209"/>
      <c r="I317" s="212"/>
      <c r="J317" s="225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 spans="1:21" x14ac:dyDescent="0.2">
      <c r="A318" s="196"/>
      <c r="B318" s="39"/>
      <c r="C318" s="32"/>
      <c r="D318" s="10" t="s">
        <v>217</v>
      </c>
      <c r="E318" s="11">
        <f>19.55*2*0.1</f>
        <v>3.91</v>
      </c>
      <c r="F318" s="9"/>
      <c r="G318" s="206"/>
      <c r="H318" s="209"/>
      <c r="I318" s="212"/>
      <c r="J318" s="225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spans="1:21" x14ac:dyDescent="0.2">
      <c r="A319" s="196"/>
      <c r="B319" s="39"/>
      <c r="C319" s="32"/>
      <c r="D319" s="10" t="s">
        <v>218</v>
      </c>
      <c r="E319" s="11">
        <f>(18.6-2*0.25)*0.1</f>
        <v>1.8100000000000003</v>
      </c>
      <c r="F319" s="9"/>
      <c r="G319" s="206"/>
      <c r="H319" s="209"/>
      <c r="I319" s="212"/>
      <c r="J319" s="225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spans="1:21" x14ac:dyDescent="0.2">
      <c r="A320" s="196"/>
      <c r="B320" s="39"/>
      <c r="C320" s="32"/>
      <c r="D320" s="10" t="s">
        <v>219</v>
      </c>
      <c r="E320" s="12">
        <f>(0.4*2+0.6)*6*0.1+2*0.4*0.4</f>
        <v>1.1599999999999999</v>
      </c>
      <c r="F320" s="9"/>
      <c r="G320" s="206"/>
      <c r="H320" s="209"/>
      <c r="I320" s="212"/>
      <c r="J320" s="225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 spans="1:21" x14ac:dyDescent="0.2">
      <c r="A321" s="196"/>
      <c r="B321" s="39"/>
      <c r="C321" s="32"/>
      <c r="D321" s="10"/>
      <c r="E321" s="11">
        <f>SUM(E318:E320)</f>
        <v>6.8800000000000008</v>
      </c>
      <c r="F321" s="9"/>
      <c r="G321" s="206"/>
      <c r="H321" s="209"/>
      <c r="I321" s="212"/>
      <c r="J321" s="225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 spans="1:21" x14ac:dyDescent="0.2">
      <c r="A322" s="196"/>
      <c r="B322" s="39"/>
      <c r="C322" s="32"/>
      <c r="D322" s="6"/>
      <c r="E322" s="11"/>
      <c r="F322" s="9"/>
      <c r="G322" s="206"/>
      <c r="H322" s="209"/>
      <c r="I322" s="212"/>
      <c r="J322" s="225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 spans="1:21" ht="25.5" x14ac:dyDescent="0.2">
      <c r="A323" s="196">
        <v>64</v>
      </c>
      <c r="B323" s="39" t="s">
        <v>207</v>
      </c>
      <c r="C323" s="32" t="s">
        <v>220</v>
      </c>
      <c r="D323" s="6" t="s">
        <v>221</v>
      </c>
      <c r="E323" s="11"/>
      <c r="F323" s="9" t="s">
        <v>46</v>
      </c>
      <c r="G323" s="206">
        <f>E326</f>
        <v>229.6</v>
      </c>
      <c r="H323" s="209"/>
      <c r="I323" s="212">
        <f>G323*H323</f>
        <v>0</v>
      </c>
      <c r="J323" s="225" t="s">
        <v>354</v>
      </c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 spans="1:21" x14ac:dyDescent="0.2">
      <c r="A324" s="196"/>
      <c r="B324" s="39"/>
      <c r="C324" s="32"/>
      <c r="D324" s="23" t="s">
        <v>222</v>
      </c>
      <c r="E324" s="11">
        <v>52</v>
      </c>
      <c r="F324" s="9"/>
      <c r="G324" s="206"/>
      <c r="H324" s="209"/>
      <c r="I324" s="212"/>
      <c r="J324" s="225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 spans="1:21" x14ac:dyDescent="0.2">
      <c r="A325" s="196"/>
      <c r="B325" s="39"/>
      <c r="C325" s="32"/>
      <c r="D325" s="23" t="s">
        <v>223</v>
      </c>
      <c r="E325" s="12">
        <f>44.4*4</f>
        <v>177.6</v>
      </c>
      <c r="F325" s="9"/>
      <c r="G325" s="206"/>
      <c r="H325" s="209"/>
      <c r="I325" s="212"/>
      <c r="J325" s="225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 spans="1:21" x14ac:dyDescent="0.2">
      <c r="A326" s="196"/>
      <c r="B326" s="39"/>
      <c r="C326" s="32"/>
      <c r="D326" s="23"/>
      <c r="E326" s="11">
        <f>SUM(E324:E325)</f>
        <v>229.6</v>
      </c>
      <c r="F326" s="9"/>
      <c r="G326" s="206"/>
      <c r="H326" s="209"/>
      <c r="I326" s="212"/>
      <c r="J326" s="225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 spans="1:21" x14ac:dyDescent="0.2">
      <c r="A327" s="196"/>
      <c r="B327" s="39"/>
      <c r="C327" s="32"/>
      <c r="D327" s="6"/>
      <c r="E327" s="11"/>
      <c r="F327" s="9"/>
      <c r="G327" s="206"/>
      <c r="H327" s="209"/>
      <c r="I327" s="212"/>
      <c r="J327" s="225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 spans="1:21" x14ac:dyDescent="0.2">
      <c r="A328" s="196">
        <v>65</v>
      </c>
      <c r="B328" s="39" t="s">
        <v>180</v>
      </c>
      <c r="C328" s="35" t="s">
        <v>224</v>
      </c>
      <c r="D328" s="233" t="s">
        <v>225</v>
      </c>
      <c r="E328" s="11"/>
      <c r="F328" s="9" t="s">
        <v>46</v>
      </c>
      <c r="G328" s="206">
        <v>68</v>
      </c>
      <c r="H328" s="209"/>
      <c r="I328" s="212">
        <f>G328*H328</f>
        <v>0</v>
      </c>
      <c r="J328" s="225" t="s">
        <v>354</v>
      </c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 spans="1:21" ht="25.5" x14ac:dyDescent="0.2">
      <c r="A329" s="196"/>
      <c r="B329" s="39"/>
      <c r="C329" s="32"/>
      <c r="D329" s="10" t="s">
        <v>448</v>
      </c>
      <c r="E329" s="11">
        <v>68</v>
      </c>
      <c r="F329" s="9"/>
      <c r="G329" s="206"/>
      <c r="H329" s="209"/>
      <c r="I329" s="212"/>
      <c r="J329" s="225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 spans="1:21" x14ac:dyDescent="0.2">
      <c r="A330" s="196"/>
      <c r="B330" s="39"/>
      <c r="C330" s="32"/>
      <c r="D330" s="6"/>
      <c r="E330" s="11"/>
      <c r="F330" s="9"/>
      <c r="G330" s="206"/>
      <c r="H330" s="209"/>
      <c r="I330" s="212"/>
      <c r="J330" s="225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 spans="1:21" x14ac:dyDescent="0.2">
      <c r="A331" s="196">
        <v>66</v>
      </c>
      <c r="B331" s="39" t="s">
        <v>207</v>
      </c>
      <c r="C331" s="35" t="s">
        <v>226</v>
      </c>
      <c r="D331" s="233" t="s">
        <v>227</v>
      </c>
      <c r="E331" s="11"/>
      <c r="F331" s="9" t="s">
        <v>46</v>
      </c>
      <c r="G331" s="206">
        <v>56</v>
      </c>
      <c r="H331" s="209"/>
      <c r="I331" s="212">
        <f>G331*H331</f>
        <v>0</v>
      </c>
      <c r="J331" s="225" t="s">
        <v>354</v>
      </c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 spans="1:21" x14ac:dyDescent="0.2">
      <c r="A332" s="196"/>
      <c r="B332" s="39"/>
      <c r="C332" s="35"/>
      <c r="D332" s="236" t="s">
        <v>260</v>
      </c>
      <c r="E332" s="11">
        <v>40</v>
      </c>
      <c r="F332" s="9"/>
      <c r="G332" s="206"/>
      <c r="H332" s="209"/>
      <c r="I332" s="212"/>
      <c r="J332" s="225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 spans="1:21" x14ac:dyDescent="0.2">
      <c r="A333" s="196"/>
      <c r="B333" s="39"/>
      <c r="C333" s="35"/>
      <c r="D333" s="236" t="s">
        <v>228</v>
      </c>
      <c r="E333" s="12">
        <f>4*4</f>
        <v>16</v>
      </c>
      <c r="F333" s="9"/>
      <c r="G333" s="206"/>
      <c r="H333" s="209"/>
      <c r="I333" s="212"/>
      <c r="J333" s="225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 spans="1:21" x14ac:dyDescent="0.2">
      <c r="A334" s="196"/>
      <c r="B334" s="39"/>
      <c r="C334" s="35"/>
      <c r="D334" s="233"/>
      <c r="E334" s="11">
        <f>SUM(E332:E333)</f>
        <v>56</v>
      </c>
      <c r="F334" s="9"/>
      <c r="G334" s="206"/>
      <c r="H334" s="209"/>
      <c r="I334" s="212"/>
      <c r="J334" s="225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 spans="1:21" x14ac:dyDescent="0.2">
      <c r="A335" s="196"/>
      <c r="B335" s="39"/>
      <c r="C335" s="35"/>
      <c r="D335" s="233"/>
      <c r="E335" s="11"/>
      <c r="F335" s="9"/>
      <c r="G335" s="206"/>
      <c r="H335" s="209"/>
      <c r="I335" s="212"/>
      <c r="J335" s="225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 spans="1:21" x14ac:dyDescent="0.2">
      <c r="A336" s="196">
        <v>67</v>
      </c>
      <c r="B336" s="39"/>
      <c r="C336" s="35" t="s">
        <v>229</v>
      </c>
      <c r="D336" s="233" t="s">
        <v>230</v>
      </c>
      <c r="E336" s="11"/>
      <c r="F336" s="9" t="s">
        <v>46</v>
      </c>
      <c r="G336" s="206">
        <v>170</v>
      </c>
      <c r="H336" s="209"/>
      <c r="I336" s="212">
        <f>G336*H336</f>
        <v>0</v>
      </c>
      <c r="J336" s="225" t="s">
        <v>354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 spans="1:21" x14ac:dyDescent="0.2">
      <c r="A337" s="196"/>
      <c r="B337" s="39"/>
      <c r="C337" s="35"/>
      <c r="D337" s="236" t="s">
        <v>231</v>
      </c>
      <c r="E337" s="11">
        <f>5*(26+4*2)</f>
        <v>170</v>
      </c>
      <c r="F337" s="9"/>
      <c r="G337" s="206"/>
      <c r="H337" s="209"/>
      <c r="I337" s="212"/>
      <c r="J337" s="225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 spans="1:21" x14ac:dyDescent="0.2">
      <c r="A338" s="196"/>
      <c r="B338" s="39"/>
      <c r="C338" s="32"/>
      <c r="D338" s="6"/>
      <c r="E338" s="11"/>
      <c r="F338" s="9"/>
      <c r="G338" s="206"/>
      <c r="H338" s="209"/>
      <c r="I338" s="212"/>
      <c r="J338" s="225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 spans="1:21" x14ac:dyDescent="0.2">
      <c r="A339" s="196">
        <v>68</v>
      </c>
      <c r="B339" s="39" t="s">
        <v>232</v>
      </c>
      <c r="C339" s="32" t="s">
        <v>233</v>
      </c>
      <c r="D339" s="6" t="s">
        <v>234</v>
      </c>
      <c r="E339" s="11"/>
      <c r="F339" s="9" t="s">
        <v>30</v>
      </c>
      <c r="G339" s="206">
        <v>1</v>
      </c>
      <c r="H339" s="209"/>
      <c r="I339" s="212">
        <f>G339*H339</f>
        <v>0</v>
      </c>
      <c r="J339" s="225" t="s">
        <v>354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 spans="1:21" x14ac:dyDescent="0.2">
      <c r="A340" s="196"/>
      <c r="B340" s="39"/>
      <c r="C340" s="32"/>
      <c r="D340" s="10" t="s">
        <v>235</v>
      </c>
      <c r="E340" s="11">
        <f>(1.5*2.11+1.5*2.1)*0.1</f>
        <v>0.63150000000000006</v>
      </c>
      <c r="F340" s="9"/>
      <c r="G340" s="206"/>
      <c r="H340" s="209"/>
      <c r="I340" s="212"/>
      <c r="J340" s="225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 spans="1:21" x14ac:dyDescent="0.2">
      <c r="A341" s="196"/>
      <c r="B341" s="39"/>
      <c r="C341" s="32"/>
      <c r="D341" s="10" t="s">
        <v>236</v>
      </c>
      <c r="E341" s="12">
        <f>0.8*0.8*4*0.1</f>
        <v>0.25600000000000006</v>
      </c>
      <c r="F341" s="9"/>
      <c r="G341" s="206"/>
      <c r="H341" s="209"/>
      <c r="I341" s="212"/>
      <c r="J341" s="225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 spans="1:21" x14ac:dyDescent="0.2">
      <c r="A342" s="196"/>
      <c r="B342" s="39"/>
      <c r="C342" s="32"/>
      <c r="D342" s="10"/>
      <c r="E342" s="11">
        <f>SUM(E340:E341)</f>
        <v>0.88750000000000018</v>
      </c>
      <c r="F342" s="9"/>
      <c r="G342" s="206"/>
      <c r="H342" s="209"/>
      <c r="I342" s="212"/>
      <c r="J342" s="225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 spans="1:21" x14ac:dyDescent="0.2">
      <c r="A343" s="196"/>
      <c r="B343" s="39"/>
      <c r="C343" s="32"/>
      <c r="D343" s="6"/>
      <c r="E343" s="11"/>
      <c r="F343" s="9"/>
      <c r="G343" s="206"/>
      <c r="H343" s="209"/>
      <c r="I343" s="212"/>
      <c r="J343" s="225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 spans="1:21" x14ac:dyDescent="0.2">
      <c r="A344" s="196">
        <v>69</v>
      </c>
      <c r="B344" s="39" t="s">
        <v>232</v>
      </c>
      <c r="C344" s="32" t="s">
        <v>237</v>
      </c>
      <c r="D344" s="6" t="s">
        <v>238</v>
      </c>
      <c r="E344" s="11"/>
      <c r="F344" s="9" t="s">
        <v>38</v>
      </c>
      <c r="G344" s="206">
        <f>E348</f>
        <v>42.977400000000003</v>
      </c>
      <c r="H344" s="209"/>
      <c r="I344" s="212">
        <f>G344*H344</f>
        <v>0</v>
      </c>
      <c r="J344" s="225" t="s">
        <v>354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 spans="1:21" x14ac:dyDescent="0.2">
      <c r="A345" s="196"/>
      <c r="B345" s="39"/>
      <c r="C345" s="32"/>
      <c r="D345" s="10" t="s">
        <v>239</v>
      </c>
      <c r="E345" s="11">
        <f>1.5*2.11+1.5*2.1</f>
        <v>6.3150000000000004</v>
      </c>
      <c r="F345" s="9"/>
      <c r="G345" s="206"/>
      <c r="H345" s="209"/>
      <c r="I345" s="212"/>
      <c r="J345" s="225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spans="1:21" x14ac:dyDescent="0.2">
      <c r="A346" s="196"/>
      <c r="B346" s="39"/>
      <c r="C346" s="32"/>
      <c r="D346" s="10" t="s">
        <v>240</v>
      </c>
      <c r="E346" s="11">
        <f>0.8*0.8*4</f>
        <v>2.5600000000000005</v>
      </c>
      <c r="F346" s="9"/>
      <c r="G346" s="206"/>
      <c r="H346" s="209"/>
      <c r="I346" s="212"/>
      <c r="J346" s="225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 spans="1:21" x14ac:dyDescent="0.2">
      <c r="A347" s="196"/>
      <c r="B347" s="39"/>
      <c r="C347" s="32"/>
      <c r="D347" s="10" t="s">
        <v>261</v>
      </c>
      <c r="E347" s="12">
        <f>(1.488+3)/2*4.6+8*2.61/2+4.67*2/2+8.67*2/2</f>
        <v>34.102400000000003</v>
      </c>
      <c r="F347" s="9"/>
      <c r="G347" s="206"/>
      <c r="H347" s="209"/>
      <c r="I347" s="212"/>
      <c r="J347" s="225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 spans="1:21" x14ac:dyDescent="0.2">
      <c r="A348" s="196"/>
      <c r="B348" s="39"/>
      <c r="C348" s="32"/>
      <c r="D348" s="10"/>
      <c r="E348" s="11">
        <f>SUM(E345:E347)</f>
        <v>42.977400000000003</v>
      </c>
      <c r="F348" s="9"/>
      <c r="G348" s="206"/>
      <c r="H348" s="209"/>
      <c r="I348" s="212"/>
      <c r="J348" s="225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 spans="1:21" x14ac:dyDescent="0.2">
      <c r="A349" s="196"/>
      <c r="B349" s="39"/>
      <c r="C349" s="32"/>
      <c r="D349" s="6"/>
      <c r="E349" s="11"/>
      <c r="F349" s="9"/>
      <c r="G349" s="206"/>
      <c r="H349" s="209"/>
      <c r="I349" s="212"/>
      <c r="J349" s="225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 spans="1:21" x14ac:dyDescent="0.2">
      <c r="A350" s="196">
        <v>70</v>
      </c>
      <c r="B350" s="39" t="s">
        <v>241</v>
      </c>
      <c r="C350" s="32" t="s">
        <v>242</v>
      </c>
      <c r="D350" s="6" t="s">
        <v>243</v>
      </c>
      <c r="E350" s="11"/>
      <c r="F350" s="9" t="s">
        <v>46</v>
      </c>
      <c r="G350" s="206">
        <v>60</v>
      </c>
      <c r="H350" s="209"/>
      <c r="I350" s="212">
        <f>G350*H350</f>
        <v>0</v>
      </c>
      <c r="J350" s="225" t="s">
        <v>354</v>
      </c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 spans="1:21" x14ac:dyDescent="0.2">
      <c r="A351" s="196"/>
      <c r="B351" s="39"/>
      <c r="C351" s="32"/>
      <c r="D351" s="10" t="s">
        <v>244</v>
      </c>
      <c r="E351" s="11">
        <v>60</v>
      </c>
      <c r="F351" s="9"/>
      <c r="G351" s="206"/>
      <c r="H351" s="209"/>
      <c r="I351" s="212"/>
      <c r="J351" s="225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 spans="1:21" x14ac:dyDescent="0.2">
      <c r="A352" s="196"/>
      <c r="B352" s="39"/>
      <c r="C352" s="32"/>
      <c r="D352" s="10"/>
      <c r="E352" s="11"/>
      <c r="F352" s="9"/>
      <c r="G352" s="206"/>
      <c r="H352" s="209"/>
      <c r="I352" s="212"/>
      <c r="J352" s="225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 spans="1:21" x14ac:dyDescent="0.2">
      <c r="A353" s="196">
        <v>71</v>
      </c>
      <c r="B353" s="39" t="s">
        <v>245</v>
      </c>
      <c r="C353" s="32" t="s">
        <v>246</v>
      </c>
      <c r="D353" s="6" t="s">
        <v>247</v>
      </c>
      <c r="E353" s="11"/>
      <c r="F353" s="9" t="s">
        <v>38</v>
      </c>
      <c r="G353" s="206">
        <v>490</v>
      </c>
      <c r="H353" s="209"/>
      <c r="I353" s="212">
        <f>G353*H353</f>
        <v>0</v>
      </c>
      <c r="J353" s="225" t="s">
        <v>354</v>
      </c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 spans="1:21" ht="25.5" x14ac:dyDescent="0.2">
      <c r="A354" s="196"/>
      <c r="B354" s="39"/>
      <c r="C354" s="32"/>
      <c r="D354" s="10" t="s">
        <v>455</v>
      </c>
      <c r="E354" s="11">
        <f>22*6.6*2+8.2*6.1-4*6/2+6.5*8.5-5*2.5/2+7*9-2.5*4/2+6*7.5-6*4.5/2</f>
        <v>466.91999999999996</v>
      </c>
      <c r="F354" s="9"/>
      <c r="G354" s="206"/>
      <c r="H354" s="209"/>
      <c r="I354" s="212"/>
      <c r="J354" s="225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spans="1:21" x14ac:dyDescent="0.2">
      <c r="A355" s="196"/>
      <c r="B355" s="39"/>
      <c r="C355" s="32"/>
      <c r="D355" s="10" t="s">
        <v>266</v>
      </c>
      <c r="E355" s="41">
        <f>22*0.5*2</f>
        <v>22</v>
      </c>
      <c r="F355" s="9"/>
      <c r="G355" s="206"/>
      <c r="H355" s="209"/>
      <c r="I355" s="212"/>
      <c r="J355" s="225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spans="1:21" x14ac:dyDescent="0.2">
      <c r="A356" s="196"/>
      <c r="B356" s="39"/>
      <c r="C356" s="32"/>
      <c r="D356" s="10"/>
      <c r="E356" s="11">
        <f>SUM(E354:E355)</f>
        <v>488.91999999999996</v>
      </c>
      <c r="F356" s="9"/>
      <c r="G356" s="206"/>
      <c r="H356" s="209"/>
      <c r="I356" s="212"/>
      <c r="J356" s="225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spans="1:21" x14ac:dyDescent="0.2">
      <c r="A357" s="196"/>
      <c r="B357" s="39"/>
      <c r="C357" s="32"/>
      <c r="D357" s="10"/>
      <c r="E357" s="11"/>
      <c r="F357" s="9"/>
      <c r="G357" s="206"/>
      <c r="H357" s="209"/>
      <c r="I357" s="212"/>
      <c r="J357" s="225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spans="1:21" x14ac:dyDescent="0.2">
      <c r="A358" s="196">
        <v>72</v>
      </c>
      <c r="B358" s="39"/>
      <c r="C358" s="32" t="s">
        <v>453</v>
      </c>
      <c r="D358" s="6" t="s">
        <v>454</v>
      </c>
      <c r="E358" s="11"/>
      <c r="F358" s="9"/>
      <c r="G358" s="206"/>
      <c r="H358" s="209"/>
      <c r="I358" s="212"/>
      <c r="J358" s="225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spans="1:21" x14ac:dyDescent="0.2">
      <c r="A359" s="196"/>
      <c r="B359" s="39"/>
      <c r="C359" s="32"/>
      <c r="D359" s="10" t="s">
        <v>456</v>
      </c>
      <c r="E359" s="11"/>
      <c r="F359" s="9" t="s">
        <v>38</v>
      </c>
      <c r="G359" s="206">
        <v>470</v>
      </c>
      <c r="H359" s="209"/>
      <c r="I359" s="212">
        <f>G359*H359</f>
        <v>0</v>
      </c>
      <c r="J359" s="225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spans="1:21" x14ac:dyDescent="0.2">
      <c r="A360" s="196"/>
      <c r="B360" s="39"/>
      <c r="C360" s="32"/>
      <c r="D360" s="10"/>
      <c r="E360" s="11"/>
      <c r="F360" s="9"/>
      <c r="G360" s="206"/>
      <c r="H360" s="209"/>
      <c r="I360" s="212"/>
      <c r="J360" s="225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spans="1:21" ht="25.5" x14ac:dyDescent="0.2">
      <c r="A361" s="196">
        <v>73</v>
      </c>
      <c r="B361" s="39"/>
      <c r="C361" s="32" t="s">
        <v>458</v>
      </c>
      <c r="D361" s="6" t="s">
        <v>473</v>
      </c>
      <c r="E361" s="11"/>
      <c r="F361" s="9" t="s">
        <v>4</v>
      </c>
      <c r="G361" s="206">
        <v>1</v>
      </c>
      <c r="H361" s="209"/>
      <c r="I361" s="212">
        <f>G361*H361</f>
        <v>0</v>
      </c>
      <c r="J361" s="225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spans="1:21" x14ac:dyDescent="0.2">
      <c r="A362" s="196"/>
      <c r="B362" s="39"/>
      <c r="C362" s="32"/>
      <c r="D362" s="10"/>
      <c r="E362" s="11"/>
      <c r="F362" s="9"/>
      <c r="G362" s="206"/>
      <c r="H362" s="209"/>
      <c r="I362" s="212"/>
      <c r="J362" s="225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spans="1:21" x14ac:dyDescent="0.2">
      <c r="A363" s="196"/>
      <c r="B363" s="39"/>
      <c r="C363" s="32"/>
      <c r="D363" s="10"/>
      <c r="E363" s="11"/>
      <c r="F363" s="9"/>
      <c r="G363" s="206"/>
      <c r="H363" s="209"/>
      <c r="I363" s="212"/>
      <c r="J363" s="225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spans="1:21" x14ac:dyDescent="0.2">
      <c r="A364" s="196"/>
      <c r="B364" s="39"/>
      <c r="C364" s="32"/>
      <c r="D364" s="10"/>
      <c r="E364" s="11"/>
      <c r="F364" s="9"/>
      <c r="G364" s="206"/>
      <c r="H364" s="209"/>
      <c r="I364" s="212"/>
      <c r="J364" s="225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spans="1:21" x14ac:dyDescent="0.2">
      <c r="A365" s="196"/>
      <c r="B365" s="39"/>
      <c r="C365" s="32"/>
      <c r="D365" s="10"/>
      <c r="E365" s="11"/>
      <c r="F365" s="9"/>
      <c r="G365" s="206"/>
      <c r="H365" s="209"/>
      <c r="I365" s="212"/>
      <c r="J365" s="225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spans="1:21" ht="15" thickBot="1" x14ac:dyDescent="0.25">
      <c r="A366" s="198"/>
      <c r="B366" s="40"/>
      <c r="C366" s="37"/>
      <c r="D366" s="24"/>
      <c r="E366" s="43"/>
      <c r="F366" s="29"/>
      <c r="G366" s="208"/>
      <c r="H366" s="237"/>
      <c r="I366" s="238"/>
      <c r="J366" s="239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spans="1:21" ht="36" customHeight="1" x14ac:dyDescent="0.25">
      <c r="A367" s="199"/>
      <c r="B367" s="25"/>
      <c r="C367" s="30"/>
      <c r="D367" s="215" t="s">
        <v>375</v>
      </c>
      <c r="E367" s="11"/>
      <c r="F367" s="7"/>
      <c r="G367" s="26"/>
      <c r="H367" s="7"/>
      <c r="I367" s="201">
        <f>SUM(I13:I366)</f>
        <v>0</v>
      </c>
      <c r="J367" s="199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spans="1:21" x14ac:dyDescent="0.2">
      <c r="A368" s="199"/>
      <c r="B368" s="25"/>
      <c r="C368" s="30"/>
      <c r="D368" s="6"/>
      <c r="E368" s="11"/>
      <c r="F368" s="7"/>
      <c r="G368" s="26"/>
      <c r="H368" s="7"/>
      <c r="I368" s="8"/>
      <c r="J368" s="199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spans="1:21" x14ac:dyDescent="0.2">
      <c r="A369" s="199"/>
      <c r="B369" s="25"/>
      <c r="C369" s="30"/>
      <c r="D369" s="6"/>
      <c r="E369" s="11"/>
      <c r="F369" s="7"/>
      <c r="G369" s="26"/>
      <c r="H369" s="7"/>
      <c r="I369" s="8"/>
      <c r="J369" s="199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spans="1:21" x14ac:dyDescent="0.2">
      <c r="A370" s="199"/>
      <c r="B370" s="25"/>
      <c r="C370" s="30"/>
      <c r="D370" s="6"/>
      <c r="E370" s="11"/>
      <c r="F370" s="7"/>
      <c r="G370" s="26"/>
      <c r="H370" s="7"/>
      <c r="I370" s="8"/>
      <c r="J370" s="199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1:21" x14ac:dyDescent="0.2">
      <c r="A371" s="199"/>
      <c r="B371" s="25"/>
      <c r="C371" s="30"/>
      <c r="D371" s="6"/>
      <c r="E371" s="11"/>
      <c r="F371" s="7"/>
      <c r="G371" s="26"/>
      <c r="H371" s="7"/>
      <c r="I371" s="8"/>
      <c r="J371" s="199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1:21" x14ac:dyDescent="0.2">
      <c r="A372" s="199"/>
      <c r="B372" s="25"/>
      <c r="C372" s="30"/>
      <c r="D372" s="6"/>
      <c r="E372" s="11"/>
      <c r="F372" s="7"/>
      <c r="G372" s="26"/>
      <c r="H372" s="7"/>
      <c r="I372" s="8"/>
      <c r="J372" s="199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spans="1:21" x14ac:dyDescent="0.2">
      <c r="A373" s="199"/>
      <c r="B373" s="25"/>
      <c r="C373" s="30"/>
      <c r="D373" s="6"/>
      <c r="E373" s="11"/>
      <c r="F373" s="7"/>
      <c r="G373" s="26"/>
      <c r="H373" s="7"/>
      <c r="I373" s="8"/>
      <c r="J373" s="199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spans="1:21" x14ac:dyDescent="0.2">
      <c r="A374" s="199"/>
      <c r="B374" s="25"/>
      <c r="C374" s="30"/>
      <c r="D374" s="6"/>
      <c r="E374" s="11"/>
      <c r="F374" s="7"/>
      <c r="G374" s="26"/>
      <c r="H374" s="7"/>
      <c r="I374" s="8"/>
      <c r="J374" s="199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spans="1:21" x14ac:dyDescent="0.2">
      <c r="A375" s="199"/>
      <c r="B375" s="25"/>
      <c r="C375" s="30"/>
      <c r="D375" s="6"/>
      <c r="E375" s="11"/>
      <c r="F375" s="7"/>
      <c r="G375" s="26"/>
      <c r="H375" s="7"/>
      <c r="I375" s="8"/>
      <c r="J375" s="199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spans="1:21" x14ac:dyDescent="0.2">
      <c r="A376" s="199"/>
      <c r="B376" s="25"/>
      <c r="C376" s="30"/>
      <c r="D376" s="6"/>
      <c r="E376" s="11"/>
      <c r="F376" s="7"/>
      <c r="G376" s="26"/>
      <c r="H376" s="7"/>
      <c r="I376" s="8"/>
      <c r="J376" s="199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spans="1:21" x14ac:dyDescent="0.2">
      <c r="A377" s="199"/>
      <c r="B377" s="25"/>
      <c r="C377" s="30"/>
      <c r="D377" s="6"/>
      <c r="E377" s="11"/>
      <c r="F377" s="7"/>
      <c r="G377" s="26"/>
      <c r="H377" s="7"/>
      <c r="I377" s="8"/>
      <c r="J377" s="199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spans="1:21" x14ac:dyDescent="0.2">
      <c r="A378" s="199"/>
      <c r="B378" s="25"/>
      <c r="C378" s="30"/>
      <c r="D378" s="6"/>
      <c r="E378" s="11"/>
      <c r="F378" s="7"/>
      <c r="G378" s="26"/>
      <c r="H378" s="7"/>
      <c r="I378" s="8"/>
      <c r="J378" s="199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spans="1:21" x14ac:dyDescent="0.2">
      <c r="A379" s="199"/>
      <c r="B379" s="25"/>
      <c r="C379" s="30"/>
      <c r="D379" s="6"/>
      <c r="E379" s="11"/>
      <c r="F379" s="7"/>
      <c r="G379" s="26"/>
      <c r="H379" s="7"/>
      <c r="I379" s="8"/>
      <c r="J379" s="199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spans="1:21" x14ac:dyDescent="0.2">
      <c r="A380" s="199"/>
      <c r="B380" s="25"/>
      <c r="C380" s="30"/>
      <c r="D380" s="6"/>
      <c r="E380" s="11"/>
      <c r="F380" s="7"/>
      <c r="G380" s="26"/>
      <c r="H380" s="7"/>
      <c r="I380" s="8"/>
      <c r="J380" s="199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spans="1:21" x14ac:dyDescent="0.2">
      <c r="A381" s="199"/>
      <c r="B381" s="25"/>
      <c r="C381" s="30"/>
      <c r="D381" s="6"/>
      <c r="E381" s="11"/>
      <c r="F381" s="7"/>
      <c r="G381" s="26"/>
      <c r="H381" s="7"/>
      <c r="I381" s="8"/>
      <c r="J381" s="199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spans="1:21" x14ac:dyDescent="0.2">
      <c r="A382" s="199"/>
      <c r="B382" s="25"/>
      <c r="C382" s="30"/>
      <c r="D382" s="6"/>
      <c r="E382" s="11"/>
      <c r="F382" s="7"/>
      <c r="G382" s="26"/>
      <c r="H382" s="7"/>
      <c r="I382" s="8"/>
      <c r="J382" s="199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spans="1:21" x14ac:dyDescent="0.2">
      <c r="A383" s="199"/>
      <c r="B383" s="25"/>
      <c r="C383" s="30"/>
      <c r="D383" s="6"/>
      <c r="E383" s="11"/>
      <c r="F383" s="7"/>
      <c r="G383" s="26"/>
      <c r="H383" s="7"/>
      <c r="I383" s="8"/>
      <c r="J383" s="199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spans="1:21" x14ac:dyDescent="0.2">
      <c r="A384" s="199"/>
      <c r="B384" s="25"/>
      <c r="C384" s="30"/>
      <c r="D384" s="6"/>
      <c r="E384" s="11"/>
      <c r="F384" s="7"/>
      <c r="G384" s="26"/>
      <c r="H384" s="7"/>
      <c r="I384" s="8"/>
      <c r="J384" s="199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spans="1:21" x14ac:dyDescent="0.2">
      <c r="A385" s="199"/>
      <c r="B385" s="25"/>
      <c r="C385" s="30"/>
      <c r="D385" s="6"/>
      <c r="E385" s="11"/>
      <c r="F385" s="7"/>
      <c r="G385" s="26"/>
      <c r="H385" s="7"/>
      <c r="I385" s="8"/>
      <c r="J385" s="199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spans="1:21" x14ac:dyDescent="0.2">
      <c r="A386" s="199"/>
      <c r="B386" s="25"/>
      <c r="C386" s="30"/>
      <c r="D386" s="6"/>
      <c r="E386" s="11"/>
      <c r="F386" s="7"/>
      <c r="G386" s="26"/>
      <c r="H386" s="7"/>
      <c r="I386" s="8"/>
      <c r="J386" s="199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spans="1:21" x14ac:dyDescent="0.2">
      <c r="A387" s="199"/>
      <c r="B387" s="25"/>
      <c r="C387" s="30"/>
      <c r="D387" s="6"/>
      <c r="E387" s="11"/>
      <c r="F387" s="7"/>
      <c r="G387" s="26"/>
      <c r="H387" s="7"/>
      <c r="I387" s="8"/>
      <c r="J387" s="199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spans="1:21" x14ac:dyDescent="0.2">
      <c r="A388" s="199"/>
      <c r="B388" s="25"/>
      <c r="C388" s="30"/>
      <c r="D388" s="6"/>
      <c r="E388" s="11"/>
      <c r="F388" s="7"/>
      <c r="G388" s="26"/>
      <c r="H388" s="7"/>
      <c r="I388" s="8"/>
      <c r="J388" s="199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spans="1:21" x14ac:dyDescent="0.2">
      <c r="A389" s="199"/>
      <c r="B389" s="25"/>
      <c r="C389" s="30"/>
      <c r="D389" s="6"/>
      <c r="E389" s="11"/>
      <c r="F389" s="7"/>
      <c r="G389" s="26"/>
      <c r="H389" s="7"/>
      <c r="I389" s="8"/>
      <c r="J389" s="199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spans="1:21" x14ac:dyDescent="0.2">
      <c r="A390" s="199"/>
      <c r="B390" s="25"/>
      <c r="C390" s="30"/>
      <c r="D390" s="6"/>
      <c r="E390" s="11"/>
      <c r="F390" s="7"/>
      <c r="G390" s="26"/>
      <c r="H390" s="7"/>
      <c r="I390" s="8"/>
      <c r="J390" s="199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spans="1:21" x14ac:dyDescent="0.2">
      <c r="A391" s="199"/>
      <c r="B391" s="25"/>
      <c r="C391" s="30"/>
      <c r="D391" s="6"/>
      <c r="E391" s="11"/>
      <c r="F391" s="7"/>
      <c r="G391" s="26"/>
      <c r="H391" s="7"/>
      <c r="I391" s="8"/>
      <c r="J391" s="199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spans="1:21" x14ac:dyDescent="0.2">
      <c r="A392" s="199"/>
      <c r="B392" s="25"/>
      <c r="C392" s="30"/>
      <c r="D392" s="6"/>
      <c r="E392" s="11"/>
      <c r="F392" s="7"/>
      <c r="G392" s="26"/>
      <c r="H392" s="7"/>
      <c r="I392" s="8"/>
      <c r="J392" s="199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spans="1:21" x14ac:dyDescent="0.2">
      <c r="A393" s="199"/>
      <c r="B393" s="25"/>
      <c r="C393" s="30"/>
      <c r="D393" s="6"/>
      <c r="E393" s="11"/>
      <c r="F393" s="7"/>
      <c r="G393" s="26"/>
      <c r="H393" s="7"/>
      <c r="I393" s="8"/>
      <c r="J393" s="199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spans="1:21" x14ac:dyDescent="0.2">
      <c r="A394" s="199"/>
      <c r="B394" s="25"/>
      <c r="C394" s="30"/>
      <c r="D394" s="6"/>
      <c r="E394" s="11"/>
      <c r="F394" s="7"/>
      <c r="G394" s="26"/>
      <c r="H394" s="7"/>
      <c r="I394" s="8"/>
      <c r="J394" s="199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spans="1:21" x14ac:dyDescent="0.2">
      <c r="A395" s="199"/>
      <c r="B395" s="25"/>
      <c r="C395" s="30"/>
      <c r="D395" s="6"/>
      <c r="E395" s="11"/>
      <c r="F395" s="7"/>
      <c r="G395" s="26"/>
      <c r="H395" s="7"/>
      <c r="I395" s="8"/>
      <c r="J395" s="199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spans="1:21" x14ac:dyDescent="0.2">
      <c r="A396" s="199"/>
      <c r="B396" s="25"/>
      <c r="C396" s="30"/>
      <c r="D396" s="6"/>
      <c r="E396" s="11"/>
      <c r="F396" s="7"/>
      <c r="G396" s="26"/>
      <c r="H396" s="7"/>
      <c r="I396" s="8"/>
      <c r="J396" s="199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spans="1:21" x14ac:dyDescent="0.2">
      <c r="A397" s="199"/>
      <c r="B397" s="25"/>
      <c r="C397" s="30"/>
      <c r="D397" s="6"/>
      <c r="E397" s="11"/>
      <c r="F397" s="7"/>
      <c r="G397" s="26"/>
      <c r="H397" s="7"/>
      <c r="I397" s="8"/>
      <c r="J397" s="199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spans="1:21" x14ac:dyDescent="0.2">
      <c r="A398" s="199"/>
      <c r="B398" s="25"/>
      <c r="C398" s="30"/>
      <c r="D398" s="6"/>
      <c r="E398" s="11"/>
      <c r="F398" s="7"/>
      <c r="G398" s="26"/>
      <c r="H398" s="7"/>
      <c r="I398" s="8"/>
      <c r="J398" s="199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spans="1:21" x14ac:dyDescent="0.2">
      <c r="A399" s="199"/>
      <c r="B399" s="25"/>
      <c r="C399" s="30"/>
      <c r="D399" s="6"/>
      <c r="E399" s="11"/>
      <c r="F399" s="7"/>
      <c r="G399" s="26"/>
      <c r="H399" s="7"/>
      <c r="I399" s="8"/>
      <c r="J399" s="199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spans="1:21" x14ac:dyDescent="0.2">
      <c r="A400" s="199"/>
      <c r="B400" s="25"/>
      <c r="C400" s="30"/>
      <c r="D400" s="6"/>
      <c r="E400" s="11"/>
      <c r="F400" s="7"/>
      <c r="G400" s="26"/>
      <c r="H400" s="7"/>
      <c r="I400" s="8"/>
      <c r="J400" s="199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spans="1:21" x14ac:dyDescent="0.2">
      <c r="A401" s="199"/>
      <c r="B401" s="25"/>
      <c r="C401" s="30"/>
      <c r="D401" s="6"/>
      <c r="E401" s="11"/>
      <c r="F401" s="7"/>
      <c r="G401" s="26"/>
      <c r="H401" s="7"/>
      <c r="I401" s="8"/>
      <c r="J401" s="199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spans="1:21" x14ac:dyDescent="0.2">
      <c r="A402" s="199"/>
      <c r="B402" s="25"/>
      <c r="C402" s="30"/>
      <c r="D402" s="6"/>
      <c r="E402" s="11"/>
      <c r="F402" s="7"/>
      <c r="G402" s="26"/>
      <c r="H402" s="7"/>
      <c r="I402" s="8"/>
      <c r="J402" s="199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spans="1:21" x14ac:dyDescent="0.2">
      <c r="A403" s="199"/>
      <c r="B403" s="25"/>
      <c r="C403" s="30"/>
      <c r="D403" s="6"/>
      <c r="E403" s="11"/>
      <c r="F403" s="7"/>
      <c r="G403" s="26"/>
      <c r="H403" s="7"/>
      <c r="I403" s="8"/>
      <c r="J403" s="199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spans="1:21" x14ac:dyDescent="0.2">
      <c r="A404" s="199"/>
      <c r="B404" s="25"/>
      <c r="C404" s="30"/>
      <c r="D404" s="6"/>
      <c r="E404" s="11"/>
      <c r="F404" s="7"/>
      <c r="G404" s="26"/>
      <c r="H404" s="7"/>
      <c r="I404" s="8"/>
      <c r="J404" s="199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spans="1:21" x14ac:dyDescent="0.2">
      <c r="A405" s="199"/>
      <c r="B405" s="25"/>
      <c r="C405" s="30"/>
      <c r="D405" s="6"/>
      <c r="E405" s="11"/>
      <c r="F405" s="7"/>
      <c r="G405" s="26"/>
      <c r="H405" s="7"/>
      <c r="I405" s="8"/>
      <c r="J405" s="199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spans="1:21" x14ac:dyDescent="0.2">
      <c r="A406" s="199"/>
      <c r="B406" s="25"/>
      <c r="C406" s="30"/>
      <c r="D406" s="6"/>
      <c r="E406" s="11"/>
      <c r="F406" s="7"/>
      <c r="G406" s="26"/>
      <c r="H406" s="7"/>
      <c r="I406" s="8"/>
      <c r="J406" s="199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spans="1:21" x14ac:dyDescent="0.2">
      <c r="A407" s="199"/>
      <c r="B407" s="25"/>
      <c r="C407" s="30"/>
      <c r="D407" s="6"/>
      <c r="E407" s="11"/>
      <c r="F407" s="7"/>
      <c r="G407" s="26"/>
      <c r="H407" s="7"/>
      <c r="I407" s="8"/>
      <c r="J407" s="199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spans="1:21" x14ac:dyDescent="0.2">
      <c r="A408" s="199"/>
      <c r="B408" s="25"/>
      <c r="C408" s="30"/>
      <c r="D408" s="6"/>
      <c r="E408" s="11"/>
      <c r="F408" s="7"/>
      <c r="G408" s="26"/>
      <c r="H408" s="7"/>
      <c r="I408" s="8"/>
      <c r="J408" s="199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spans="1:21" x14ac:dyDescent="0.2">
      <c r="A409" s="199"/>
      <c r="B409" s="25"/>
      <c r="C409" s="30"/>
      <c r="D409" s="6"/>
      <c r="E409" s="11"/>
      <c r="F409" s="7"/>
      <c r="G409" s="26"/>
      <c r="H409" s="7"/>
      <c r="I409" s="8"/>
      <c r="J409" s="199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spans="1:21" x14ac:dyDescent="0.2">
      <c r="A410" s="199"/>
      <c r="B410" s="25"/>
      <c r="C410" s="30"/>
      <c r="D410" s="6"/>
      <c r="E410" s="11"/>
      <c r="F410" s="7"/>
      <c r="G410" s="26"/>
      <c r="H410" s="7"/>
      <c r="I410" s="8"/>
      <c r="J410" s="199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spans="1:21" x14ac:dyDescent="0.2">
      <c r="A411" s="199"/>
      <c r="B411" s="25"/>
      <c r="C411" s="30"/>
      <c r="D411" s="6"/>
      <c r="E411" s="11"/>
      <c r="F411" s="7"/>
      <c r="G411" s="26"/>
      <c r="H411" s="7"/>
      <c r="I411" s="8"/>
      <c r="J411" s="199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spans="1:21" x14ac:dyDescent="0.2">
      <c r="A412" s="199"/>
      <c r="B412" s="25"/>
      <c r="C412" s="30"/>
      <c r="D412" s="6"/>
      <c r="E412" s="11"/>
      <c r="F412" s="7"/>
      <c r="G412" s="26"/>
      <c r="H412" s="7"/>
      <c r="I412" s="8"/>
      <c r="J412" s="199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spans="1:21" x14ac:dyDescent="0.2">
      <c r="A413" s="199"/>
      <c r="B413" s="25"/>
      <c r="C413" s="30"/>
      <c r="D413" s="6"/>
      <c r="E413" s="11"/>
      <c r="F413" s="7"/>
      <c r="G413" s="26"/>
      <c r="H413" s="7"/>
      <c r="I413" s="8"/>
      <c r="J413" s="199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spans="1:21" x14ac:dyDescent="0.2">
      <c r="A414" s="199"/>
      <c r="B414" s="25"/>
      <c r="C414" s="30"/>
      <c r="D414" s="6"/>
      <c r="E414" s="11"/>
      <c r="F414" s="7"/>
      <c r="G414" s="26"/>
      <c r="H414" s="7"/>
      <c r="I414" s="8"/>
      <c r="J414" s="199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spans="1:21" x14ac:dyDescent="0.2">
      <c r="A415" s="199"/>
      <c r="B415" s="25"/>
      <c r="C415" s="30"/>
      <c r="D415" s="6"/>
      <c r="E415" s="11"/>
      <c r="F415" s="7"/>
      <c r="G415" s="26"/>
      <c r="H415" s="7"/>
      <c r="I415" s="8"/>
      <c r="J415" s="199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spans="1:21" x14ac:dyDescent="0.2">
      <c r="A416" s="30"/>
      <c r="B416" s="25"/>
      <c r="C416" s="30"/>
      <c r="D416" s="6"/>
      <c r="E416" s="11"/>
      <c r="F416" s="7"/>
      <c r="G416" s="26"/>
      <c r="H416" s="7"/>
      <c r="I416" s="8"/>
      <c r="J416" s="199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spans="1:21" x14ac:dyDescent="0.2">
      <c r="A417" s="30"/>
      <c r="B417" s="25"/>
      <c r="C417" s="30"/>
      <c r="D417" s="6"/>
      <c r="E417" s="11"/>
      <c r="F417" s="7"/>
      <c r="G417" s="26"/>
      <c r="H417" s="7"/>
      <c r="I417" s="8"/>
      <c r="J417" s="199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spans="1:21" x14ac:dyDescent="0.2">
      <c r="A418" s="30"/>
      <c r="B418" s="25"/>
      <c r="C418" s="30"/>
      <c r="D418" s="6"/>
      <c r="E418" s="11"/>
      <c r="F418" s="7"/>
      <c r="G418" s="26"/>
      <c r="H418" s="7"/>
      <c r="I418" s="8"/>
      <c r="J418" s="199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spans="1:21" x14ac:dyDescent="0.2">
      <c r="A419" s="30"/>
      <c r="B419" s="25"/>
      <c r="C419" s="30"/>
      <c r="D419" s="6"/>
      <c r="E419" s="11"/>
      <c r="F419" s="7"/>
      <c r="G419" s="26"/>
      <c r="H419" s="7"/>
      <c r="I419" s="8"/>
      <c r="J419" s="199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spans="1:21" x14ac:dyDescent="0.2">
      <c r="A420" s="30"/>
      <c r="B420" s="25"/>
      <c r="C420" s="30"/>
      <c r="D420" s="6"/>
      <c r="E420" s="11"/>
      <c r="F420" s="7"/>
      <c r="G420" s="26"/>
      <c r="H420" s="7"/>
      <c r="I420" s="8"/>
      <c r="J420" s="199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spans="1:21" x14ac:dyDescent="0.2">
      <c r="A421" s="30"/>
      <c r="B421" s="25"/>
      <c r="C421" s="30"/>
      <c r="D421" s="6"/>
      <c r="E421" s="11"/>
      <c r="F421" s="7"/>
      <c r="G421" s="26"/>
      <c r="H421" s="7"/>
      <c r="I421" s="8"/>
      <c r="J421" s="199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spans="1:21" x14ac:dyDescent="0.2">
      <c r="A422" s="30"/>
      <c r="B422" s="25"/>
      <c r="C422" s="30"/>
      <c r="D422" s="6"/>
      <c r="E422" s="11"/>
      <c r="F422" s="7"/>
      <c r="G422" s="26"/>
      <c r="H422" s="7"/>
      <c r="I422" s="8"/>
      <c r="J422" s="199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spans="1:21" x14ac:dyDescent="0.2">
      <c r="A423" s="30"/>
      <c r="B423" s="25"/>
      <c r="C423" s="30"/>
      <c r="D423" s="6"/>
      <c r="E423" s="11"/>
      <c r="F423" s="7"/>
      <c r="G423" s="26"/>
      <c r="H423" s="7"/>
      <c r="I423" s="8"/>
      <c r="J423" s="199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spans="1:21" x14ac:dyDescent="0.2">
      <c r="A424" s="30"/>
      <c r="B424" s="25"/>
      <c r="C424" s="30"/>
      <c r="D424" s="6"/>
      <c r="E424" s="11"/>
      <c r="F424" s="7"/>
      <c r="G424" s="26"/>
      <c r="H424" s="7"/>
      <c r="I424" s="8"/>
      <c r="J424" s="199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spans="1:21" x14ac:dyDescent="0.2">
      <c r="A425" s="30"/>
      <c r="B425" s="25"/>
      <c r="C425" s="30"/>
      <c r="D425" s="6"/>
      <c r="E425" s="11"/>
      <c r="F425" s="7"/>
      <c r="G425" s="26"/>
      <c r="H425" s="7"/>
      <c r="I425" s="8"/>
      <c r="J425" s="199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spans="1:21" x14ac:dyDescent="0.2">
      <c r="A426" s="30"/>
      <c r="B426" s="25"/>
      <c r="C426" s="30"/>
      <c r="D426" s="6"/>
      <c r="E426" s="11"/>
      <c r="F426" s="7"/>
      <c r="G426" s="26"/>
      <c r="H426" s="7"/>
      <c r="I426" s="8"/>
      <c r="J426" s="199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spans="1:21" x14ac:dyDescent="0.2">
      <c r="A427" s="30"/>
      <c r="B427" s="25"/>
      <c r="C427" s="30"/>
      <c r="D427" s="6"/>
      <c r="E427" s="11"/>
      <c r="F427" s="7"/>
      <c r="G427" s="26"/>
      <c r="H427" s="7"/>
      <c r="I427" s="8"/>
      <c r="J427" s="199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spans="1:21" x14ac:dyDescent="0.2">
      <c r="A428" s="30"/>
      <c r="B428" s="25"/>
      <c r="C428" s="30"/>
      <c r="D428" s="6"/>
      <c r="E428" s="11"/>
      <c r="F428" s="7"/>
      <c r="G428" s="26"/>
      <c r="H428" s="7"/>
      <c r="I428" s="8"/>
      <c r="J428" s="199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spans="1:21" x14ac:dyDescent="0.2">
      <c r="A429" s="30"/>
      <c r="B429" s="25"/>
      <c r="C429" s="30"/>
      <c r="D429" s="6"/>
      <c r="E429" s="11"/>
      <c r="F429" s="7"/>
      <c r="G429" s="26"/>
      <c r="H429" s="7"/>
      <c r="I429" s="8"/>
      <c r="J429" s="199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spans="1:21" x14ac:dyDescent="0.2">
      <c r="A430" s="30"/>
      <c r="B430" s="25"/>
      <c r="C430" s="30"/>
      <c r="D430" s="6"/>
      <c r="E430" s="11"/>
      <c r="F430" s="7"/>
      <c r="G430" s="26"/>
      <c r="H430" s="7"/>
      <c r="I430" s="8"/>
      <c r="J430" s="199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spans="1:21" x14ac:dyDescent="0.2">
      <c r="A431" s="30"/>
      <c r="B431" s="25"/>
      <c r="C431" s="30"/>
      <c r="D431" s="6"/>
      <c r="E431" s="11"/>
      <c r="F431" s="7"/>
      <c r="G431" s="26"/>
      <c r="H431" s="7"/>
      <c r="I431" s="8"/>
      <c r="J431" s="199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spans="1:21" x14ac:dyDescent="0.2">
      <c r="A432" s="30"/>
      <c r="B432" s="25"/>
      <c r="C432" s="30"/>
      <c r="D432" s="6"/>
      <c r="E432" s="11"/>
      <c r="F432" s="7"/>
      <c r="G432" s="26"/>
      <c r="H432" s="7"/>
      <c r="I432" s="8"/>
      <c r="J432" s="199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spans="1:21" x14ac:dyDescent="0.2">
      <c r="A433" s="30"/>
      <c r="B433" s="25"/>
      <c r="C433" s="30"/>
      <c r="D433" s="6"/>
      <c r="E433" s="11"/>
      <c r="F433" s="7"/>
      <c r="G433" s="26"/>
      <c r="H433" s="7"/>
      <c r="I433" s="8"/>
      <c r="J433" s="199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spans="1:21" x14ac:dyDescent="0.2">
      <c r="A434" s="30"/>
      <c r="B434" s="25"/>
      <c r="C434" s="30"/>
      <c r="D434" s="6"/>
      <c r="E434" s="11"/>
      <c r="F434" s="7"/>
      <c r="G434" s="26"/>
      <c r="H434" s="7"/>
      <c r="I434" s="8"/>
      <c r="J434" s="199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spans="1:21" x14ac:dyDescent="0.2">
      <c r="A435" s="30"/>
      <c r="B435" s="25"/>
      <c r="C435" s="30"/>
      <c r="D435" s="6"/>
      <c r="E435" s="11"/>
      <c r="F435" s="7"/>
      <c r="G435" s="26"/>
      <c r="H435" s="7"/>
      <c r="I435" s="8"/>
      <c r="J435" s="199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spans="1:21" x14ac:dyDescent="0.2">
      <c r="A436" s="30"/>
      <c r="B436" s="25"/>
      <c r="C436" s="30"/>
      <c r="D436" s="6"/>
      <c r="E436" s="11"/>
      <c r="F436" s="7"/>
      <c r="G436" s="26"/>
      <c r="H436" s="7"/>
      <c r="I436" s="8"/>
      <c r="J436" s="199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spans="1:21" x14ac:dyDescent="0.2">
      <c r="A437" s="30"/>
      <c r="B437" s="25"/>
      <c r="C437" s="30"/>
      <c r="D437" s="6"/>
      <c r="E437" s="11"/>
      <c r="F437" s="7"/>
      <c r="G437" s="26"/>
      <c r="H437" s="7"/>
      <c r="I437" s="8"/>
      <c r="J437" s="199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spans="1:21" x14ac:dyDescent="0.2">
      <c r="A438" s="30"/>
      <c r="B438" s="25"/>
      <c r="C438" s="30"/>
      <c r="D438" s="6"/>
      <c r="E438" s="11"/>
      <c r="F438" s="7"/>
      <c r="G438" s="26"/>
      <c r="H438" s="7"/>
      <c r="I438" s="8"/>
      <c r="J438" s="199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spans="1:21" x14ac:dyDescent="0.2">
      <c r="A439" s="30"/>
      <c r="B439" s="25"/>
      <c r="C439" s="30"/>
      <c r="D439" s="6"/>
      <c r="E439" s="11"/>
      <c r="F439" s="7"/>
      <c r="G439" s="26"/>
      <c r="H439" s="7"/>
      <c r="I439" s="8"/>
      <c r="J439" s="199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spans="1:21" x14ac:dyDescent="0.2">
      <c r="A440" s="30"/>
      <c r="B440" s="25"/>
      <c r="C440" s="30"/>
      <c r="D440" s="6"/>
      <c r="E440" s="11"/>
      <c r="F440" s="7"/>
      <c r="G440" s="26"/>
      <c r="H440" s="7"/>
      <c r="I440" s="8"/>
      <c r="J440" s="199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spans="1:21" x14ac:dyDescent="0.2">
      <c r="A441" s="30"/>
      <c r="B441" s="25"/>
      <c r="C441" s="30"/>
      <c r="D441" s="6"/>
      <c r="E441" s="11"/>
      <c r="F441" s="7"/>
      <c r="G441" s="26"/>
      <c r="H441" s="7"/>
      <c r="I441" s="8"/>
      <c r="J441" s="199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spans="1:21" x14ac:dyDescent="0.2">
      <c r="A442" s="30"/>
      <c r="B442" s="25"/>
      <c r="C442" s="30"/>
      <c r="D442" s="6"/>
      <c r="E442" s="11"/>
      <c r="F442" s="7"/>
      <c r="G442" s="26"/>
      <c r="H442" s="7"/>
      <c r="I442" s="8"/>
      <c r="J442" s="199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spans="1:21" x14ac:dyDescent="0.2">
      <c r="A443" s="30"/>
      <c r="B443" s="25"/>
      <c r="C443" s="30"/>
      <c r="D443" s="6"/>
      <c r="E443" s="11"/>
      <c r="F443" s="7"/>
      <c r="G443" s="26"/>
      <c r="H443" s="7"/>
      <c r="I443" s="8"/>
      <c r="J443" s="199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spans="1:21" x14ac:dyDescent="0.2">
      <c r="A444" s="30"/>
      <c r="B444" s="25"/>
      <c r="C444" s="30"/>
      <c r="D444" s="6"/>
      <c r="E444" s="11"/>
      <c r="F444" s="7"/>
      <c r="G444" s="26"/>
      <c r="H444" s="7"/>
      <c r="I444" s="8"/>
      <c r="J444" s="199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spans="1:21" x14ac:dyDescent="0.2">
      <c r="A445" s="30"/>
      <c r="B445" s="25"/>
      <c r="C445" s="30"/>
      <c r="D445" s="6"/>
      <c r="E445" s="11"/>
      <c r="F445" s="7"/>
      <c r="G445" s="26"/>
      <c r="H445" s="7"/>
      <c r="I445" s="8"/>
      <c r="J445" s="199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spans="1:21" x14ac:dyDescent="0.2">
      <c r="A446" s="30"/>
      <c r="B446" s="25"/>
      <c r="C446" s="30"/>
      <c r="D446" s="6"/>
      <c r="E446" s="11"/>
      <c r="F446" s="7"/>
      <c r="G446" s="26"/>
      <c r="H446" s="7"/>
      <c r="I446" s="8"/>
      <c r="J446" s="199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spans="1:21" x14ac:dyDescent="0.2">
      <c r="A447" s="30"/>
      <c r="B447" s="25"/>
      <c r="C447" s="30"/>
      <c r="D447" s="6"/>
      <c r="E447" s="11"/>
      <c r="F447" s="7"/>
      <c r="G447" s="26"/>
      <c r="H447" s="7"/>
      <c r="I447" s="8"/>
      <c r="J447" s="199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spans="1:21" x14ac:dyDescent="0.2">
      <c r="A448" s="30"/>
      <c r="B448" s="25"/>
      <c r="C448" s="30"/>
      <c r="D448" s="6"/>
      <c r="E448" s="11"/>
      <c r="F448" s="7"/>
      <c r="G448" s="26"/>
      <c r="H448" s="7"/>
      <c r="I448" s="8"/>
      <c r="J448" s="199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spans="1:21" x14ac:dyDescent="0.2">
      <c r="A449" s="30"/>
      <c r="B449" s="25"/>
      <c r="C449" s="30"/>
      <c r="D449" s="6"/>
      <c r="E449" s="11"/>
      <c r="F449" s="7"/>
      <c r="G449" s="26"/>
      <c r="H449" s="7"/>
      <c r="I449" s="8"/>
      <c r="J449" s="199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spans="1:21" x14ac:dyDescent="0.2">
      <c r="A450" s="30"/>
      <c r="B450" s="25"/>
      <c r="C450" s="30"/>
      <c r="D450" s="6"/>
      <c r="E450" s="11"/>
      <c r="F450" s="7"/>
      <c r="G450" s="26"/>
      <c r="H450" s="7"/>
      <c r="I450" s="8"/>
      <c r="J450" s="199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spans="1:21" x14ac:dyDescent="0.2">
      <c r="A451" s="30"/>
      <c r="B451" s="25"/>
      <c r="C451" s="30"/>
      <c r="D451" s="6"/>
      <c r="E451" s="11"/>
      <c r="F451" s="7"/>
      <c r="G451" s="26"/>
      <c r="H451" s="7"/>
      <c r="I451" s="8"/>
      <c r="J451" s="199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spans="1:21" x14ac:dyDescent="0.2">
      <c r="A452" s="30"/>
      <c r="B452" s="25"/>
      <c r="C452" s="30"/>
      <c r="D452" s="6"/>
      <c r="E452" s="11"/>
      <c r="F452" s="7"/>
      <c r="G452" s="26"/>
      <c r="H452" s="7"/>
      <c r="I452" s="8"/>
      <c r="J452" s="199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spans="1:21" x14ac:dyDescent="0.2">
      <c r="A453" s="30"/>
      <c r="B453" s="25"/>
      <c r="C453" s="30"/>
      <c r="D453" s="6"/>
      <c r="E453" s="11"/>
      <c r="F453" s="7"/>
      <c r="G453" s="26"/>
      <c r="H453" s="7"/>
      <c r="I453" s="8"/>
      <c r="J453" s="199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spans="1:21" x14ac:dyDescent="0.2">
      <c r="A454" s="30"/>
      <c r="B454" s="25"/>
      <c r="C454" s="30"/>
      <c r="D454" s="6"/>
      <c r="E454" s="11"/>
      <c r="F454" s="7"/>
      <c r="G454" s="26"/>
      <c r="H454" s="7"/>
      <c r="I454" s="8"/>
      <c r="J454" s="199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spans="1:21" x14ac:dyDescent="0.2">
      <c r="A455" s="30"/>
      <c r="B455" s="25"/>
      <c r="C455" s="30"/>
      <c r="D455" s="6"/>
      <c r="E455" s="11"/>
      <c r="F455" s="7"/>
      <c r="G455" s="26"/>
      <c r="H455" s="7"/>
      <c r="I455" s="8"/>
      <c r="J455" s="199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spans="1:21" x14ac:dyDescent="0.2">
      <c r="A456" s="30"/>
      <c r="B456" s="25"/>
      <c r="C456" s="30"/>
      <c r="D456" s="6"/>
      <c r="E456" s="11"/>
      <c r="F456" s="7"/>
      <c r="G456" s="26"/>
      <c r="H456" s="7"/>
      <c r="I456" s="8"/>
      <c r="J456" s="199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spans="1:21" x14ac:dyDescent="0.2">
      <c r="A457" s="30"/>
      <c r="B457" s="25"/>
      <c r="C457" s="30"/>
      <c r="D457" s="6"/>
      <c r="E457" s="11"/>
      <c r="F457" s="7"/>
      <c r="G457" s="26"/>
      <c r="H457" s="7"/>
      <c r="I457" s="8"/>
      <c r="J457" s="199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spans="1:21" x14ac:dyDescent="0.2">
      <c r="A458" s="30"/>
      <c r="B458" s="25"/>
      <c r="C458" s="30"/>
      <c r="D458" s="6"/>
      <c r="E458" s="11"/>
      <c r="F458" s="7"/>
      <c r="G458" s="26"/>
      <c r="H458" s="7"/>
      <c r="I458" s="8"/>
      <c r="J458" s="199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spans="1:21" x14ac:dyDescent="0.2">
      <c r="A459" s="30"/>
      <c r="B459" s="25"/>
      <c r="C459" s="30"/>
      <c r="D459" s="6"/>
      <c r="E459" s="11"/>
      <c r="F459" s="7"/>
      <c r="G459" s="26"/>
      <c r="H459" s="7"/>
      <c r="I459" s="8"/>
      <c r="J459" s="199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spans="1:21" x14ac:dyDescent="0.2">
      <c r="A460" s="30"/>
      <c r="B460" s="25"/>
      <c r="C460" s="30"/>
      <c r="D460" s="6"/>
      <c r="E460" s="11"/>
      <c r="F460" s="7"/>
      <c r="G460" s="26"/>
      <c r="H460" s="7"/>
      <c r="I460" s="8"/>
      <c r="J460" s="199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spans="1:21" x14ac:dyDescent="0.2">
      <c r="A461" s="30"/>
      <c r="B461" s="25"/>
      <c r="C461" s="30"/>
      <c r="D461" s="6"/>
      <c r="E461" s="11"/>
      <c r="F461" s="7"/>
      <c r="G461" s="26"/>
      <c r="H461" s="7"/>
      <c r="I461" s="8"/>
      <c r="J461" s="199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spans="1:21" x14ac:dyDescent="0.2">
      <c r="A462" s="30"/>
      <c r="B462" s="25"/>
      <c r="C462" s="30"/>
      <c r="D462" s="6"/>
      <c r="E462" s="11"/>
      <c r="F462" s="7"/>
      <c r="G462" s="26"/>
      <c r="H462" s="7"/>
      <c r="I462" s="8"/>
      <c r="J462" s="199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spans="1:21" x14ac:dyDescent="0.2">
      <c r="A463" s="30"/>
      <c r="B463" s="25"/>
      <c r="C463" s="30"/>
      <c r="D463" s="6"/>
      <c r="E463" s="11"/>
      <c r="F463" s="7"/>
      <c r="G463" s="26"/>
      <c r="H463" s="7"/>
      <c r="I463" s="8"/>
      <c r="J463" s="199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spans="1:21" x14ac:dyDescent="0.2">
      <c r="A464" s="30"/>
      <c r="B464" s="25"/>
      <c r="C464" s="30"/>
      <c r="D464" s="6"/>
      <c r="E464" s="11"/>
      <c r="F464" s="7"/>
      <c r="G464" s="26"/>
      <c r="H464" s="7"/>
      <c r="I464" s="8"/>
      <c r="J464" s="199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spans="1:21" x14ac:dyDescent="0.2">
      <c r="A465" s="30"/>
      <c r="B465" s="25"/>
      <c r="C465" s="30"/>
      <c r="D465" s="6"/>
      <c r="E465" s="11"/>
      <c r="F465" s="7"/>
      <c r="G465" s="26"/>
      <c r="H465" s="7"/>
      <c r="I465" s="8"/>
      <c r="J465" s="199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spans="1:21" x14ac:dyDescent="0.2">
      <c r="A466" s="30"/>
      <c r="B466" s="25"/>
      <c r="C466" s="30"/>
      <c r="D466" s="6"/>
      <c r="E466" s="11"/>
      <c r="F466" s="7"/>
      <c r="G466" s="26"/>
      <c r="H466" s="7"/>
      <c r="I466" s="8"/>
      <c r="J466" s="199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spans="1:21" x14ac:dyDescent="0.2">
      <c r="A467" s="30"/>
      <c r="B467" s="25"/>
      <c r="C467" s="30"/>
      <c r="D467" s="6"/>
      <c r="E467" s="11"/>
      <c r="F467" s="7"/>
      <c r="G467" s="26"/>
      <c r="H467" s="7"/>
      <c r="I467" s="8"/>
      <c r="J467" s="199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spans="1:21" x14ac:dyDescent="0.2">
      <c r="A468" s="30"/>
      <c r="B468" s="25"/>
      <c r="C468" s="30"/>
      <c r="D468" s="6"/>
      <c r="E468" s="11"/>
      <c r="F468" s="7"/>
      <c r="G468" s="26"/>
      <c r="H468" s="7"/>
      <c r="I468" s="8"/>
      <c r="J468" s="199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spans="1:21" x14ac:dyDescent="0.2">
      <c r="A469" s="30"/>
      <c r="B469" s="25"/>
      <c r="C469" s="30"/>
      <c r="D469" s="6"/>
      <c r="E469" s="11"/>
      <c r="F469" s="7"/>
      <c r="G469" s="26"/>
      <c r="H469" s="7"/>
      <c r="I469" s="8"/>
      <c r="J469" s="199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spans="1:21" x14ac:dyDescent="0.2">
      <c r="A470" s="30"/>
      <c r="B470" s="25"/>
      <c r="C470" s="30"/>
      <c r="D470" s="6"/>
      <c r="E470" s="11"/>
      <c r="F470" s="7"/>
      <c r="G470" s="26"/>
      <c r="H470" s="7"/>
      <c r="I470" s="8"/>
      <c r="J470" s="199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spans="1:21" x14ac:dyDescent="0.2">
      <c r="A471" s="30"/>
      <c r="B471" s="25"/>
      <c r="C471" s="30"/>
      <c r="D471" s="6"/>
      <c r="E471" s="11"/>
      <c r="F471" s="7"/>
      <c r="G471" s="26"/>
      <c r="H471" s="7"/>
      <c r="I471" s="8"/>
      <c r="J471" s="199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spans="1:21" x14ac:dyDescent="0.2">
      <c r="A472" s="30"/>
      <c r="B472" s="25"/>
      <c r="C472" s="30"/>
      <c r="D472" s="6"/>
      <c r="E472" s="11"/>
      <c r="F472" s="7"/>
      <c r="G472" s="26"/>
      <c r="H472" s="7"/>
      <c r="I472" s="8"/>
      <c r="J472" s="199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spans="1:21" x14ac:dyDescent="0.2">
      <c r="A473" s="30"/>
      <c r="B473" s="25"/>
      <c r="C473" s="30"/>
      <c r="D473" s="6"/>
      <c r="E473" s="11"/>
      <c r="F473" s="7"/>
      <c r="G473" s="26"/>
      <c r="H473" s="7"/>
      <c r="I473" s="8"/>
      <c r="J473" s="199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spans="1:21" x14ac:dyDescent="0.2">
      <c r="A474" s="30"/>
      <c r="B474" s="25"/>
      <c r="C474" s="30"/>
      <c r="D474" s="6"/>
      <c r="E474" s="11"/>
      <c r="F474" s="7"/>
      <c r="G474" s="26"/>
      <c r="H474" s="7"/>
      <c r="I474" s="8"/>
      <c r="J474" s="199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spans="1:21" x14ac:dyDescent="0.2">
      <c r="A475" s="30"/>
      <c r="B475" s="25"/>
      <c r="C475" s="30"/>
      <c r="D475" s="6"/>
      <c r="E475" s="11"/>
      <c r="F475" s="7"/>
      <c r="G475" s="26"/>
      <c r="H475" s="7"/>
      <c r="I475" s="8"/>
      <c r="J475" s="199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spans="1:21" x14ac:dyDescent="0.2">
      <c r="A476" s="30"/>
      <c r="B476" s="25"/>
      <c r="C476" s="30"/>
      <c r="D476" s="6"/>
      <c r="E476" s="11"/>
      <c r="F476" s="7"/>
      <c r="G476" s="26"/>
      <c r="H476" s="7"/>
      <c r="I476" s="8"/>
      <c r="J476" s="199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spans="1:21" x14ac:dyDescent="0.2">
      <c r="A477" s="30"/>
      <c r="B477" s="25"/>
      <c r="C477" s="30"/>
      <c r="D477" s="6"/>
      <c r="E477" s="11"/>
      <c r="F477" s="7"/>
      <c r="G477" s="26"/>
      <c r="H477" s="7"/>
      <c r="I477" s="8"/>
      <c r="J477" s="199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spans="1:21" x14ac:dyDescent="0.2">
      <c r="A478" s="30"/>
      <c r="B478" s="25"/>
      <c r="C478" s="30"/>
      <c r="D478" s="6"/>
      <c r="E478" s="11"/>
      <c r="F478" s="7"/>
      <c r="G478" s="26"/>
      <c r="H478" s="7"/>
      <c r="I478" s="8"/>
      <c r="J478" s="199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spans="1:21" x14ac:dyDescent="0.2">
      <c r="A479" s="30"/>
      <c r="B479" s="25"/>
      <c r="C479" s="30"/>
      <c r="D479" s="6"/>
      <c r="E479" s="11"/>
      <c r="F479" s="7"/>
      <c r="G479" s="26"/>
      <c r="H479" s="7"/>
      <c r="I479" s="8"/>
      <c r="J479" s="199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spans="1:21" x14ac:dyDescent="0.2">
      <c r="A480" s="30"/>
      <c r="B480" s="25"/>
      <c r="C480" s="30"/>
      <c r="D480" s="6"/>
      <c r="E480" s="11"/>
      <c r="F480" s="7"/>
      <c r="G480" s="26"/>
      <c r="H480" s="7"/>
      <c r="I480" s="8"/>
      <c r="J480" s="199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spans="1:21" x14ac:dyDescent="0.2">
      <c r="A481" s="30"/>
      <c r="B481" s="25"/>
      <c r="C481" s="30"/>
      <c r="D481" s="6"/>
      <c r="E481" s="11"/>
      <c r="F481" s="7"/>
      <c r="G481" s="26"/>
      <c r="H481" s="7"/>
      <c r="I481" s="8"/>
      <c r="J481" s="199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spans="1:21" x14ac:dyDescent="0.2">
      <c r="A482" s="30"/>
      <c r="B482" s="25"/>
      <c r="C482" s="30"/>
      <c r="D482" s="6"/>
      <c r="E482" s="11"/>
      <c r="F482" s="7"/>
      <c r="G482" s="26"/>
      <c r="H482" s="7"/>
      <c r="I482" s="8"/>
      <c r="J482" s="199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spans="1:21" x14ac:dyDescent="0.2">
      <c r="A483" s="30"/>
      <c r="B483" s="25"/>
      <c r="C483" s="30"/>
      <c r="D483" s="6"/>
      <c r="E483" s="11"/>
      <c r="F483" s="7"/>
      <c r="G483" s="26"/>
      <c r="H483" s="7"/>
      <c r="I483" s="8"/>
      <c r="J483" s="199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spans="1:21" x14ac:dyDescent="0.2">
      <c r="A484" s="30"/>
      <c r="B484" s="25"/>
      <c r="C484" s="30"/>
      <c r="D484" s="6"/>
      <c r="E484" s="11"/>
      <c r="F484" s="7"/>
      <c r="G484" s="26"/>
      <c r="H484" s="7"/>
      <c r="I484" s="8"/>
      <c r="J484" s="199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spans="1:21" x14ac:dyDescent="0.2">
      <c r="A485" s="30"/>
      <c r="B485" s="25"/>
      <c r="C485" s="30"/>
      <c r="D485" s="6"/>
      <c r="E485" s="11"/>
      <c r="F485" s="7"/>
      <c r="G485" s="26"/>
      <c r="H485" s="7"/>
      <c r="I485" s="8"/>
      <c r="J485" s="199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spans="1:21" x14ac:dyDescent="0.2">
      <c r="A486" s="30"/>
      <c r="B486" s="25"/>
      <c r="C486" s="30"/>
      <c r="D486" s="6"/>
      <c r="E486" s="11"/>
      <c r="F486" s="7"/>
      <c r="G486" s="26"/>
      <c r="H486" s="7"/>
      <c r="I486" s="8"/>
      <c r="J486" s="199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spans="1:21" x14ac:dyDescent="0.2">
      <c r="A487" s="30"/>
      <c r="B487" s="25"/>
      <c r="C487" s="30"/>
      <c r="D487" s="6"/>
      <c r="E487" s="11"/>
      <c r="F487" s="7"/>
      <c r="G487" s="26"/>
      <c r="H487" s="7"/>
      <c r="I487" s="8"/>
      <c r="J487" s="199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spans="1:21" x14ac:dyDescent="0.2">
      <c r="A488" s="30"/>
      <c r="B488" s="25"/>
      <c r="C488" s="30"/>
      <c r="D488" s="6"/>
      <c r="E488" s="11"/>
      <c r="F488" s="7"/>
      <c r="G488" s="26"/>
      <c r="H488" s="7"/>
      <c r="I488" s="8"/>
      <c r="J488" s="199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spans="1:21" x14ac:dyDescent="0.2">
      <c r="A489" s="30"/>
      <c r="B489" s="25"/>
      <c r="C489" s="30"/>
      <c r="D489" s="6"/>
      <c r="E489" s="11"/>
      <c r="F489" s="7"/>
      <c r="G489" s="26"/>
      <c r="H489" s="7"/>
      <c r="I489" s="8"/>
      <c r="J489" s="199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spans="1:21" x14ac:dyDescent="0.2">
      <c r="A490" s="30"/>
      <c r="B490" s="25"/>
      <c r="C490" s="30"/>
      <c r="D490" s="6"/>
      <c r="E490" s="11"/>
      <c r="F490" s="7"/>
      <c r="G490" s="26"/>
      <c r="H490" s="7"/>
      <c r="I490" s="8"/>
      <c r="J490" s="199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spans="1:21" x14ac:dyDescent="0.2">
      <c r="A491" s="30"/>
      <c r="B491" s="25"/>
      <c r="C491" s="30"/>
      <c r="D491" s="6"/>
      <c r="E491" s="11"/>
      <c r="F491" s="7"/>
      <c r="G491" s="26"/>
      <c r="H491" s="7"/>
      <c r="I491" s="8"/>
      <c r="J491" s="199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spans="1:21" x14ac:dyDescent="0.2">
      <c r="A492" s="30"/>
      <c r="B492" s="25"/>
      <c r="C492" s="30"/>
      <c r="D492" s="6"/>
      <c r="E492" s="11"/>
      <c r="F492" s="7"/>
      <c r="G492" s="26"/>
      <c r="H492" s="7"/>
      <c r="I492" s="8"/>
      <c r="J492" s="199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spans="1:21" x14ac:dyDescent="0.2">
      <c r="A493" s="30"/>
      <c r="B493" s="25"/>
      <c r="C493" s="30"/>
      <c r="D493" s="6"/>
      <c r="E493" s="11"/>
      <c r="F493" s="7"/>
      <c r="G493" s="26"/>
      <c r="H493" s="7"/>
      <c r="I493" s="8"/>
      <c r="J493" s="199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spans="1:21" x14ac:dyDescent="0.2">
      <c r="A494" s="30"/>
      <c r="B494" s="25"/>
      <c r="C494" s="30"/>
      <c r="D494" s="6"/>
      <c r="E494" s="11"/>
      <c r="F494" s="7"/>
      <c r="G494" s="26"/>
      <c r="H494" s="7"/>
      <c r="I494" s="8"/>
      <c r="J494" s="199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spans="1:21" x14ac:dyDescent="0.2">
      <c r="A495" s="30"/>
      <c r="B495" s="25"/>
      <c r="C495" s="30"/>
      <c r="D495" s="6"/>
      <c r="E495" s="11"/>
      <c r="F495" s="7"/>
      <c r="G495" s="26"/>
      <c r="H495" s="7"/>
      <c r="I495" s="8"/>
      <c r="J495" s="199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spans="1:21" x14ac:dyDescent="0.2">
      <c r="A496" s="30"/>
      <c r="B496" s="25"/>
      <c r="C496" s="30"/>
      <c r="D496" s="6"/>
      <c r="E496" s="11"/>
      <c r="F496" s="7"/>
      <c r="G496" s="26"/>
      <c r="H496" s="7"/>
      <c r="I496" s="8"/>
      <c r="J496" s="199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spans="1:21" x14ac:dyDescent="0.2">
      <c r="A497" s="30"/>
      <c r="B497" s="25"/>
      <c r="C497" s="30"/>
      <c r="D497" s="6"/>
      <c r="E497" s="11"/>
      <c r="F497" s="7"/>
      <c r="G497" s="26"/>
      <c r="H497" s="7"/>
      <c r="I497" s="8"/>
      <c r="J497" s="199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spans="1:21" x14ac:dyDescent="0.2">
      <c r="A498" s="30"/>
      <c r="B498" s="25"/>
      <c r="C498" s="30"/>
      <c r="D498" s="6"/>
      <c r="E498" s="11"/>
      <c r="F498" s="7"/>
      <c r="G498" s="26"/>
      <c r="H498" s="7"/>
      <c r="I498" s="8"/>
      <c r="J498" s="199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spans="1:21" x14ac:dyDescent="0.2">
      <c r="A499" s="30"/>
      <c r="B499" s="25"/>
      <c r="C499" s="30"/>
      <c r="D499" s="6"/>
      <c r="E499" s="11"/>
      <c r="F499" s="7"/>
      <c r="G499" s="26"/>
      <c r="H499" s="7"/>
      <c r="I499" s="8"/>
      <c r="J499" s="199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spans="1:21" x14ac:dyDescent="0.2">
      <c r="A500" s="30"/>
      <c r="B500" s="25"/>
      <c r="C500" s="30"/>
      <c r="D500" s="6"/>
      <c r="E500" s="11"/>
      <c r="F500" s="7"/>
      <c r="G500" s="26"/>
      <c r="H500" s="7"/>
      <c r="I500" s="8"/>
      <c r="J500" s="199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spans="1:21" x14ac:dyDescent="0.2">
      <c r="A501" s="30"/>
      <c r="B501" s="25"/>
      <c r="C501" s="30"/>
      <c r="D501" s="6"/>
      <c r="E501" s="11"/>
      <c r="F501" s="7"/>
      <c r="G501" s="27"/>
      <c r="H501" s="7"/>
      <c r="I501" s="8"/>
      <c r="J501" s="199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spans="1:21" x14ac:dyDescent="0.2">
      <c r="A502" s="30"/>
      <c r="B502" s="25"/>
      <c r="C502" s="30"/>
      <c r="D502" s="6"/>
      <c r="E502" s="11"/>
      <c r="F502" s="7"/>
      <c r="G502" s="27"/>
      <c r="H502" s="7"/>
      <c r="I502" s="8"/>
      <c r="J502" s="199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spans="1:21" x14ac:dyDescent="0.2">
      <c r="A503" s="30"/>
      <c r="B503" s="25"/>
      <c r="C503" s="30"/>
      <c r="D503" s="6"/>
      <c r="E503" s="11"/>
      <c r="F503" s="7"/>
      <c r="G503" s="27"/>
      <c r="H503" s="7"/>
      <c r="I503" s="8"/>
      <c r="J503" s="199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spans="1:21" x14ac:dyDescent="0.2">
      <c r="A504" s="30"/>
      <c r="B504" s="25"/>
      <c r="C504" s="30"/>
      <c r="D504" s="6"/>
      <c r="E504" s="11"/>
      <c r="F504" s="7"/>
      <c r="G504" s="27"/>
      <c r="H504" s="7"/>
      <c r="I504" s="8"/>
      <c r="J504" s="199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spans="1:21" x14ac:dyDescent="0.2">
      <c r="A505" s="30"/>
      <c r="B505" s="25"/>
      <c r="C505" s="30"/>
      <c r="D505" s="6"/>
      <c r="E505" s="11"/>
      <c r="F505" s="7"/>
      <c r="G505" s="27"/>
      <c r="H505" s="7"/>
      <c r="I505" s="8"/>
      <c r="J505" s="199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spans="1:21" x14ac:dyDescent="0.2">
      <c r="A506" s="30"/>
      <c r="B506" s="25"/>
      <c r="C506" s="30"/>
      <c r="D506" s="6"/>
      <c r="E506" s="11"/>
      <c r="F506" s="7"/>
      <c r="G506" s="27"/>
      <c r="H506" s="7"/>
      <c r="I506" s="8"/>
      <c r="J506" s="199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spans="1:21" x14ac:dyDescent="0.2">
      <c r="A507" s="30"/>
      <c r="B507" s="25"/>
      <c r="C507" s="30"/>
      <c r="D507" s="6"/>
      <c r="E507" s="11"/>
      <c r="F507" s="7"/>
      <c r="G507" s="27"/>
      <c r="H507" s="7"/>
      <c r="I507" s="8"/>
      <c r="J507" s="199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spans="1:21" x14ac:dyDescent="0.2">
      <c r="A508" s="30"/>
      <c r="B508" s="25"/>
      <c r="C508" s="30"/>
      <c r="D508" s="6"/>
      <c r="E508" s="11"/>
      <c r="F508" s="7"/>
      <c r="G508" s="27"/>
      <c r="H508" s="7"/>
      <c r="I508" s="8"/>
      <c r="J508" s="199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spans="1:21" x14ac:dyDescent="0.2">
      <c r="A509" s="30"/>
      <c r="B509" s="25"/>
      <c r="C509" s="30"/>
      <c r="D509" s="6"/>
      <c r="E509" s="11"/>
      <c r="F509" s="7"/>
      <c r="G509" s="27"/>
      <c r="H509" s="7"/>
      <c r="I509" s="8"/>
      <c r="J509" s="199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spans="1:21" x14ac:dyDescent="0.2">
      <c r="A510" s="30"/>
      <c r="B510" s="25"/>
      <c r="C510" s="30"/>
      <c r="D510" s="6"/>
      <c r="E510" s="11"/>
      <c r="F510" s="7"/>
      <c r="G510" s="27"/>
      <c r="H510" s="7"/>
      <c r="I510" s="8"/>
      <c r="J510" s="199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spans="1:21" x14ac:dyDescent="0.2">
      <c r="A511" s="30"/>
      <c r="B511" s="25"/>
      <c r="C511" s="30"/>
      <c r="D511" s="6"/>
      <c r="E511" s="11"/>
      <c r="F511" s="7"/>
      <c r="G511" s="27"/>
      <c r="H511" s="7"/>
      <c r="I511" s="8"/>
      <c r="J511" s="199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spans="1:21" x14ac:dyDescent="0.2">
      <c r="A512" s="30"/>
      <c r="B512" s="25"/>
      <c r="C512" s="30"/>
      <c r="D512" s="6"/>
      <c r="E512" s="11"/>
      <c r="F512" s="7"/>
      <c r="G512" s="27"/>
      <c r="H512" s="7"/>
      <c r="I512" s="8"/>
      <c r="J512" s="199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spans="1:21" x14ac:dyDescent="0.2">
      <c r="A513" s="30"/>
      <c r="B513" s="25"/>
      <c r="C513" s="30"/>
      <c r="D513" s="6"/>
      <c r="E513" s="11"/>
      <c r="F513" s="7"/>
      <c r="G513" s="27"/>
      <c r="H513" s="7"/>
      <c r="I513" s="8"/>
      <c r="J513" s="199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spans="1:21" x14ac:dyDescent="0.2">
      <c r="A514" s="30"/>
      <c r="B514" s="25"/>
      <c r="C514" s="30"/>
      <c r="D514" s="6"/>
      <c r="E514" s="11"/>
      <c r="F514" s="7"/>
      <c r="G514" s="27"/>
      <c r="H514" s="7"/>
      <c r="I514" s="8"/>
      <c r="J514" s="199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spans="1:21" x14ac:dyDescent="0.2">
      <c r="A515" s="30"/>
      <c r="B515" s="25"/>
      <c r="C515" s="30"/>
      <c r="D515" s="6"/>
      <c r="E515" s="11"/>
      <c r="F515" s="7"/>
      <c r="G515" s="27"/>
      <c r="H515" s="7"/>
      <c r="I515" s="8"/>
      <c r="J515" s="199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spans="1:21" x14ac:dyDescent="0.2">
      <c r="A516" s="30"/>
      <c r="B516" s="25"/>
      <c r="C516" s="30"/>
      <c r="D516" s="6"/>
      <c r="E516" s="11"/>
      <c r="F516" s="7"/>
      <c r="G516" s="27"/>
      <c r="H516" s="7"/>
      <c r="I516" s="8"/>
      <c r="J516" s="199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spans="1:21" x14ac:dyDescent="0.2">
      <c r="A517" s="30"/>
      <c r="B517" s="25"/>
      <c r="C517" s="30"/>
      <c r="D517" s="6"/>
      <c r="E517" s="11"/>
      <c r="F517" s="7"/>
      <c r="G517" s="27"/>
      <c r="H517" s="7"/>
      <c r="I517" s="8"/>
      <c r="J517" s="199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spans="1:21" x14ac:dyDescent="0.2">
      <c r="A518" s="30"/>
      <c r="B518" s="25"/>
      <c r="C518" s="30"/>
      <c r="D518" s="6"/>
      <c r="E518" s="11"/>
      <c r="F518" s="7"/>
      <c r="G518" s="27"/>
      <c r="H518" s="7"/>
      <c r="I518" s="8"/>
      <c r="J518" s="199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spans="1:21" x14ac:dyDescent="0.2">
      <c r="A519" s="30"/>
      <c r="B519" s="25"/>
      <c r="C519" s="30"/>
      <c r="D519" s="6"/>
      <c r="E519" s="11"/>
      <c r="F519" s="7"/>
      <c r="G519" s="27"/>
      <c r="H519" s="7"/>
      <c r="I519" s="8"/>
      <c r="J519" s="199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spans="1:21" x14ac:dyDescent="0.2">
      <c r="A520" s="30"/>
      <c r="B520" s="25"/>
      <c r="C520" s="30"/>
      <c r="D520" s="6"/>
      <c r="E520" s="11"/>
      <c r="F520" s="7"/>
      <c r="G520" s="27"/>
      <c r="H520" s="7"/>
      <c r="I520" s="8"/>
      <c r="J520" s="199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spans="1:21" x14ac:dyDescent="0.2">
      <c r="A521" s="30"/>
      <c r="B521" s="25"/>
      <c r="C521" s="30"/>
      <c r="D521" s="6"/>
      <c r="E521" s="11"/>
      <c r="F521" s="7"/>
      <c r="G521" s="27"/>
      <c r="H521" s="7"/>
      <c r="I521" s="8"/>
      <c r="J521" s="199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spans="1:21" x14ac:dyDescent="0.2">
      <c r="A522" s="30"/>
      <c r="B522" s="25"/>
      <c r="C522" s="30"/>
      <c r="D522" s="6"/>
      <c r="E522" s="11"/>
      <c r="F522" s="7"/>
      <c r="G522" s="27"/>
      <c r="H522" s="7"/>
      <c r="I522" s="8"/>
      <c r="J522" s="199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spans="1:21" x14ac:dyDescent="0.2">
      <c r="A523" s="30"/>
      <c r="B523" s="25"/>
      <c r="C523" s="30"/>
      <c r="D523" s="6"/>
      <c r="E523" s="11"/>
      <c r="F523" s="7"/>
      <c r="G523" s="27"/>
      <c r="H523" s="7"/>
      <c r="I523" s="8"/>
      <c r="J523" s="199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spans="1:21" x14ac:dyDescent="0.2">
      <c r="A524" s="30"/>
      <c r="B524" s="25"/>
      <c r="C524" s="30"/>
      <c r="D524" s="6"/>
      <c r="E524" s="11"/>
      <c r="F524" s="7"/>
      <c r="G524" s="27"/>
      <c r="H524" s="7"/>
      <c r="I524" s="8"/>
      <c r="J524" s="199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spans="1:21" x14ac:dyDescent="0.2">
      <c r="A525" s="30"/>
      <c r="B525" s="25"/>
      <c r="C525" s="30"/>
      <c r="D525" s="6"/>
      <c r="E525" s="11"/>
      <c r="F525" s="7"/>
      <c r="G525" s="27"/>
      <c r="H525" s="7"/>
      <c r="I525" s="8"/>
      <c r="J525" s="199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spans="1:21" x14ac:dyDescent="0.2">
      <c r="A526" s="30"/>
      <c r="B526" s="25"/>
      <c r="C526" s="30"/>
      <c r="D526" s="6"/>
      <c r="E526" s="11"/>
      <c r="F526" s="7"/>
      <c r="G526" s="27"/>
      <c r="H526" s="7"/>
      <c r="I526" s="8"/>
      <c r="J526" s="199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spans="1:21" x14ac:dyDescent="0.2">
      <c r="A527" s="30"/>
      <c r="B527" s="25"/>
      <c r="C527" s="30"/>
      <c r="D527" s="6"/>
      <c r="E527" s="11"/>
      <c r="F527" s="7"/>
      <c r="G527" s="27"/>
      <c r="H527" s="7"/>
      <c r="I527" s="8"/>
      <c r="J527" s="199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spans="1:21" x14ac:dyDescent="0.2">
      <c r="A528" s="30"/>
      <c r="B528" s="25"/>
      <c r="C528" s="30"/>
      <c r="D528" s="6"/>
      <c r="E528" s="11"/>
      <c r="F528" s="7"/>
      <c r="G528" s="27"/>
      <c r="H528" s="7"/>
      <c r="I528" s="8"/>
      <c r="J528" s="199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spans="1:21" x14ac:dyDescent="0.2">
      <c r="A529" s="30"/>
      <c r="B529" s="25"/>
      <c r="C529" s="30"/>
      <c r="D529" s="6"/>
      <c r="E529" s="11"/>
      <c r="F529" s="7"/>
      <c r="G529" s="27"/>
      <c r="H529" s="7"/>
      <c r="I529" s="8"/>
      <c r="J529" s="199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spans="1:21" x14ac:dyDescent="0.2">
      <c r="A530" s="30"/>
      <c r="B530" s="25"/>
      <c r="C530" s="30"/>
      <c r="D530" s="6"/>
      <c r="E530" s="11"/>
      <c r="F530" s="7"/>
      <c r="G530" s="27"/>
      <c r="H530" s="7"/>
      <c r="I530" s="8"/>
      <c r="J530" s="199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spans="1:21" x14ac:dyDescent="0.2">
      <c r="A531" s="30"/>
      <c r="B531" s="25"/>
      <c r="C531" s="30"/>
      <c r="D531" s="6"/>
      <c r="E531" s="11"/>
      <c r="F531" s="7"/>
      <c r="G531" s="27"/>
      <c r="H531" s="7"/>
      <c r="I531" s="8"/>
      <c r="J531" s="199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spans="1:21" x14ac:dyDescent="0.2">
      <c r="A532" s="30"/>
      <c r="B532" s="25"/>
      <c r="C532" s="30"/>
      <c r="D532" s="6"/>
      <c r="E532" s="11"/>
      <c r="F532" s="7"/>
      <c r="G532" s="27"/>
      <c r="H532" s="7"/>
      <c r="I532" s="8"/>
      <c r="J532" s="199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spans="1:21" x14ac:dyDescent="0.2">
      <c r="A533" s="30"/>
      <c r="B533" s="25"/>
      <c r="C533" s="30"/>
      <c r="D533" s="6"/>
      <c r="E533" s="11"/>
      <c r="F533" s="7"/>
      <c r="G533" s="27"/>
      <c r="H533" s="7"/>
      <c r="I533" s="8"/>
      <c r="J533" s="199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spans="1:21" x14ac:dyDescent="0.2">
      <c r="A534" s="30"/>
      <c r="B534" s="25"/>
      <c r="C534" s="30"/>
      <c r="D534" s="6"/>
      <c r="E534" s="11"/>
      <c r="F534" s="7"/>
      <c r="G534" s="27"/>
      <c r="H534" s="7"/>
      <c r="I534" s="8"/>
      <c r="J534" s="199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spans="1:21" x14ac:dyDescent="0.2">
      <c r="A535" s="30"/>
      <c r="B535" s="25"/>
      <c r="C535" s="30"/>
      <c r="D535" s="6"/>
      <c r="E535" s="11"/>
      <c r="F535" s="7"/>
      <c r="G535" s="27"/>
      <c r="H535" s="7"/>
      <c r="I535" s="8"/>
      <c r="J535" s="199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spans="1:21" x14ac:dyDescent="0.2">
      <c r="A536" s="30"/>
      <c r="B536" s="25"/>
      <c r="C536" s="30"/>
      <c r="D536" s="6"/>
      <c r="E536" s="11"/>
      <c r="F536" s="7"/>
      <c r="G536" s="27"/>
      <c r="H536" s="7"/>
      <c r="I536" s="8"/>
      <c r="J536" s="199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spans="1:21" x14ac:dyDescent="0.2">
      <c r="A537" s="30"/>
      <c r="B537" s="25"/>
      <c r="C537" s="30"/>
      <c r="D537" s="6"/>
      <c r="E537" s="11"/>
      <c r="F537" s="7"/>
      <c r="G537" s="27"/>
      <c r="H537" s="7"/>
      <c r="I537" s="8"/>
      <c r="J537" s="199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spans="1:21" x14ac:dyDescent="0.2">
      <c r="A538" s="30"/>
      <c r="B538" s="25"/>
      <c r="C538" s="30"/>
      <c r="D538" s="6"/>
      <c r="E538" s="11"/>
      <c r="F538" s="7"/>
      <c r="G538" s="27"/>
      <c r="H538" s="7"/>
      <c r="I538" s="8"/>
      <c r="J538" s="199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spans="1:21" x14ac:dyDescent="0.2">
      <c r="A539" s="30"/>
      <c r="B539" s="25"/>
      <c r="C539" s="30"/>
      <c r="D539" s="6"/>
      <c r="E539" s="11"/>
      <c r="F539" s="7"/>
      <c r="G539" s="27"/>
      <c r="H539" s="7"/>
      <c r="I539" s="8"/>
      <c r="J539" s="199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spans="1:21" x14ac:dyDescent="0.2">
      <c r="A540" s="30"/>
      <c r="B540" s="25"/>
      <c r="C540" s="30"/>
      <c r="D540" s="6"/>
      <c r="E540" s="11"/>
      <c r="F540" s="7"/>
      <c r="G540" s="27"/>
      <c r="H540" s="7"/>
      <c r="I540" s="8"/>
      <c r="J540" s="199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spans="1:21" x14ac:dyDescent="0.2">
      <c r="A541" s="30"/>
      <c r="B541" s="25"/>
      <c r="C541" s="30"/>
      <c r="D541" s="6"/>
      <c r="E541" s="11"/>
      <c r="F541" s="7"/>
      <c r="G541" s="27"/>
      <c r="H541" s="7"/>
      <c r="I541" s="8"/>
      <c r="J541" s="199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spans="1:21" x14ac:dyDescent="0.2">
      <c r="A542" s="30"/>
      <c r="B542" s="25"/>
      <c r="C542" s="30"/>
      <c r="D542" s="6"/>
      <c r="E542" s="11"/>
      <c r="F542" s="7"/>
      <c r="G542" s="27"/>
      <c r="H542" s="7"/>
      <c r="I542" s="8"/>
      <c r="J542" s="199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spans="1:21" x14ac:dyDescent="0.2">
      <c r="A543" s="30"/>
      <c r="B543" s="25"/>
      <c r="C543" s="30"/>
      <c r="D543" s="6"/>
      <c r="E543" s="11"/>
      <c r="F543" s="7"/>
      <c r="G543" s="27"/>
      <c r="H543" s="7"/>
      <c r="I543" s="8"/>
      <c r="J543" s="199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spans="1:21" x14ac:dyDescent="0.2">
      <c r="A544" s="30"/>
      <c r="B544" s="25"/>
      <c r="C544" s="30"/>
      <c r="D544" s="6"/>
      <c r="E544" s="11"/>
      <c r="F544" s="7"/>
      <c r="G544" s="28"/>
      <c r="H544" s="7"/>
      <c r="I544" s="8"/>
      <c r="J544" s="199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spans="1:21" x14ac:dyDescent="0.2">
      <c r="A545" s="30"/>
      <c r="B545" s="25"/>
      <c r="C545" s="30"/>
      <c r="D545" s="6"/>
      <c r="E545" s="11"/>
      <c r="F545" s="7"/>
      <c r="G545" s="28"/>
      <c r="H545" s="7"/>
      <c r="I545" s="8"/>
      <c r="J545" s="199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spans="1:21" x14ac:dyDescent="0.2">
      <c r="A546" s="30"/>
      <c r="B546" s="25"/>
      <c r="C546" s="30"/>
      <c r="D546" s="6"/>
      <c r="E546" s="11"/>
      <c r="F546" s="7"/>
      <c r="G546" s="28"/>
      <c r="H546" s="7"/>
      <c r="I546" s="8"/>
      <c r="J546" s="199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spans="1:21" x14ac:dyDescent="0.2">
      <c r="A547" s="30"/>
      <c r="B547" s="25"/>
      <c r="C547" s="30"/>
      <c r="D547" s="6"/>
      <c r="E547" s="11"/>
      <c r="F547" s="7"/>
      <c r="G547" s="28"/>
      <c r="H547" s="7"/>
      <c r="I547" s="8"/>
      <c r="J547" s="199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spans="1:21" x14ac:dyDescent="0.2">
      <c r="A548" s="30"/>
      <c r="B548" s="25"/>
      <c r="C548" s="30"/>
      <c r="D548" s="6"/>
      <c r="E548" s="11"/>
      <c r="F548" s="7"/>
      <c r="G548" s="28"/>
      <c r="H548" s="7"/>
      <c r="I548" s="8"/>
      <c r="J548" s="199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spans="1:21" x14ac:dyDescent="0.2">
      <c r="A549" s="30"/>
      <c r="B549" s="25"/>
      <c r="C549" s="30"/>
      <c r="D549" s="6"/>
      <c r="E549" s="11"/>
      <c r="F549" s="7"/>
      <c r="G549" s="28"/>
      <c r="H549" s="7"/>
      <c r="I549" s="8"/>
      <c r="J549" s="199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</sheetData>
  <autoFilter ref="A13:AMK13"/>
  <printOptions horizontalCentered="1" verticalCentered="1"/>
  <pageMargins left="0.19685039370078741" right="3.937007874015748E-2" top="0.19685039370078741" bottom="0.19685039370078741" header="0.51181102362204722" footer="0.51181102362204722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2"/>
  <sheetViews>
    <sheetView workbookViewId="0">
      <selection activeCell="A28" sqref="A28"/>
    </sheetView>
  </sheetViews>
  <sheetFormatPr defaultColWidth="7.875" defaultRowHeight="10.5" x14ac:dyDescent="0.2"/>
  <cols>
    <col min="1" max="1" width="62.75" style="332" customWidth="1"/>
    <col min="2" max="2" width="5.25" style="334" customWidth="1"/>
    <col min="3" max="3" width="11.25" style="279" customWidth="1"/>
    <col min="4" max="4" width="11.5" style="279" customWidth="1"/>
    <col min="5" max="5" width="11.5" style="278" customWidth="1"/>
    <col min="6" max="8" width="11.5" style="279" customWidth="1"/>
    <col min="9" max="256" width="7.875" style="246"/>
    <col min="257" max="257" width="62.75" style="246" customWidth="1"/>
    <col min="258" max="258" width="5.25" style="246" customWidth="1"/>
    <col min="259" max="259" width="11.25" style="246" customWidth="1"/>
    <col min="260" max="264" width="11.5" style="246" customWidth="1"/>
    <col min="265" max="512" width="7.875" style="246"/>
    <col min="513" max="513" width="62.75" style="246" customWidth="1"/>
    <col min="514" max="514" width="5.25" style="246" customWidth="1"/>
    <col min="515" max="515" width="11.25" style="246" customWidth="1"/>
    <col min="516" max="520" width="11.5" style="246" customWidth="1"/>
    <col min="521" max="768" width="7.875" style="246"/>
    <col min="769" max="769" width="62.75" style="246" customWidth="1"/>
    <col min="770" max="770" width="5.25" style="246" customWidth="1"/>
    <col min="771" max="771" width="11.25" style="246" customWidth="1"/>
    <col min="772" max="776" width="11.5" style="246" customWidth="1"/>
    <col min="777" max="1024" width="7.875" style="246"/>
    <col min="1025" max="1025" width="62.75" style="246" customWidth="1"/>
    <col min="1026" max="1026" width="5.25" style="246" customWidth="1"/>
    <col min="1027" max="1027" width="11.25" style="246" customWidth="1"/>
    <col min="1028" max="1032" width="11.5" style="246" customWidth="1"/>
    <col min="1033" max="1280" width="7.875" style="246"/>
    <col min="1281" max="1281" width="62.75" style="246" customWidth="1"/>
    <col min="1282" max="1282" width="5.25" style="246" customWidth="1"/>
    <col min="1283" max="1283" width="11.25" style="246" customWidth="1"/>
    <col min="1284" max="1288" width="11.5" style="246" customWidth="1"/>
    <col min="1289" max="1536" width="7.875" style="246"/>
    <col min="1537" max="1537" width="62.75" style="246" customWidth="1"/>
    <col min="1538" max="1538" width="5.25" style="246" customWidth="1"/>
    <col min="1539" max="1539" width="11.25" style="246" customWidth="1"/>
    <col min="1540" max="1544" width="11.5" style="246" customWidth="1"/>
    <col min="1545" max="1792" width="7.875" style="246"/>
    <col min="1793" max="1793" width="62.75" style="246" customWidth="1"/>
    <col min="1794" max="1794" width="5.25" style="246" customWidth="1"/>
    <col min="1795" max="1795" width="11.25" style="246" customWidth="1"/>
    <col min="1796" max="1800" width="11.5" style="246" customWidth="1"/>
    <col min="1801" max="2048" width="7.875" style="246"/>
    <col min="2049" max="2049" width="62.75" style="246" customWidth="1"/>
    <col min="2050" max="2050" width="5.25" style="246" customWidth="1"/>
    <col min="2051" max="2051" width="11.25" style="246" customWidth="1"/>
    <col min="2052" max="2056" width="11.5" style="246" customWidth="1"/>
    <col min="2057" max="2304" width="7.875" style="246"/>
    <col min="2305" max="2305" width="62.75" style="246" customWidth="1"/>
    <col min="2306" max="2306" width="5.25" style="246" customWidth="1"/>
    <col min="2307" max="2307" width="11.25" style="246" customWidth="1"/>
    <col min="2308" max="2312" width="11.5" style="246" customWidth="1"/>
    <col min="2313" max="2560" width="7.875" style="246"/>
    <col min="2561" max="2561" width="62.75" style="246" customWidth="1"/>
    <col min="2562" max="2562" width="5.25" style="246" customWidth="1"/>
    <col min="2563" max="2563" width="11.25" style="246" customWidth="1"/>
    <col min="2564" max="2568" width="11.5" style="246" customWidth="1"/>
    <col min="2569" max="2816" width="7.875" style="246"/>
    <col min="2817" max="2817" width="62.75" style="246" customWidth="1"/>
    <col min="2818" max="2818" width="5.25" style="246" customWidth="1"/>
    <col min="2819" max="2819" width="11.25" style="246" customWidth="1"/>
    <col min="2820" max="2824" width="11.5" style="246" customWidth="1"/>
    <col min="2825" max="3072" width="7.875" style="246"/>
    <col min="3073" max="3073" width="62.75" style="246" customWidth="1"/>
    <col min="3074" max="3074" width="5.25" style="246" customWidth="1"/>
    <col min="3075" max="3075" width="11.25" style="246" customWidth="1"/>
    <col min="3076" max="3080" width="11.5" style="246" customWidth="1"/>
    <col min="3081" max="3328" width="7.875" style="246"/>
    <col min="3329" max="3329" width="62.75" style="246" customWidth="1"/>
    <col min="3330" max="3330" width="5.25" style="246" customWidth="1"/>
    <col min="3331" max="3331" width="11.25" style="246" customWidth="1"/>
    <col min="3332" max="3336" width="11.5" style="246" customWidth="1"/>
    <col min="3337" max="3584" width="7.875" style="246"/>
    <col min="3585" max="3585" width="62.75" style="246" customWidth="1"/>
    <col min="3586" max="3586" width="5.25" style="246" customWidth="1"/>
    <col min="3587" max="3587" width="11.25" style="246" customWidth="1"/>
    <col min="3588" max="3592" width="11.5" style="246" customWidth="1"/>
    <col min="3593" max="3840" width="7.875" style="246"/>
    <col min="3841" max="3841" width="62.75" style="246" customWidth="1"/>
    <col min="3842" max="3842" width="5.25" style="246" customWidth="1"/>
    <col min="3843" max="3843" width="11.25" style="246" customWidth="1"/>
    <col min="3844" max="3848" width="11.5" style="246" customWidth="1"/>
    <col min="3849" max="4096" width="7.875" style="246"/>
    <col min="4097" max="4097" width="62.75" style="246" customWidth="1"/>
    <col min="4098" max="4098" width="5.25" style="246" customWidth="1"/>
    <col min="4099" max="4099" width="11.25" style="246" customWidth="1"/>
    <col min="4100" max="4104" width="11.5" style="246" customWidth="1"/>
    <col min="4105" max="4352" width="7.875" style="246"/>
    <col min="4353" max="4353" width="62.75" style="246" customWidth="1"/>
    <col min="4354" max="4354" width="5.25" style="246" customWidth="1"/>
    <col min="4355" max="4355" width="11.25" style="246" customWidth="1"/>
    <col min="4356" max="4360" width="11.5" style="246" customWidth="1"/>
    <col min="4361" max="4608" width="7.875" style="246"/>
    <col min="4609" max="4609" width="62.75" style="246" customWidth="1"/>
    <col min="4610" max="4610" width="5.25" style="246" customWidth="1"/>
    <col min="4611" max="4611" width="11.25" style="246" customWidth="1"/>
    <col min="4612" max="4616" width="11.5" style="246" customWidth="1"/>
    <col min="4617" max="4864" width="7.875" style="246"/>
    <col min="4865" max="4865" width="62.75" style="246" customWidth="1"/>
    <col min="4866" max="4866" width="5.25" style="246" customWidth="1"/>
    <col min="4867" max="4867" width="11.25" style="246" customWidth="1"/>
    <col min="4868" max="4872" width="11.5" style="246" customWidth="1"/>
    <col min="4873" max="5120" width="7.875" style="246"/>
    <col min="5121" max="5121" width="62.75" style="246" customWidth="1"/>
    <col min="5122" max="5122" width="5.25" style="246" customWidth="1"/>
    <col min="5123" max="5123" width="11.25" style="246" customWidth="1"/>
    <col min="5124" max="5128" width="11.5" style="246" customWidth="1"/>
    <col min="5129" max="5376" width="7.875" style="246"/>
    <col min="5377" max="5377" width="62.75" style="246" customWidth="1"/>
    <col min="5378" max="5378" width="5.25" style="246" customWidth="1"/>
    <col min="5379" max="5379" width="11.25" style="246" customWidth="1"/>
    <col min="5380" max="5384" width="11.5" style="246" customWidth="1"/>
    <col min="5385" max="5632" width="7.875" style="246"/>
    <col min="5633" max="5633" width="62.75" style="246" customWidth="1"/>
    <col min="5634" max="5634" width="5.25" style="246" customWidth="1"/>
    <col min="5635" max="5635" width="11.25" style="246" customWidth="1"/>
    <col min="5636" max="5640" width="11.5" style="246" customWidth="1"/>
    <col min="5641" max="5888" width="7.875" style="246"/>
    <col min="5889" max="5889" width="62.75" style="246" customWidth="1"/>
    <col min="5890" max="5890" width="5.25" style="246" customWidth="1"/>
    <col min="5891" max="5891" width="11.25" style="246" customWidth="1"/>
    <col min="5892" max="5896" width="11.5" style="246" customWidth="1"/>
    <col min="5897" max="6144" width="7.875" style="246"/>
    <col min="6145" max="6145" width="62.75" style="246" customWidth="1"/>
    <col min="6146" max="6146" width="5.25" style="246" customWidth="1"/>
    <col min="6147" max="6147" width="11.25" style="246" customWidth="1"/>
    <col min="6148" max="6152" width="11.5" style="246" customWidth="1"/>
    <col min="6153" max="6400" width="7.875" style="246"/>
    <col min="6401" max="6401" width="62.75" style="246" customWidth="1"/>
    <col min="6402" max="6402" width="5.25" style="246" customWidth="1"/>
    <col min="6403" max="6403" width="11.25" style="246" customWidth="1"/>
    <col min="6404" max="6408" width="11.5" style="246" customWidth="1"/>
    <col min="6409" max="6656" width="7.875" style="246"/>
    <col min="6657" max="6657" width="62.75" style="246" customWidth="1"/>
    <col min="6658" max="6658" width="5.25" style="246" customWidth="1"/>
    <col min="6659" max="6659" width="11.25" style="246" customWidth="1"/>
    <col min="6660" max="6664" width="11.5" style="246" customWidth="1"/>
    <col min="6665" max="6912" width="7.875" style="246"/>
    <col min="6913" max="6913" width="62.75" style="246" customWidth="1"/>
    <col min="6914" max="6914" width="5.25" style="246" customWidth="1"/>
    <col min="6915" max="6915" width="11.25" style="246" customWidth="1"/>
    <col min="6916" max="6920" width="11.5" style="246" customWidth="1"/>
    <col min="6921" max="7168" width="7.875" style="246"/>
    <col min="7169" max="7169" width="62.75" style="246" customWidth="1"/>
    <col min="7170" max="7170" width="5.25" style="246" customWidth="1"/>
    <col min="7171" max="7171" width="11.25" style="246" customWidth="1"/>
    <col min="7172" max="7176" width="11.5" style="246" customWidth="1"/>
    <col min="7177" max="7424" width="7.875" style="246"/>
    <col min="7425" max="7425" width="62.75" style="246" customWidth="1"/>
    <col min="7426" max="7426" width="5.25" style="246" customWidth="1"/>
    <col min="7427" max="7427" width="11.25" style="246" customWidth="1"/>
    <col min="7428" max="7432" width="11.5" style="246" customWidth="1"/>
    <col min="7433" max="7680" width="7.875" style="246"/>
    <col min="7681" max="7681" width="62.75" style="246" customWidth="1"/>
    <col min="7682" max="7682" width="5.25" style="246" customWidth="1"/>
    <col min="7683" max="7683" width="11.25" style="246" customWidth="1"/>
    <col min="7684" max="7688" width="11.5" style="246" customWidth="1"/>
    <col min="7689" max="7936" width="7.875" style="246"/>
    <col min="7937" max="7937" width="62.75" style="246" customWidth="1"/>
    <col min="7938" max="7938" width="5.25" style="246" customWidth="1"/>
    <col min="7939" max="7939" width="11.25" style="246" customWidth="1"/>
    <col min="7940" max="7944" width="11.5" style="246" customWidth="1"/>
    <col min="7945" max="8192" width="7.875" style="246"/>
    <col min="8193" max="8193" width="62.75" style="246" customWidth="1"/>
    <col min="8194" max="8194" width="5.25" style="246" customWidth="1"/>
    <col min="8195" max="8195" width="11.25" style="246" customWidth="1"/>
    <col min="8196" max="8200" width="11.5" style="246" customWidth="1"/>
    <col min="8201" max="8448" width="7.875" style="246"/>
    <col min="8449" max="8449" width="62.75" style="246" customWidth="1"/>
    <col min="8450" max="8450" width="5.25" style="246" customWidth="1"/>
    <col min="8451" max="8451" width="11.25" style="246" customWidth="1"/>
    <col min="8452" max="8456" width="11.5" style="246" customWidth="1"/>
    <col min="8457" max="8704" width="7.875" style="246"/>
    <col min="8705" max="8705" width="62.75" style="246" customWidth="1"/>
    <col min="8706" max="8706" width="5.25" style="246" customWidth="1"/>
    <col min="8707" max="8707" width="11.25" style="246" customWidth="1"/>
    <col min="8708" max="8712" width="11.5" style="246" customWidth="1"/>
    <col min="8713" max="8960" width="7.875" style="246"/>
    <col min="8961" max="8961" width="62.75" style="246" customWidth="1"/>
    <col min="8962" max="8962" width="5.25" style="246" customWidth="1"/>
    <col min="8963" max="8963" width="11.25" style="246" customWidth="1"/>
    <col min="8964" max="8968" width="11.5" style="246" customWidth="1"/>
    <col min="8969" max="9216" width="7.875" style="246"/>
    <col min="9217" max="9217" width="62.75" style="246" customWidth="1"/>
    <col min="9218" max="9218" width="5.25" style="246" customWidth="1"/>
    <col min="9219" max="9219" width="11.25" style="246" customWidth="1"/>
    <col min="9220" max="9224" width="11.5" style="246" customWidth="1"/>
    <col min="9225" max="9472" width="7.875" style="246"/>
    <col min="9473" max="9473" width="62.75" style="246" customWidth="1"/>
    <col min="9474" max="9474" width="5.25" style="246" customWidth="1"/>
    <col min="9475" max="9475" width="11.25" style="246" customWidth="1"/>
    <col min="9476" max="9480" width="11.5" style="246" customWidth="1"/>
    <col min="9481" max="9728" width="7.875" style="246"/>
    <col min="9729" max="9729" width="62.75" style="246" customWidth="1"/>
    <col min="9730" max="9730" width="5.25" style="246" customWidth="1"/>
    <col min="9731" max="9731" width="11.25" style="246" customWidth="1"/>
    <col min="9732" max="9736" width="11.5" style="246" customWidth="1"/>
    <col min="9737" max="9984" width="7.875" style="246"/>
    <col min="9985" max="9985" width="62.75" style="246" customWidth="1"/>
    <col min="9986" max="9986" width="5.25" style="246" customWidth="1"/>
    <col min="9987" max="9987" width="11.25" style="246" customWidth="1"/>
    <col min="9988" max="9992" width="11.5" style="246" customWidth="1"/>
    <col min="9993" max="10240" width="7.875" style="246"/>
    <col min="10241" max="10241" width="62.75" style="246" customWidth="1"/>
    <col min="10242" max="10242" width="5.25" style="246" customWidth="1"/>
    <col min="10243" max="10243" width="11.25" style="246" customWidth="1"/>
    <col min="10244" max="10248" width="11.5" style="246" customWidth="1"/>
    <col min="10249" max="10496" width="7.875" style="246"/>
    <col min="10497" max="10497" width="62.75" style="246" customWidth="1"/>
    <col min="10498" max="10498" width="5.25" style="246" customWidth="1"/>
    <col min="10499" max="10499" width="11.25" style="246" customWidth="1"/>
    <col min="10500" max="10504" width="11.5" style="246" customWidth="1"/>
    <col min="10505" max="10752" width="7.875" style="246"/>
    <col min="10753" max="10753" width="62.75" style="246" customWidth="1"/>
    <col min="10754" max="10754" width="5.25" style="246" customWidth="1"/>
    <col min="10755" max="10755" width="11.25" style="246" customWidth="1"/>
    <col min="10756" max="10760" width="11.5" style="246" customWidth="1"/>
    <col min="10761" max="11008" width="7.875" style="246"/>
    <col min="11009" max="11009" width="62.75" style="246" customWidth="1"/>
    <col min="11010" max="11010" width="5.25" style="246" customWidth="1"/>
    <col min="11011" max="11011" width="11.25" style="246" customWidth="1"/>
    <col min="11012" max="11016" width="11.5" style="246" customWidth="1"/>
    <col min="11017" max="11264" width="7.875" style="246"/>
    <col min="11265" max="11265" width="62.75" style="246" customWidth="1"/>
    <col min="11266" max="11266" width="5.25" style="246" customWidth="1"/>
    <col min="11267" max="11267" width="11.25" style="246" customWidth="1"/>
    <col min="11268" max="11272" width="11.5" style="246" customWidth="1"/>
    <col min="11273" max="11520" width="7.875" style="246"/>
    <col min="11521" max="11521" width="62.75" style="246" customWidth="1"/>
    <col min="11522" max="11522" width="5.25" style="246" customWidth="1"/>
    <col min="11523" max="11523" width="11.25" style="246" customWidth="1"/>
    <col min="11524" max="11528" width="11.5" style="246" customWidth="1"/>
    <col min="11529" max="11776" width="7.875" style="246"/>
    <col min="11777" max="11777" width="62.75" style="246" customWidth="1"/>
    <col min="11778" max="11778" width="5.25" style="246" customWidth="1"/>
    <col min="11779" max="11779" width="11.25" style="246" customWidth="1"/>
    <col min="11780" max="11784" width="11.5" style="246" customWidth="1"/>
    <col min="11785" max="12032" width="7.875" style="246"/>
    <col min="12033" max="12033" width="62.75" style="246" customWidth="1"/>
    <col min="12034" max="12034" width="5.25" style="246" customWidth="1"/>
    <col min="12035" max="12035" width="11.25" style="246" customWidth="1"/>
    <col min="12036" max="12040" width="11.5" style="246" customWidth="1"/>
    <col min="12041" max="12288" width="7.875" style="246"/>
    <col min="12289" max="12289" width="62.75" style="246" customWidth="1"/>
    <col min="12290" max="12290" width="5.25" style="246" customWidth="1"/>
    <col min="12291" max="12291" width="11.25" style="246" customWidth="1"/>
    <col min="12292" max="12296" width="11.5" style="246" customWidth="1"/>
    <col min="12297" max="12544" width="7.875" style="246"/>
    <col min="12545" max="12545" width="62.75" style="246" customWidth="1"/>
    <col min="12546" max="12546" width="5.25" style="246" customWidth="1"/>
    <col min="12547" max="12547" width="11.25" style="246" customWidth="1"/>
    <col min="12548" max="12552" width="11.5" style="246" customWidth="1"/>
    <col min="12553" max="12800" width="7.875" style="246"/>
    <col min="12801" max="12801" width="62.75" style="246" customWidth="1"/>
    <col min="12802" max="12802" width="5.25" style="246" customWidth="1"/>
    <col min="12803" max="12803" width="11.25" style="246" customWidth="1"/>
    <col min="12804" max="12808" width="11.5" style="246" customWidth="1"/>
    <col min="12809" max="13056" width="7.875" style="246"/>
    <col min="13057" max="13057" width="62.75" style="246" customWidth="1"/>
    <col min="13058" max="13058" width="5.25" style="246" customWidth="1"/>
    <col min="13059" max="13059" width="11.25" style="246" customWidth="1"/>
    <col min="13060" max="13064" width="11.5" style="246" customWidth="1"/>
    <col min="13065" max="13312" width="7.875" style="246"/>
    <col min="13313" max="13313" width="62.75" style="246" customWidth="1"/>
    <col min="13314" max="13314" width="5.25" style="246" customWidth="1"/>
    <col min="13315" max="13315" width="11.25" style="246" customWidth="1"/>
    <col min="13316" max="13320" width="11.5" style="246" customWidth="1"/>
    <col min="13321" max="13568" width="7.875" style="246"/>
    <col min="13569" max="13569" width="62.75" style="246" customWidth="1"/>
    <col min="13570" max="13570" width="5.25" style="246" customWidth="1"/>
    <col min="13571" max="13571" width="11.25" style="246" customWidth="1"/>
    <col min="13572" max="13576" width="11.5" style="246" customWidth="1"/>
    <col min="13577" max="13824" width="7.875" style="246"/>
    <col min="13825" max="13825" width="62.75" style="246" customWidth="1"/>
    <col min="13826" max="13826" width="5.25" style="246" customWidth="1"/>
    <col min="13827" max="13827" width="11.25" style="246" customWidth="1"/>
    <col min="13828" max="13832" width="11.5" style="246" customWidth="1"/>
    <col min="13833" max="14080" width="7.875" style="246"/>
    <col min="14081" max="14081" width="62.75" style="246" customWidth="1"/>
    <col min="14082" max="14082" width="5.25" style="246" customWidth="1"/>
    <col min="14083" max="14083" width="11.25" style="246" customWidth="1"/>
    <col min="14084" max="14088" width="11.5" style="246" customWidth="1"/>
    <col min="14089" max="14336" width="7.875" style="246"/>
    <col min="14337" max="14337" width="62.75" style="246" customWidth="1"/>
    <col min="14338" max="14338" width="5.25" style="246" customWidth="1"/>
    <col min="14339" max="14339" width="11.25" style="246" customWidth="1"/>
    <col min="14340" max="14344" width="11.5" style="246" customWidth="1"/>
    <col min="14345" max="14592" width="7.875" style="246"/>
    <col min="14593" max="14593" width="62.75" style="246" customWidth="1"/>
    <col min="14594" max="14594" width="5.25" style="246" customWidth="1"/>
    <col min="14595" max="14595" width="11.25" style="246" customWidth="1"/>
    <col min="14596" max="14600" width="11.5" style="246" customWidth="1"/>
    <col min="14601" max="14848" width="7.875" style="246"/>
    <col min="14849" max="14849" width="62.75" style="246" customWidth="1"/>
    <col min="14850" max="14850" width="5.25" style="246" customWidth="1"/>
    <col min="14851" max="14851" width="11.25" style="246" customWidth="1"/>
    <col min="14852" max="14856" width="11.5" style="246" customWidth="1"/>
    <col min="14857" max="15104" width="7.875" style="246"/>
    <col min="15105" max="15105" width="62.75" style="246" customWidth="1"/>
    <col min="15106" max="15106" width="5.25" style="246" customWidth="1"/>
    <col min="15107" max="15107" width="11.25" style="246" customWidth="1"/>
    <col min="15108" max="15112" width="11.5" style="246" customWidth="1"/>
    <col min="15113" max="15360" width="7.875" style="246"/>
    <col min="15361" max="15361" width="62.75" style="246" customWidth="1"/>
    <col min="15362" max="15362" width="5.25" style="246" customWidth="1"/>
    <col min="15363" max="15363" width="11.25" style="246" customWidth="1"/>
    <col min="15364" max="15368" width="11.5" style="246" customWidth="1"/>
    <col min="15369" max="15616" width="7.875" style="246"/>
    <col min="15617" max="15617" width="62.75" style="246" customWidth="1"/>
    <col min="15618" max="15618" width="5.25" style="246" customWidth="1"/>
    <col min="15619" max="15619" width="11.25" style="246" customWidth="1"/>
    <col min="15620" max="15624" width="11.5" style="246" customWidth="1"/>
    <col min="15625" max="15872" width="7.875" style="246"/>
    <col min="15873" max="15873" width="62.75" style="246" customWidth="1"/>
    <col min="15874" max="15874" width="5.25" style="246" customWidth="1"/>
    <col min="15875" max="15875" width="11.25" style="246" customWidth="1"/>
    <col min="15876" max="15880" width="11.5" style="246" customWidth="1"/>
    <col min="15881" max="16128" width="7.875" style="246"/>
    <col min="16129" max="16129" width="62.75" style="246" customWidth="1"/>
    <col min="16130" max="16130" width="5.25" style="246" customWidth="1"/>
    <col min="16131" max="16131" width="11.25" style="246" customWidth="1"/>
    <col min="16132" max="16136" width="11.5" style="246" customWidth="1"/>
    <col min="16137" max="16384" width="7.875" style="246"/>
  </cols>
  <sheetData>
    <row r="1" spans="1:9" ht="26.25" thickBot="1" x14ac:dyDescent="0.25">
      <c r="A1" s="240" t="s">
        <v>374</v>
      </c>
      <c r="B1" s="241" t="s">
        <v>386</v>
      </c>
      <c r="C1" s="241" t="s">
        <v>390</v>
      </c>
      <c r="D1" s="242" t="s">
        <v>388</v>
      </c>
      <c r="E1" s="243" t="s">
        <v>391</v>
      </c>
      <c r="F1" s="243" t="s">
        <v>333</v>
      </c>
      <c r="G1" s="243" t="s">
        <v>341</v>
      </c>
      <c r="H1" s="244" t="s">
        <v>375</v>
      </c>
      <c r="I1" s="245"/>
    </row>
    <row r="2" spans="1:9" ht="18.75" customHeight="1" x14ac:dyDescent="0.2">
      <c r="A2" s="247"/>
      <c r="B2" s="248"/>
      <c r="C2" s="249"/>
      <c r="D2" s="250" t="s">
        <v>392</v>
      </c>
      <c r="E2" s="242" t="s">
        <v>392</v>
      </c>
      <c r="F2" s="242" t="s">
        <v>392</v>
      </c>
      <c r="G2" s="242" t="s">
        <v>392</v>
      </c>
      <c r="H2" s="251" t="s">
        <v>392</v>
      </c>
      <c r="I2" s="245"/>
    </row>
    <row r="3" spans="1:9" ht="12.75" x14ac:dyDescent="0.2">
      <c r="A3" s="247"/>
      <c r="B3" s="252"/>
      <c r="C3" s="253"/>
      <c r="D3" s="254"/>
      <c r="E3" s="255"/>
      <c r="F3" s="254"/>
      <c r="G3" s="254"/>
      <c r="H3" s="256"/>
      <c r="I3" s="245"/>
    </row>
    <row r="4" spans="1:9" ht="12.75" x14ac:dyDescent="0.2">
      <c r="A4" s="257" t="s">
        <v>393</v>
      </c>
      <c r="B4" s="258"/>
      <c r="C4" s="259"/>
      <c r="D4" s="260"/>
      <c r="E4" s="261"/>
      <c r="F4" s="260"/>
      <c r="G4" s="260"/>
      <c r="H4" s="262"/>
      <c r="I4" s="245"/>
    </row>
    <row r="5" spans="1:9" ht="12.75" x14ac:dyDescent="0.2">
      <c r="A5" s="263" t="s">
        <v>394</v>
      </c>
      <c r="B5" s="264" t="s">
        <v>46</v>
      </c>
      <c r="C5" s="265">
        <v>130</v>
      </c>
      <c r="D5" s="266"/>
      <c r="E5" s="266"/>
      <c r="F5" s="260">
        <f>C5*D5</f>
        <v>0</v>
      </c>
      <c r="G5" s="266"/>
      <c r="H5" s="262">
        <f>SUM(E5:G5)</f>
        <v>0</v>
      </c>
      <c r="I5" s="245"/>
    </row>
    <row r="6" spans="1:9" ht="12.75" x14ac:dyDescent="0.2">
      <c r="A6" s="263" t="s">
        <v>395</v>
      </c>
      <c r="B6" s="264" t="s">
        <v>46</v>
      </c>
      <c r="C6" s="265">
        <v>130</v>
      </c>
      <c r="D6" s="266"/>
      <c r="E6" s="266"/>
      <c r="F6" s="260">
        <f>C6*D6</f>
        <v>0</v>
      </c>
      <c r="G6" s="266"/>
      <c r="H6" s="262">
        <f>SUM(E6:G6)</f>
        <v>0</v>
      </c>
      <c r="I6" s="245"/>
    </row>
    <row r="7" spans="1:9" ht="12.75" x14ac:dyDescent="0.2">
      <c r="A7" s="263"/>
      <c r="B7" s="264"/>
      <c r="C7" s="265"/>
      <c r="D7" s="266"/>
      <c r="E7" s="266"/>
      <c r="F7" s="260"/>
      <c r="G7" s="266"/>
      <c r="H7" s="262"/>
      <c r="I7" s="245"/>
    </row>
    <row r="8" spans="1:9" ht="12.75" x14ac:dyDescent="0.2">
      <c r="A8" s="257" t="s">
        <v>396</v>
      </c>
      <c r="B8" s="258"/>
      <c r="C8" s="267"/>
      <c r="D8" s="260"/>
      <c r="E8" s="260"/>
      <c r="F8" s="260"/>
      <c r="G8" s="260"/>
      <c r="H8" s="262"/>
      <c r="I8" s="245"/>
    </row>
    <row r="9" spans="1:9" ht="12.75" x14ac:dyDescent="0.2">
      <c r="A9" s="268" t="s">
        <v>397</v>
      </c>
      <c r="B9" s="258" t="s">
        <v>72</v>
      </c>
      <c r="C9" s="259">
        <v>4</v>
      </c>
      <c r="D9" s="260"/>
      <c r="E9" s="261">
        <f>C9*D9</f>
        <v>0</v>
      </c>
      <c r="F9" s="260"/>
      <c r="G9" s="260"/>
      <c r="H9" s="262">
        <f t="shared" ref="H9:H25" si="0">SUM(E9:G9)</f>
        <v>0</v>
      </c>
      <c r="I9" s="245"/>
    </row>
    <row r="10" spans="1:9" ht="12.75" x14ac:dyDescent="0.2">
      <c r="A10" s="268" t="s">
        <v>398</v>
      </c>
      <c r="B10" s="258" t="s">
        <v>72</v>
      </c>
      <c r="C10" s="259">
        <v>4</v>
      </c>
      <c r="D10" s="260"/>
      <c r="E10" s="261"/>
      <c r="F10" s="260">
        <f>C10*D10</f>
        <v>0</v>
      </c>
      <c r="G10" s="260"/>
      <c r="H10" s="262">
        <f t="shared" si="0"/>
        <v>0</v>
      </c>
      <c r="I10" s="245"/>
    </row>
    <row r="11" spans="1:9" ht="12.75" x14ac:dyDescent="0.2">
      <c r="A11" s="269" t="s">
        <v>475</v>
      </c>
      <c r="B11" s="258" t="s">
        <v>72</v>
      </c>
      <c r="C11" s="259">
        <v>4</v>
      </c>
      <c r="D11" s="260"/>
      <c r="E11" s="261">
        <f>C11*D11</f>
        <v>0</v>
      </c>
      <c r="F11" s="260"/>
      <c r="G11" s="260"/>
      <c r="H11" s="262">
        <f t="shared" si="0"/>
        <v>0</v>
      </c>
      <c r="I11" s="245"/>
    </row>
    <row r="12" spans="1:9" ht="12.75" x14ac:dyDescent="0.2">
      <c r="A12" s="270" t="s">
        <v>399</v>
      </c>
      <c r="B12" s="258" t="s">
        <v>72</v>
      </c>
      <c r="C12" s="259">
        <v>4</v>
      </c>
      <c r="D12" s="260"/>
      <c r="E12" s="261"/>
      <c r="F12" s="260">
        <f>C12*D12</f>
        <v>0</v>
      </c>
      <c r="G12" s="260"/>
      <c r="H12" s="262">
        <f t="shared" si="0"/>
        <v>0</v>
      </c>
      <c r="I12" s="245"/>
    </row>
    <row r="13" spans="1:9" s="272" customFormat="1" ht="25.5" x14ac:dyDescent="0.2">
      <c r="A13" s="268" t="s">
        <v>400</v>
      </c>
      <c r="B13" s="258" t="s">
        <v>46</v>
      </c>
      <c r="C13" s="259">
        <v>80</v>
      </c>
      <c r="D13" s="260"/>
      <c r="E13" s="261"/>
      <c r="F13" s="260">
        <f>C13*D13</f>
        <v>0</v>
      </c>
      <c r="G13" s="260"/>
      <c r="H13" s="262">
        <f t="shared" si="0"/>
        <v>0</v>
      </c>
      <c r="I13" s="271"/>
    </row>
    <row r="14" spans="1:9" s="272" customFormat="1" ht="25.5" x14ac:dyDescent="0.2">
      <c r="A14" s="268" t="s">
        <v>401</v>
      </c>
      <c r="B14" s="258" t="s">
        <v>46</v>
      </c>
      <c r="C14" s="259">
        <v>35</v>
      </c>
      <c r="D14" s="260"/>
      <c r="E14" s="261"/>
      <c r="F14" s="260">
        <f>C14*D14</f>
        <v>0</v>
      </c>
      <c r="G14" s="260"/>
      <c r="H14" s="262">
        <f t="shared" si="0"/>
        <v>0</v>
      </c>
      <c r="I14" s="271"/>
    </row>
    <row r="15" spans="1:9" ht="12.75" x14ac:dyDescent="0.2">
      <c r="A15" s="268" t="s">
        <v>402</v>
      </c>
      <c r="B15" s="258" t="s">
        <v>46</v>
      </c>
      <c r="C15" s="259">
        <v>100</v>
      </c>
      <c r="D15" s="260"/>
      <c r="E15" s="273">
        <f>C15*D15</f>
        <v>0</v>
      </c>
      <c r="F15" s="260"/>
      <c r="G15" s="260"/>
      <c r="H15" s="262">
        <f>SUM(E15:G15)</f>
        <v>0</v>
      </c>
      <c r="I15" s="245"/>
    </row>
    <row r="16" spans="1:9" ht="12.75" x14ac:dyDescent="0.2">
      <c r="A16" s="268" t="s">
        <v>403</v>
      </c>
      <c r="B16" s="258" t="s">
        <v>46</v>
      </c>
      <c r="C16" s="259">
        <v>320</v>
      </c>
      <c r="D16" s="260"/>
      <c r="E16" s="261">
        <f>C16*D16</f>
        <v>0</v>
      </c>
      <c r="F16" s="260"/>
      <c r="G16" s="260"/>
      <c r="H16" s="262">
        <f t="shared" si="0"/>
        <v>0</v>
      </c>
      <c r="I16" s="245"/>
    </row>
    <row r="17" spans="1:9" ht="12.75" x14ac:dyDescent="0.2">
      <c r="A17" s="268" t="s">
        <v>404</v>
      </c>
      <c r="B17" s="258" t="s">
        <v>46</v>
      </c>
      <c r="C17" s="259">
        <v>320</v>
      </c>
      <c r="D17" s="260"/>
      <c r="E17" s="261"/>
      <c r="F17" s="260">
        <f>C17*D17</f>
        <v>0</v>
      </c>
      <c r="G17" s="260"/>
      <c r="H17" s="262">
        <f t="shared" si="0"/>
        <v>0</v>
      </c>
      <c r="I17" s="245"/>
    </row>
    <row r="18" spans="1:9" ht="12.75" x14ac:dyDescent="0.2">
      <c r="A18" s="268" t="s">
        <v>405</v>
      </c>
      <c r="B18" s="258" t="s">
        <v>46</v>
      </c>
      <c r="C18" s="259">
        <v>80</v>
      </c>
      <c r="D18" s="260"/>
      <c r="E18" s="261">
        <f>C18*D18</f>
        <v>0</v>
      </c>
      <c r="F18" s="260"/>
      <c r="G18" s="260"/>
      <c r="H18" s="262">
        <f t="shared" si="0"/>
        <v>0</v>
      </c>
      <c r="I18" s="245"/>
    </row>
    <row r="19" spans="1:9" ht="12.75" x14ac:dyDescent="0.2">
      <c r="A19" s="268" t="s">
        <v>406</v>
      </c>
      <c r="B19" s="258" t="s">
        <v>46</v>
      </c>
      <c r="C19" s="259">
        <v>80</v>
      </c>
      <c r="D19" s="260"/>
      <c r="E19" s="261"/>
      <c r="F19" s="260">
        <f>C19*D19</f>
        <v>0</v>
      </c>
      <c r="G19" s="260"/>
      <c r="H19" s="262">
        <f t="shared" si="0"/>
        <v>0</v>
      </c>
      <c r="I19" s="245"/>
    </row>
    <row r="20" spans="1:9" ht="25.5" x14ac:dyDescent="0.2">
      <c r="A20" s="268" t="s">
        <v>476</v>
      </c>
      <c r="B20" s="258" t="s">
        <v>46</v>
      </c>
      <c r="C20" s="259">
        <v>120</v>
      </c>
      <c r="D20" s="260"/>
      <c r="E20" s="261">
        <f>C20*D20</f>
        <v>0</v>
      </c>
      <c r="F20" s="260"/>
      <c r="G20" s="260"/>
      <c r="H20" s="262">
        <f t="shared" si="0"/>
        <v>0</v>
      </c>
      <c r="I20" s="245"/>
    </row>
    <row r="21" spans="1:9" ht="12.75" x14ac:dyDescent="0.2">
      <c r="A21" s="268" t="s">
        <v>407</v>
      </c>
      <c r="B21" s="258" t="s">
        <v>46</v>
      </c>
      <c r="C21" s="259">
        <v>120</v>
      </c>
      <c r="D21" s="260"/>
      <c r="E21" s="261"/>
      <c r="F21" s="260">
        <f>C21*D21</f>
        <v>0</v>
      </c>
      <c r="G21" s="260"/>
      <c r="H21" s="262">
        <f t="shared" si="0"/>
        <v>0</v>
      </c>
      <c r="I21" s="245"/>
    </row>
    <row r="22" spans="1:9" ht="12.75" x14ac:dyDescent="0.2">
      <c r="A22" s="268" t="s">
        <v>408</v>
      </c>
      <c r="B22" s="258" t="s">
        <v>46</v>
      </c>
      <c r="C22" s="259">
        <v>220</v>
      </c>
      <c r="D22" s="260"/>
      <c r="E22" s="261">
        <f>C22*D22</f>
        <v>0</v>
      </c>
      <c r="F22" s="260"/>
      <c r="G22" s="260"/>
      <c r="H22" s="262">
        <f t="shared" si="0"/>
        <v>0</v>
      </c>
      <c r="I22" s="245"/>
    </row>
    <row r="23" spans="1:9" ht="12.75" x14ac:dyDescent="0.2">
      <c r="A23" s="268" t="s">
        <v>409</v>
      </c>
      <c r="B23" s="258" t="s">
        <v>46</v>
      </c>
      <c r="C23" s="259">
        <v>115</v>
      </c>
      <c r="D23" s="260"/>
      <c r="E23" s="261"/>
      <c r="F23" s="260">
        <f>C23*D23</f>
        <v>0</v>
      </c>
      <c r="G23" s="260"/>
      <c r="H23" s="262">
        <f t="shared" si="0"/>
        <v>0</v>
      </c>
      <c r="I23" s="245"/>
    </row>
    <row r="24" spans="1:9" ht="12.75" x14ac:dyDescent="0.2">
      <c r="A24" s="268" t="s">
        <v>410</v>
      </c>
      <c r="B24" s="258" t="s">
        <v>46</v>
      </c>
      <c r="C24" s="259">
        <v>120</v>
      </c>
      <c r="D24" s="260"/>
      <c r="E24" s="261"/>
      <c r="F24" s="260">
        <f>C24*D24</f>
        <v>0</v>
      </c>
      <c r="G24" s="260"/>
      <c r="H24" s="262">
        <f t="shared" si="0"/>
        <v>0</v>
      </c>
      <c r="I24" s="245"/>
    </row>
    <row r="25" spans="1:9" ht="12.75" x14ac:dyDescent="0.2">
      <c r="A25" s="268" t="s">
        <v>411</v>
      </c>
      <c r="B25" s="258" t="s">
        <v>46</v>
      </c>
      <c r="C25" s="259">
        <v>100</v>
      </c>
      <c r="D25" s="260"/>
      <c r="E25" s="261"/>
      <c r="F25" s="260">
        <f>C25*D25</f>
        <v>0</v>
      </c>
      <c r="G25" s="260"/>
      <c r="H25" s="262">
        <f t="shared" si="0"/>
        <v>0</v>
      </c>
      <c r="I25" s="245"/>
    </row>
    <row r="26" spans="1:9" ht="12.75" x14ac:dyDescent="0.2">
      <c r="A26" s="268" t="s">
        <v>412</v>
      </c>
      <c r="B26" s="258" t="s">
        <v>72</v>
      </c>
      <c r="C26" s="259">
        <v>100</v>
      </c>
      <c r="D26" s="260"/>
      <c r="E26" s="261">
        <f>C26*D26</f>
        <v>0</v>
      </c>
      <c r="F26" s="260"/>
      <c r="G26" s="260"/>
      <c r="H26" s="262"/>
      <c r="I26" s="245"/>
    </row>
    <row r="27" spans="1:9" ht="12.75" x14ac:dyDescent="0.2">
      <c r="A27" s="268" t="s">
        <v>413</v>
      </c>
      <c r="B27" s="258" t="s">
        <v>72</v>
      </c>
      <c r="C27" s="259">
        <v>100</v>
      </c>
      <c r="D27" s="260"/>
      <c r="E27" s="261"/>
      <c r="F27" s="260">
        <f>C27*D27</f>
        <v>0</v>
      </c>
      <c r="G27" s="260"/>
      <c r="H27" s="262"/>
      <c r="I27" s="245"/>
    </row>
    <row r="28" spans="1:9" ht="12.75" x14ac:dyDescent="0.2">
      <c r="A28" s="268" t="s">
        <v>414</v>
      </c>
      <c r="B28" s="258" t="s">
        <v>72</v>
      </c>
      <c r="C28" s="259">
        <v>120</v>
      </c>
      <c r="D28" s="260"/>
      <c r="E28" s="261">
        <f>C28*D28</f>
        <v>0</v>
      </c>
      <c r="F28" s="260"/>
      <c r="G28" s="260"/>
      <c r="H28" s="262"/>
      <c r="I28" s="245"/>
    </row>
    <row r="29" spans="1:9" ht="12.75" x14ac:dyDescent="0.2">
      <c r="A29" s="268" t="s">
        <v>415</v>
      </c>
      <c r="B29" s="258" t="s">
        <v>72</v>
      </c>
      <c r="C29" s="259">
        <v>120</v>
      </c>
      <c r="D29" s="260"/>
      <c r="E29" s="261"/>
      <c r="F29" s="260">
        <f>C29*D29</f>
        <v>0</v>
      </c>
      <c r="G29" s="260"/>
      <c r="H29" s="262"/>
      <c r="I29" s="245"/>
    </row>
    <row r="30" spans="1:9" ht="12.75" x14ac:dyDescent="0.2">
      <c r="A30" s="268" t="s">
        <v>416</v>
      </c>
      <c r="B30" s="258" t="s">
        <v>72</v>
      </c>
      <c r="C30" s="259">
        <v>4</v>
      </c>
      <c r="D30" s="260"/>
      <c r="E30" s="261">
        <f>C30*D30</f>
        <v>0</v>
      </c>
      <c r="F30" s="260"/>
      <c r="G30" s="260"/>
      <c r="H30" s="262">
        <f>SUM(E30:G30)</f>
        <v>0</v>
      </c>
      <c r="I30" s="245"/>
    </row>
    <row r="31" spans="1:9" ht="25.5" x14ac:dyDescent="0.2">
      <c r="A31" s="268" t="s">
        <v>417</v>
      </c>
      <c r="B31" s="258" t="s">
        <v>72</v>
      </c>
      <c r="C31" s="259">
        <v>8</v>
      </c>
      <c r="D31" s="260"/>
      <c r="E31" s="261">
        <f>C31*D31</f>
        <v>0</v>
      </c>
      <c r="F31" s="260"/>
      <c r="G31" s="260"/>
      <c r="H31" s="262">
        <f>SUM(E31:G31)</f>
        <v>0</v>
      </c>
      <c r="I31" s="245"/>
    </row>
    <row r="32" spans="1:9" ht="38.25" x14ac:dyDescent="0.2">
      <c r="A32" s="274" t="s">
        <v>418</v>
      </c>
      <c r="B32" s="258" t="s">
        <v>72</v>
      </c>
      <c r="C32" s="259">
        <v>4</v>
      </c>
      <c r="D32" s="260"/>
      <c r="E32" s="261"/>
      <c r="F32" s="260">
        <f>C32*D32</f>
        <v>0</v>
      </c>
      <c r="G32" s="260"/>
      <c r="H32" s="262">
        <f>SUM(E32:G32)</f>
        <v>0</v>
      </c>
      <c r="I32" s="245"/>
    </row>
    <row r="33" spans="1:9" ht="12.75" x14ac:dyDescent="0.2">
      <c r="A33" s="274" t="s">
        <v>419</v>
      </c>
      <c r="B33" s="258" t="s">
        <v>72</v>
      </c>
      <c r="C33" s="259">
        <v>32</v>
      </c>
      <c r="D33" s="260"/>
      <c r="E33" s="261"/>
      <c r="F33" s="260">
        <f>C33*D33</f>
        <v>0</v>
      </c>
      <c r="G33" s="260"/>
      <c r="H33" s="262">
        <f>SUM(E33:G33)</f>
        <v>0</v>
      </c>
      <c r="I33" s="245"/>
    </row>
    <row r="34" spans="1:9" x14ac:dyDescent="0.2">
      <c r="A34" s="275"/>
      <c r="B34" s="276"/>
      <c r="C34" s="277"/>
      <c r="D34" s="277"/>
      <c r="H34" s="280"/>
      <c r="I34" s="245"/>
    </row>
    <row r="35" spans="1:9" ht="12.75" x14ac:dyDescent="0.2">
      <c r="A35" s="270" t="s">
        <v>420</v>
      </c>
      <c r="B35" s="258" t="s">
        <v>72</v>
      </c>
      <c r="C35" s="259">
        <v>2</v>
      </c>
      <c r="D35" s="260"/>
      <c r="E35" s="261">
        <f>C35*D35</f>
        <v>0</v>
      </c>
      <c r="F35" s="260"/>
      <c r="G35" s="260"/>
      <c r="H35" s="262"/>
      <c r="I35" s="245"/>
    </row>
    <row r="36" spans="1:9" ht="12.75" x14ac:dyDescent="0.2">
      <c r="A36" s="270" t="s">
        <v>421</v>
      </c>
      <c r="B36" s="258" t="s">
        <v>72</v>
      </c>
      <c r="C36" s="259">
        <v>2</v>
      </c>
      <c r="D36" s="260"/>
      <c r="E36" s="261"/>
      <c r="F36" s="260">
        <f>C36*D36</f>
        <v>0</v>
      </c>
      <c r="G36" s="260"/>
      <c r="H36" s="262"/>
      <c r="I36" s="245"/>
    </row>
    <row r="37" spans="1:9" ht="12.75" x14ac:dyDescent="0.2">
      <c r="A37" s="263" t="s">
        <v>422</v>
      </c>
      <c r="B37" s="281" t="s">
        <v>72</v>
      </c>
      <c r="C37" s="282">
        <v>2</v>
      </c>
      <c r="D37" s="283"/>
      <c r="E37" s="261">
        <f>C37*D37</f>
        <v>0</v>
      </c>
      <c r="F37" s="283"/>
      <c r="G37" s="283"/>
      <c r="H37" s="284"/>
      <c r="I37" s="245"/>
    </row>
    <row r="38" spans="1:9" ht="12.75" x14ac:dyDescent="0.2">
      <c r="A38" s="263" t="s">
        <v>423</v>
      </c>
      <c r="B38" s="281" t="s">
        <v>72</v>
      </c>
      <c r="C38" s="282">
        <v>4</v>
      </c>
      <c r="D38" s="283"/>
      <c r="E38" s="261">
        <f>C38*D38</f>
        <v>0</v>
      </c>
      <c r="F38" s="283"/>
      <c r="G38" s="283"/>
      <c r="H38" s="284"/>
      <c r="I38" s="245"/>
    </row>
    <row r="39" spans="1:9" ht="12.75" x14ac:dyDescent="0.2">
      <c r="A39" s="263"/>
      <c r="B39" s="281"/>
      <c r="C39" s="282"/>
      <c r="D39" s="283"/>
      <c r="E39" s="273"/>
      <c r="F39" s="283"/>
      <c r="G39" s="283"/>
      <c r="H39" s="284"/>
      <c r="I39" s="245"/>
    </row>
    <row r="40" spans="1:9" ht="12.75" x14ac:dyDescent="0.2">
      <c r="A40" s="263"/>
      <c r="B40" s="281"/>
      <c r="C40" s="282"/>
      <c r="D40" s="283"/>
      <c r="E40" s="273"/>
      <c r="F40" s="283"/>
      <c r="G40" s="283"/>
      <c r="H40" s="284"/>
      <c r="I40" s="245"/>
    </row>
    <row r="41" spans="1:9" ht="12.75" x14ac:dyDescent="0.2">
      <c r="A41" s="257" t="s">
        <v>424</v>
      </c>
      <c r="B41" s="258"/>
      <c r="C41" s="259"/>
      <c r="D41" s="260"/>
      <c r="E41" s="261"/>
      <c r="F41" s="260"/>
      <c r="G41" s="260"/>
      <c r="H41" s="262"/>
      <c r="I41" s="245"/>
    </row>
    <row r="42" spans="1:9" ht="14.25" customHeight="1" x14ac:dyDescent="0.2">
      <c r="A42" s="268"/>
      <c r="B42" s="258"/>
      <c r="C42" s="259"/>
      <c r="D42" s="260"/>
      <c r="E42" s="261"/>
      <c r="F42" s="260"/>
      <c r="G42" s="260"/>
      <c r="H42" s="262"/>
      <c r="I42" s="245"/>
    </row>
    <row r="43" spans="1:9" ht="12.75" x14ac:dyDescent="0.2">
      <c r="A43" s="268"/>
      <c r="B43" s="258"/>
      <c r="C43" s="259"/>
      <c r="D43" s="260"/>
      <c r="E43" s="261"/>
      <c r="F43" s="260"/>
      <c r="G43" s="260"/>
      <c r="H43" s="262"/>
      <c r="I43" s="245"/>
    </row>
    <row r="44" spans="1:9" ht="12.75" x14ac:dyDescent="0.2">
      <c r="A44" s="257" t="s">
        <v>425</v>
      </c>
      <c r="B44" s="258"/>
      <c r="C44" s="259"/>
      <c r="D44" s="260"/>
      <c r="E44" s="261"/>
      <c r="F44" s="260"/>
      <c r="G44" s="260"/>
      <c r="H44" s="262"/>
      <c r="I44" s="245"/>
    </row>
    <row r="45" spans="1:9" ht="12.75" hidden="1" x14ac:dyDescent="0.2">
      <c r="A45" s="263"/>
      <c r="B45" s="264"/>
      <c r="C45" s="285"/>
      <c r="D45" s="266"/>
      <c r="E45" s="286"/>
      <c r="F45" s="266"/>
      <c r="G45" s="266"/>
      <c r="H45" s="287"/>
      <c r="I45" s="245"/>
    </row>
    <row r="46" spans="1:9" ht="12.75" hidden="1" x14ac:dyDescent="0.2">
      <c r="A46" s="288" t="s">
        <v>426</v>
      </c>
      <c r="B46" s="264"/>
      <c r="C46" s="285"/>
      <c r="D46" s="266"/>
      <c r="E46" s="273"/>
      <c r="F46" s="266"/>
      <c r="G46" s="266"/>
      <c r="H46" s="287"/>
      <c r="I46" s="245"/>
    </row>
    <row r="47" spans="1:9" ht="12.75" hidden="1" x14ac:dyDescent="0.2">
      <c r="A47" s="268"/>
      <c r="B47" s="258"/>
      <c r="C47" s="259"/>
      <c r="D47" s="260"/>
      <c r="F47" s="260"/>
      <c r="G47" s="260"/>
      <c r="H47" s="262"/>
      <c r="I47" s="245"/>
    </row>
    <row r="48" spans="1:9" ht="12.75" x14ac:dyDescent="0.2">
      <c r="A48" s="257" t="s">
        <v>427</v>
      </c>
      <c r="B48" s="258"/>
      <c r="C48" s="259"/>
      <c r="D48" s="260"/>
      <c r="E48" s="261"/>
      <c r="F48" s="260"/>
      <c r="G48" s="260"/>
      <c r="H48" s="262"/>
      <c r="I48" s="245"/>
    </row>
    <row r="49" spans="1:9" ht="12.75" x14ac:dyDescent="0.2">
      <c r="A49" s="268" t="s">
        <v>428</v>
      </c>
      <c r="B49" s="258" t="s">
        <v>332</v>
      </c>
      <c r="C49" s="259">
        <v>1.5</v>
      </c>
      <c r="D49" s="260"/>
      <c r="E49" s="261"/>
      <c r="F49" s="260"/>
      <c r="G49" s="260">
        <f t="shared" ref="G49:G56" si="1">C49*D49</f>
        <v>0</v>
      </c>
      <c r="H49" s="262">
        <f t="shared" ref="H49:H56" si="2">SUM(E49:G49)</f>
        <v>0</v>
      </c>
      <c r="I49" s="245"/>
    </row>
    <row r="50" spans="1:9" ht="12.75" x14ac:dyDescent="0.2">
      <c r="A50" s="268" t="s">
        <v>429</v>
      </c>
      <c r="B50" s="258" t="s">
        <v>332</v>
      </c>
      <c r="C50" s="259">
        <v>3</v>
      </c>
      <c r="D50" s="260"/>
      <c r="E50" s="261"/>
      <c r="F50" s="260"/>
      <c r="G50" s="260">
        <f>C50*D50</f>
        <v>0</v>
      </c>
      <c r="H50" s="262">
        <f t="shared" si="2"/>
        <v>0</v>
      </c>
      <c r="I50" s="245"/>
    </row>
    <row r="51" spans="1:9" ht="12.75" x14ac:dyDescent="0.2">
      <c r="A51" s="268" t="s">
        <v>430</v>
      </c>
      <c r="B51" s="258" t="s">
        <v>30</v>
      </c>
      <c r="C51" s="259">
        <v>4</v>
      </c>
      <c r="D51" s="260"/>
      <c r="E51" s="261"/>
      <c r="F51" s="260"/>
      <c r="G51" s="260">
        <f t="shared" si="1"/>
        <v>0</v>
      </c>
      <c r="H51" s="262">
        <f t="shared" si="2"/>
        <v>0</v>
      </c>
      <c r="I51" s="245"/>
    </row>
    <row r="52" spans="1:9" ht="12.75" x14ac:dyDescent="0.2">
      <c r="A52" s="263" t="s">
        <v>431</v>
      </c>
      <c r="B52" s="281" t="s">
        <v>4</v>
      </c>
      <c r="C52" s="282">
        <v>1</v>
      </c>
      <c r="D52" s="283"/>
      <c r="E52" s="273"/>
      <c r="F52" s="283"/>
      <c r="G52" s="260">
        <f t="shared" si="1"/>
        <v>0</v>
      </c>
      <c r="H52" s="262">
        <f t="shared" si="2"/>
        <v>0</v>
      </c>
      <c r="I52" s="245"/>
    </row>
    <row r="53" spans="1:9" ht="12.75" x14ac:dyDescent="0.2">
      <c r="A53" s="268" t="s">
        <v>432</v>
      </c>
      <c r="B53" s="258" t="s">
        <v>72</v>
      </c>
      <c r="C53" s="259">
        <v>1</v>
      </c>
      <c r="D53" s="260"/>
      <c r="E53" s="261"/>
      <c r="F53" s="260"/>
      <c r="G53" s="260">
        <f t="shared" si="1"/>
        <v>0</v>
      </c>
      <c r="H53" s="262">
        <f t="shared" si="2"/>
        <v>0</v>
      </c>
      <c r="I53" s="245"/>
    </row>
    <row r="54" spans="1:9" ht="12.75" x14ac:dyDescent="0.2">
      <c r="A54" s="268" t="s">
        <v>433</v>
      </c>
      <c r="B54" s="258" t="s">
        <v>434</v>
      </c>
      <c r="C54" s="259">
        <v>500</v>
      </c>
      <c r="D54" s="260"/>
      <c r="E54" s="261"/>
      <c r="F54" s="260"/>
      <c r="G54" s="260">
        <f t="shared" si="1"/>
        <v>0</v>
      </c>
      <c r="H54" s="262">
        <f t="shared" si="2"/>
        <v>0</v>
      </c>
      <c r="I54" s="245"/>
    </row>
    <row r="55" spans="1:9" ht="12.75" x14ac:dyDescent="0.2">
      <c r="A55" s="268" t="s">
        <v>435</v>
      </c>
      <c r="B55" s="289" t="s">
        <v>436</v>
      </c>
      <c r="C55" s="259">
        <v>24</v>
      </c>
      <c r="D55" s="260"/>
      <c r="E55" s="261"/>
      <c r="F55" s="260"/>
      <c r="G55" s="260">
        <f t="shared" si="1"/>
        <v>0</v>
      </c>
      <c r="H55" s="262">
        <f t="shared" si="2"/>
        <v>0</v>
      </c>
      <c r="I55" s="245"/>
    </row>
    <row r="56" spans="1:9" ht="12.75" x14ac:dyDescent="0.2">
      <c r="A56" s="268" t="s">
        <v>437</v>
      </c>
      <c r="B56" s="258" t="s">
        <v>434</v>
      </c>
      <c r="C56" s="259">
        <v>500</v>
      </c>
      <c r="D56" s="260"/>
      <c r="E56" s="261"/>
      <c r="F56" s="260"/>
      <c r="G56" s="260">
        <f t="shared" si="1"/>
        <v>0</v>
      </c>
      <c r="H56" s="262">
        <f t="shared" si="2"/>
        <v>0</v>
      </c>
      <c r="I56" s="245"/>
    </row>
    <row r="57" spans="1:9" ht="12.75" x14ac:dyDescent="0.2">
      <c r="A57" s="290"/>
      <c r="B57" s="291"/>
      <c r="C57" s="292"/>
      <c r="D57" s="293"/>
      <c r="E57" s="261"/>
      <c r="F57" s="294"/>
      <c r="G57" s="294"/>
      <c r="H57" s="262"/>
      <c r="I57" s="245"/>
    </row>
    <row r="58" spans="1:9" ht="12.75" x14ac:dyDescent="0.2">
      <c r="A58" s="295" t="s">
        <v>438</v>
      </c>
      <c r="B58" s="296"/>
      <c r="C58" s="297"/>
      <c r="D58" s="297"/>
      <c r="E58" s="298">
        <f>SUM(E3:E48)</f>
        <v>0</v>
      </c>
      <c r="F58" s="299">
        <f>SUM(F3:F48)</f>
        <v>0</v>
      </c>
      <c r="G58" s="299">
        <f>SUM(G48:G57)</f>
        <v>0</v>
      </c>
      <c r="H58" s="300">
        <f>SUBTOTAL(9,H3:H57)</f>
        <v>0</v>
      </c>
      <c r="I58" s="245"/>
    </row>
    <row r="59" spans="1:9" ht="12.75" x14ac:dyDescent="0.2">
      <c r="A59" s="301" t="s">
        <v>439</v>
      </c>
      <c r="B59" s="302"/>
      <c r="C59" s="303"/>
      <c r="D59" s="303"/>
      <c r="E59" s="298"/>
      <c r="F59" s="299"/>
      <c r="G59" s="299"/>
      <c r="H59" s="304">
        <f>ROUND(H58*0.2,2)</f>
        <v>0</v>
      </c>
      <c r="I59" s="245"/>
    </row>
    <row r="60" spans="1:9" ht="13.5" thickBot="1" x14ac:dyDescent="0.25">
      <c r="A60" s="305" t="s">
        <v>440</v>
      </c>
      <c r="B60" s="306"/>
      <c r="C60" s="307"/>
      <c r="D60" s="307"/>
      <c r="E60" s="308"/>
      <c r="F60" s="309"/>
      <c r="G60" s="309"/>
      <c r="H60" s="310">
        <f>H58+H59</f>
        <v>0</v>
      </c>
      <c r="I60" s="245"/>
    </row>
    <row r="61" spans="1:9" ht="12.75" x14ac:dyDescent="0.2">
      <c r="A61" s="311"/>
      <c r="B61" s="312"/>
      <c r="C61" s="313"/>
      <c r="D61" s="313"/>
      <c r="E61" s="314"/>
      <c r="F61" s="313"/>
      <c r="G61" s="313"/>
      <c r="H61" s="315"/>
    </row>
    <row r="62" spans="1:9" ht="12.75" x14ac:dyDescent="0.2">
      <c r="A62" s="246"/>
      <c r="B62" s="246"/>
      <c r="C62" s="246"/>
      <c r="D62" s="246"/>
      <c r="E62" s="246"/>
      <c r="F62" s="246"/>
      <c r="G62" s="299"/>
      <c r="H62" s="316"/>
    </row>
    <row r="63" spans="1:9" ht="12.75" x14ac:dyDescent="0.2">
      <c r="A63" s="246"/>
      <c r="B63" s="246"/>
      <c r="C63" s="246"/>
      <c r="D63" s="246"/>
      <c r="E63" s="246"/>
      <c r="F63" s="246"/>
      <c r="G63" s="317"/>
      <c r="H63" s="317"/>
    </row>
    <row r="64" spans="1:9" ht="12.75" x14ac:dyDescent="0.2">
      <c r="A64" s="246"/>
      <c r="B64" s="246"/>
      <c r="C64" s="246"/>
      <c r="D64" s="246"/>
      <c r="E64" s="246"/>
      <c r="F64" s="246"/>
      <c r="G64" s="317"/>
      <c r="H64" s="317"/>
    </row>
    <row r="65" spans="1:8" ht="12.75" x14ac:dyDescent="0.2">
      <c r="A65" s="246"/>
      <c r="B65" s="246"/>
      <c r="C65" s="246"/>
      <c r="D65" s="246"/>
      <c r="E65" s="246"/>
      <c r="F65" s="246"/>
      <c r="G65" s="317"/>
      <c r="H65" s="317"/>
    </row>
    <row r="66" spans="1:8" ht="12.75" x14ac:dyDescent="0.2">
      <c r="A66" s="246"/>
      <c r="B66" s="246"/>
      <c r="C66" s="246"/>
      <c r="D66" s="246"/>
      <c r="E66" s="246"/>
      <c r="F66" s="246"/>
      <c r="G66" s="317"/>
      <c r="H66" s="317"/>
    </row>
    <row r="67" spans="1:8" ht="12.75" x14ac:dyDescent="0.2">
      <c r="A67" s="246"/>
      <c r="B67" s="246"/>
      <c r="C67" s="246"/>
      <c r="D67" s="246"/>
      <c r="E67" s="246"/>
      <c r="F67" s="246"/>
      <c r="G67" s="317"/>
      <c r="H67" s="317"/>
    </row>
    <row r="68" spans="1:8" ht="12.75" x14ac:dyDescent="0.2">
      <c r="A68" s="318"/>
      <c r="B68" s="319"/>
      <c r="C68" s="320"/>
      <c r="D68" s="317"/>
      <c r="E68" s="317"/>
      <c r="F68" s="317"/>
      <c r="G68" s="317"/>
      <c r="H68" s="317"/>
    </row>
    <row r="69" spans="1:8" ht="12.75" x14ac:dyDescent="0.2">
      <c r="A69" s="318"/>
      <c r="B69" s="319"/>
      <c r="C69" s="320"/>
      <c r="D69" s="317"/>
      <c r="E69" s="317"/>
      <c r="F69" s="317"/>
      <c r="G69" s="317"/>
      <c r="H69" s="317"/>
    </row>
    <row r="70" spans="1:8" ht="12.75" x14ac:dyDescent="0.2">
      <c r="A70" s="318"/>
      <c r="B70" s="319"/>
      <c r="C70" s="320"/>
      <c r="D70" s="317"/>
      <c r="E70" s="317"/>
      <c r="F70" s="317"/>
      <c r="G70" s="317"/>
      <c r="H70" s="317"/>
    </row>
    <row r="71" spans="1:8" ht="12.75" x14ac:dyDescent="0.2">
      <c r="A71" s="318"/>
      <c r="B71" s="319"/>
      <c r="C71" s="320"/>
      <c r="D71" s="317"/>
      <c r="E71" s="317"/>
      <c r="F71" s="317"/>
      <c r="G71" s="317"/>
      <c r="H71" s="317"/>
    </row>
    <row r="72" spans="1:8" ht="12.75" x14ac:dyDescent="0.2">
      <c r="A72" s="321"/>
      <c r="B72" s="281"/>
      <c r="C72" s="282"/>
      <c r="D72" s="283"/>
      <c r="E72" s="283"/>
      <c r="F72" s="317"/>
      <c r="G72" s="283"/>
      <c r="H72" s="317"/>
    </row>
    <row r="73" spans="1:8" ht="12.75" x14ac:dyDescent="0.2">
      <c r="A73" s="318"/>
      <c r="B73" s="319"/>
      <c r="C73" s="320"/>
      <c r="D73" s="317"/>
      <c r="E73" s="317"/>
      <c r="F73" s="317"/>
      <c r="G73" s="317"/>
      <c r="H73" s="317"/>
    </row>
    <row r="74" spans="1:8" ht="12.75" x14ac:dyDescent="0.2">
      <c r="A74" s="318"/>
      <c r="B74" s="319"/>
      <c r="C74" s="320"/>
      <c r="D74" s="317"/>
      <c r="E74" s="317"/>
      <c r="F74" s="317"/>
      <c r="G74" s="317"/>
      <c r="H74" s="317"/>
    </row>
    <row r="75" spans="1:8" ht="12.75" x14ac:dyDescent="0.2">
      <c r="A75" s="318"/>
      <c r="B75" s="319"/>
      <c r="C75" s="320"/>
      <c r="D75" s="317"/>
      <c r="E75" s="317"/>
      <c r="F75" s="317"/>
      <c r="G75" s="317"/>
      <c r="H75" s="317"/>
    </row>
    <row r="76" spans="1:8" ht="12.75" x14ac:dyDescent="0.2">
      <c r="A76" s="318"/>
      <c r="B76" s="319"/>
      <c r="C76" s="320"/>
      <c r="D76" s="317"/>
      <c r="E76" s="317"/>
      <c r="F76" s="317"/>
      <c r="G76" s="317"/>
      <c r="H76" s="317"/>
    </row>
    <row r="77" spans="1:8" ht="12.75" x14ac:dyDescent="0.2">
      <c r="A77" s="318"/>
      <c r="B77" s="319"/>
      <c r="C77" s="320"/>
      <c r="D77" s="317"/>
      <c r="E77" s="317"/>
      <c r="F77" s="317"/>
      <c r="G77" s="317"/>
      <c r="H77" s="317"/>
    </row>
    <row r="78" spans="1:8" ht="12.75" x14ac:dyDescent="0.2">
      <c r="A78" s="318"/>
      <c r="B78" s="319"/>
      <c r="C78" s="320"/>
      <c r="D78" s="317"/>
      <c r="E78" s="317"/>
      <c r="F78" s="317"/>
      <c r="G78" s="317"/>
      <c r="H78" s="317"/>
    </row>
    <row r="79" spans="1:8" ht="12.75" x14ac:dyDescent="0.2">
      <c r="A79" s="281"/>
      <c r="B79" s="281"/>
      <c r="C79" s="282"/>
      <c r="D79" s="283"/>
      <c r="E79" s="283"/>
      <c r="F79" s="283"/>
      <c r="G79" s="283"/>
      <c r="H79" s="317"/>
    </row>
    <row r="80" spans="1:8" ht="12.75" x14ac:dyDescent="0.2">
      <c r="A80" s="281"/>
      <c r="B80" s="281"/>
      <c r="C80" s="282"/>
      <c r="D80" s="283"/>
      <c r="E80" s="283"/>
      <c r="F80" s="317"/>
      <c r="G80" s="283"/>
      <c r="H80" s="317"/>
    </row>
    <row r="81" spans="1:8" ht="12.75" x14ac:dyDescent="0.2">
      <c r="A81" s="281"/>
      <c r="B81" s="281"/>
      <c r="C81" s="282"/>
      <c r="D81" s="283"/>
      <c r="E81" s="283"/>
      <c r="F81" s="317"/>
      <c r="G81" s="283"/>
      <c r="H81" s="317"/>
    </row>
    <row r="82" spans="1:8" ht="12.75" x14ac:dyDescent="0.2">
      <c r="A82" s="281"/>
      <c r="B82" s="319"/>
      <c r="C82" s="320"/>
      <c r="D82" s="317"/>
      <c r="E82" s="317"/>
      <c r="F82" s="317"/>
      <c r="G82" s="317"/>
      <c r="H82" s="317"/>
    </row>
    <row r="83" spans="1:8" ht="12.75" x14ac:dyDescent="0.2">
      <c r="A83" s="319"/>
      <c r="B83" s="319"/>
      <c r="C83" s="320"/>
      <c r="D83" s="317"/>
      <c r="E83" s="317"/>
      <c r="F83" s="317"/>
      <c r="G83" s="317"/>
      <c r="H83" s="317"/>
    </row>
    <row r="84" spans="1:8" ht="12.75" x14ac:dyDescent="0.2">
      <c r="A84" s="322"/>
      <c r="B84" s="281"/>
      <c r="C84" s="282"/>
      <c r="D84" s="283"/>
      <c r="E84" s="317"/>
      <c r="F84" s="283"/>
      <c r="G84" s="283"/>
      <c r="H84" s="317"/>
    </row>
    <row r="85" spans="1:8" ht="12.75" x14ac:dyDescent="0.2">
      <c r="A85" s="322"/>
      <c r="B85" s="281"/>
      <c r="C85" s="282"/>
      <c r="D85" s="283"/>
      <c r="E85" s="283"/>
      <c r="F85" s="283"/>
      <c r="G85" s="283"/>
      <c r="H85" s="317"/>
    </row>
    <row r="86" spans="1:8" ht="12.75" x14ac:dyDescent="0.2">
      <c r="A86" s="281"/>
      <c r="B86" s="281"/>
      <c r="C86" s="282"/>
      <c r="D86" s="283"/>
      <c r="E86" s="283"/>
      <c r="F86" s="283"/>
      <c r="G86" s="283"/>
      <c r="H86" s="317"/>
    </row>
    <row r="87" spans="1:8" x14ac:dyDescent="0.2">
      <c r="A87" s="323"/>
      <c r="B87" s="323"/>
      <c r="C87" s="324"/>
      <c r="D87" s="324"/>
      <c r="E87" s="324"/>
      <c r="F87" s="324"/>
      <c r="G87" s="324"/>
      <c r="H87" s="324"/>
    </row>
    <row r="88" spans="1:8" ht="12.75" x14ac:dyDescent="0.2">
      <c r="A88" s="325"/>
      <c r="B88" s="319"/>
      <c r="C88" s="320"/>
      <c r="D88" s="317"/>
      <c r="E88" s="317"/>
      <c r="F88" s="317"/>
      <c r="G88" s="317"/>
      <c r="H88" s="317"/>
    </row>
    <row r="89" spans="1:8" ht="12.75" x14ac:dyDescent="0.2">
      <c r="A89" s="281"/>
      <c r="B89" s="319"/>
      <c r="C89" s="320"/>
      <c r="D89" s="317"/>
      <c r="E89" s="317"/>
      <c r="F89" s="317"/>
      <c r="G89" s="317"/>
      <c r="H89" s="317"/>
    </row>
    <row r="90" spans="1:8" ht="12.75" x14ac:dyDescent="0.2">
      <c r="A90" s="319"/>
      <c r="B90" s="319"/>
      <c r="C90" s="320"/>
      <c r="D90" s="317"/>
      <c r="E90" s="317"/>
      <c r="F90" s="317"/>
      <c r="G90" s="317"/>
      <c r="H90" s="317"/>
    </row>
    <row r="91" spans="1:8" ht="12.75" x14ac:dyDescent="0.2">
      <c r="A91" s="319"/>
      <c r="B91" s="319"/>
      <c r="C91" s="320"/>
      <c r="D91" s="317"/>
      <c r="E91" s="317"/>
      <c r="F91" s="317"/>
      <c r="G91" s="317"/>
      <c r="H91" s="317"/>
    </row>
    <row r="92" spans="1:8" ht="12.75" x14ac:dyDescent="0.2">
      <c r="A92" s="318"/>
      <c r="B92" s="319"/>
      <c r="C92" s="320"/>
      <c r="D92" s="317"/>
      <c r="E92" s="317"/>
      <c r="F92" s="317"/>
      <c r="G92" s="317"/>
      <c r="H92" s="317"/>
    </row>
    <row r="93" spans="1:8" ht="12.75" x14ac:dyDescent="0.2">
      <c r="A93" s="319"/>
      <c r="B93" s="319"/>
      <c r="C93" s="320"/>
      <c r="D93" s="317"/>
      <c r="E93" s="317"/>
      <c r="F93" s="317"/>
      <c r="G93" s="317"/>
      <c r="H93" s="317"/>
    </row>
    <row r="94" spans="1:8" ht="12.75" x14ac:dyDescent="0.2">
      <c r="A94" s="319"/>
      <c r="B94" s="319"/>
      <c r="C94" s="320"/>
      <c r="D94" s="317"/>
      <c r="E94" s="317"/>
      <c r="F94" s="317"/>
      <c r="G94" s="317"/>
      <c r="H94" s="317"/>
    </row>
    <row r="95" spans="1:8" ht="12.75" x14ac:dyDescent="0.2">
      <c r="A95" s="281"/>
      <c r="B95" s="319"/>
      <c r="C95" s="320"/>
      <c r="D95" s="317"/>
      <c r="E95" s="317"/>
      <c r="F95" s="317"/>
      <c r="G95" s="317"/>
      <c r="H95" s="317"/>
    </row>
    <row r="96" spans="1:8" ht="12.75" x14ac:dyDescent="0.2">
      <c r="A96" s="281"/>
      <c r="B96" s="281"/>
      <c r="C96" s="282"/>
      <c r="D96" s="283"/>
      <c r="E96" s="283"/>
      <c r="F96" s="283"/>
      <c r="G96" s="283"/>
      <c r="H96" s="283"/>
    </row>
    <row r="97" spans="1:8" ht="12.75" x14ac:dyDescent="0.2">
      <c r="A97" s="318"/>
      <c r="B97" s="319"/>
      <c r="C97" s="320"/>
      <c r="D97" s="317"/>
      <c r="E97" s="317"/>
      <c r="F97" s="317"/>
      <c r="G97" s="317"/>
      <c r="H97" s="317"/>
    </row>
    <row r="98" spans="1:8" ht="12.75" x14ac:dyDescent="0.2">
      <c r="A98" s="319"/>
      <c r="B98" s="319"/>
      <c r="C98" s="320"/>
      <c r="D98" s="317"/>
      <c r="E98" s="317"/>
      <c r="F98" s="317"/>
      <c r="G98" s="317"/>
      <c r="H98" s="317"/>
    </row>
    <row r="99" spans="1:8" ht="12.75" x14ac:dyDescent="0.2">
      <c r="A99" s="319"/>
      <c r="B99" s="319"/>
      <c r="C99" s="320"/>
      <c r="D99" s="317"/>
      <c r="E99" s="317"/>
      <c r="F99" s="317"/>
      <c r="G99" s="317"/>
      <c r="H99" s="317"/>
    </row>
    <row r="100" spans="1:8" ht="12.75" x14ac:dyDescent="0.2">
      <c r="A100" s="319"/>
      <c r="B100" s="319"/>
      <c r="C100" s="320"/>
      <c r="D100" s="317"/>
      <c r="E100" s="317"/>
      <c r="F100" s="317"/>
      <c r="G100" s="317"/>
      <c r="H100" s="317"/>
    </row>
    <row r="101" spans="1:8" ht="12.75" x14ac:dyDescent="0.2">
      <c r="A101" s="319"/>
      <c r="B101" s="319"/>
      <c r="C101" s="320"/>
      <c r="D101" s="317"/>
      <c r="E101" s="317"/>
      <c r="F101" s="317"/>
      <c r="G101" s="317"/>
      <c r="H101" s="317"/>
    </row>
    <row r="102" spans="1:8" ht="12.75" x14ac:dyDescent="0.2">
      <c r="A102" s="319"/>
      <c r="B102" s="319"/>
      <c r="C102" s="320"/>
      <c r="D102" s="317"/>
      <c r="E102" s="317"/>
      <c r="F102" s="317"/>
      <c r="G102" s="317"/>
      <c r="H102" s="317"/>
    </row>
    <row r="103" spans="1:8" ht="12.75" x14ac:dyDescent="0.2">
      <c r="A103" s="319"/>
      <c r="B103" s="319"/>
      <c r="C103" s="320"/>
      <c r="D103" s="317"/>
      <c r="E103" s="317"/>
      <c r="F103" s="317"/>
      <c r="G103" s="317"/>
      <c r="H103" s="317"/>
    </row>
    <row r="104" spans="1:8" ht="12.75" x14ac:dyDescent="0.2">
      <c r="A104" s="319"/>
      <c r="B104" s="319"/>
      <c r="C104" s="320"/>
      <c r="D104" s="317"/>
      <c r="E104" s="317"/>
      <c r="F104" s="317"/>
      <c r="G104" s="317"/>
      <c r="H104" s="317"/>
    </row>
    <row r="105" spans="1:8" ht="12.75" x14ac:dyDescent="0.2">
      <c r="A105" s="319"/>
      <c r="B105" s="319"/>
      <c r="C105" s="320"/>
      <c r="D105" s="317"/>
      <c r="E105" s="317"/>
      <c r="F105" s="317"/>
      <c r="G105" s="317"/>
      <c r="H105" s="317"/>
    </row>
    <row r="106" spans="1:8" ht="12.75" x14ac:dyDescent="0.2">
      <c r="A106" s="319"/>
      <c r="B106" s="319"/>
      <c r="C106" s="320"/>
      <c r="D106" s="317"/>
      <c r="E106" s="317"/>
      <c r="F106" s="317"/>
      <c r="G106" s="317"/>
      <c r="H106" s="317"/>
    </row>
    <row r="107" spans="1:8" ht="12.75" x14ac:dyDescent="0.2">
      <c r="A107" s="281"/>
      <c r="B107" s="281"/>
      <c r="C107" s="282"/>
      <c r="D107" s="283"/>
      <c r="E107" s="283"/>
      <c r="F107" s="283"/>
      <c r="G107" s="283"/>
      <c r="H107" s="317"/>
    </row>
    <row r="108" spans="1:8" ht="12.75" x14ac:dyDescent="0.2">
      <c r="A108" s="319"/>
      <c r="B108" s="319"/>
      <c r="C108" s="320"/>
      <c r="D108" s="317"/>
      <c r="E108" s="317"/>
      <c r="F108" s="317"/>
      <c r="G108" s="317"/>
      <c r="H108" s="317"/>
    </row>
    <row r="109" spans="1:8" ht="12.75" x14ac:dyDescent="0.2">
      <c r="A109" s="319"/>
      <c r="B109" s="319"/>
      <c r="C109" s="320"/>
      <c r="D109" s="317"/>
      <c r="E109" s="317"/>
      <c r="F109" s="317"/>
      <c r="G109" s="317"/>
      <c r="H109" s="317"/>
    </row>
    <row r="110" spans="1:8" ht="12.75" x14ac:dyDescent="0.2">
      <c r="A110" s="319"/>
      <c r="B110" s="319"/>
      <c r="C110" s="320"/>
      <c r="D110" s="317"/>
      <c r="E110" s="317"/>
      <c r="F110" s="317"/>
      <c r="G110" s="317"/>
      <c r="H110" s="317"/>
    </row>
    <row r="111" spans="1:8" ht="12.75" x14ac:dyDescent="0.2">
      <c r="A111" s="325"/>
      <c r="B111" s="319"/>
      <c r="C111" s="320"/>
      <c r="D111" s="317"/>
      <c r="E111" s="317"/>
      <c r="F111" s="317"/>
      <c r="G111" s="317"/>
      <c r="H111" s="317"/>
    </row>
    <row r="112" spans="1:8" ht="12.75" x14ac:dyDescent="0.2">
      <c r="A112" s="281"/>
      <c r="B112" s="281"/>
      <c r="C112" s="282"/>
      <c r="D112" s="283"/>
      <c r="E112" s="283"/>
      <c r="F112" s="317"/>
      <c r="G112" s="283"/>
      <c r="H112" s="317"/>
    </row>
    <row r="113" spans="1:8" ht="12.75" x14ac:dyDescent="0.2">
      <c r="A113" s="319"/>
      <c r="B113" s="319"/>
      <c r="C113" s="320"/>
      <c r="D113" s="317"/>
      <c r="E113" s="317"/>
      <c r="F113" s="317"/>
      <c r="G113" s="317"/>
      <c r="H113" s="317"/>
    </row>
    <row r="114" spans="1:8" ht="12.75" x14ac:dyDescent="0.2">
      <c r="A114" s="319"/>
      <c r="B114" s="319"/>
      <c r="C114" s="320"/>
      <c r="D114" s="317"/>
      <c r="E114" s="317"/>
      <c r="F114" s="317"/>
      <c r="G114" s="317"/>
      <c r="H114" s="317"/>
    </row>
    <row r="115" spans="1:8" ht="12.75" x14ac:dyDescent="0.2">
      <c r="A115" s="319"/>
      <c r="B115" s="319"/>
      <c r="C115" s="320"/>
      <c r="D115" s="317"/>
      <c r="E115" s="317"/>
      <c r="F115" s="317"/>
      <c r="G115" s="317"/>
      <c r="H115" s="317"/>
    </row>
    <row r="116" spans="1:8" ht="12.75" x14ac:dyDescent="0.2">
      <c r="A116" s="319"/>
      <c r="B116" s="319"/>
      <c r="C116" s="320"/>
      <c r="D116" s="317"/>
      <c r="E116" s="324"/>
      <c r="F116" s="317"/>
      <c r="G116" s="317"/>
      <c r="H116" s="317"/>
    </row>
    <row r="117" spans="1:8" ht="12.75" x14ac:dyDescent="0.2">
      <c r="A117" s="319"/>
      <c r="B117" s="281"/>
      <c r="C117" s="282"/>
      <c r="D117" s="283"/>
      <c r="E117" s="283"/>
      <c r="F117" s="283"/>
      <c r="G117" s="283"/>
      <c r="H117" s="283"/>
    </row>
    <row r="118" spans="1:8" ht="12.75" x14ac:dyDescent="0.2">
      <c r="A118" s="281"/>
      <c r="B118" s="281"/>
      <c r="C118" s="282"/>
      <c r="D118" s="283"/>
      <c r="E118" s="283"/>
      <c r="F118" s="283"/>
      <c r="G118" s="283"/>
      <c r="H118" s="283"/>
    </row>
    <row r="119" spans="1:8" ht="12.75" x14ac:dyDescent="0.2">
      <c r="A119" s="281"/>
      <c r="B119" s="281"/>
      <c r="C119" s="282"/>
      <c r="D119" s="283"/>
      <c r="E119" s="326"/>
      <c r="F119" s="283"/>
      <c r="G119" s="283"/>
      <c r="H119" s="283"/>
    </row>
    <row r="120" spans="1:8" ht="12.75" x14ac:dyDescent="0.2">
      <c r="A120" s="325"/>
      <c r="B120" s="319"/>
      <c r="C120" s="320"/>
      <c r="D120" s="317"/>
      <c r="E120" s="317"/>
      <c r="F120" s="317"/>
      <c r="G120" s="317"/>
      <c r="H120" s="317"/>
    </row>
    <row r="121" spans="1:8" ht="12.75" x14ac:dyDescent="0.2">
      <c r="A121" s="319"/>
      <c r="B121" s="319"/>
      <c r="C121" s="320"/>
      <c r="D121" s="317"/>
      <c r="E121" s="317"/>
      <c r="F121" s="317"/>
      <c r="G121" s="317"/>
      <c r="H121" s="317"/>
    </row>
    <row r="122" spans="1:8" ht="12.75" x14ac:dyDescent="0.2">
      <c r="A122" s="319"/>
      <c r="B122" s="319"/>
      <c r="C122" s="320"/>
      <c r="D122" s="317"/>
      <c r="E122" s="317"/>
      <c r="F122" s="317"/>
      <c r="G122" s="317"/>
      <c r="H122" s="317"/>
    </row>
    <row r="123" spans="1:8" ht="12.75" x14ac:dyDescent="0.2">
      <c r="A123" s="319"/>
      <c r="B123" s="319"/>
      <c r="C123" s="320"/>
      <c r="D123" s="317"/>
      <c r="E123" s="317"/>
      <c r="F123" s="317"/>
      <c r="G123" s="317"/>
      <c r="H123" s="317"/>
    </row>
    <row r="124" spans="1:8" ht="12.75" x14ac:dyDescent="0.2">
      <c r="A124" s="319"/>
      <c r="B124" s="319"/>
      <c r="C124" s="320"/>
      <c r="D124" s="317"/>
      <c r="E124" s="317"/>
      <c r="F124" s="317"/>
      <c r="G124" s="317"/>
      <c r="H124" s="317"/>
    </row>
    <row r="125" spans="1:8" ht="12.75" x14ac:dyDescent="0.2">
      <c r="A125" s="281"/>
      <c r="B125" s="281"/>
      <c r="C125" s="282"/>
      <c r="D125" s="283"/>
      <c r="E125" s="283"/>
      <c r="F125" s="283"/>
      <c r="G125" s="317"/>
      <c r="H125" s="317"/>
    </row>
    <row r="126" spans="1:8" ht="12.75" x14ac:dyDescent="0.2">
      <c r="A126" s="319"/>
      <c r="B126" s="319"/>
      <c r="C126" s="320"/>
      <c r="D126" s="317"/>
      <c r="E126" s="317"/>
      <c r="F126" s="317"/>
      <c r="G126" s="317"/>
      <c r="H126" s="317"/>
    </row>
    <row r="127" spans="1:8" ht="12.75" x14ac:dyDescent="0.2">
      <c r="A127" s="319"/>
      <c r="B127" s="319"/>
      <c r="C127" s="320"/>
      <c r="D127" s="317"/>
      <c r="E127" s="317"/>
      <c r="F127" s="317"/>
      <c r="G127" s="317"/>
      <c r="H127" s="317"/>
    </row>
    <row r="128" spans="1:8" ht="12.75" x14ac:dyDescent="0.2">
      <c r="A128" s="318"/>
      <c r="B128" s="319"/>
      <c r="C128" s="320"/>
      <c r="D128" s="317"/>
      <c r="E128" s="317"/>
      <c r="F128" s="317"/>
      <c r="G128" s="317"/>
      <c r="H128" s="317"/>
    </row>
    <row r="129" spans="1:8" ht="12.75" x14ac:dyDescent="0.2">
      <c r="A129" s="319"/>
      <c r="B129" s="319"/>
      <c r="C129" s="320"/>
      <c r="D129" s="317"/>
      <c r="E129" s="317"/>
      <c r="F129" s="317"/>
      <c r="G129" s="317"/>
      <c r="H129" s="317"/>
    </row>
    <row r="130" spans="1:8" ht="12.75" x14ac:dyDescent="0.2">
      <c r="A130" s="318"/>
      <c r="B130" s="319"/>
      <c r="C130" s="320"/>
      <c r="D130" s="317"/>
      <c r="E130" s="317"/>
      <c r="F130" s="317"/>
      <c r="G130" s="317"/>
      <c r="H130" s="317"/>
    </row>
    <row r="131" spans="1:8" ht="12.75" x14ac:dyDescent="0.2">
      <c r="A131" s="319"/>
      <c r="B131" s="319"/>
      <c r="C131" s="320"/>
      <c r="D131" s="317"/>
      <c r="E131" s="317"/>
      <c r="F131" s="317"/>
      <c r="G131" s="317"/>
      <c r="H131" s="317"/>
    </row>
    <row r="132" spans="1:8" ht="12.75" x14ac:dyDescent="0.2">
      <c r="A132" s="319"/>
      <c r="B132" s="319"/>
      <c r="C132" s="320"/>
      <c r="D132" s="317"/>
      <c r="E132" s="317"/>
      <c r="F132" s="317"/>
      <c r="G132" s="317"/>
      <c r="H132" s="317"/>
    </row>
    <row r="133" spans="1:8" ht="12.75" x14ac:dyDescent="0.2">
      <c r="A133" s="327"/>
      <c r="B133" s="327"/>
      <c r="C133" s="328"/>
      <c r="D133" s="328"/>
      <c r="E133" s="329"/>
      <c r="F133" s="329"/>
      <c r="G133" s="329"/>
      <c r="H133" s="330"/>
    </row>
    <row r="134" spans="1:8" ht="12.75" x14ac:dyDescent="0.2">
      <c r="A134" s="331"/>
      <c r="B134" s="331"/>
      <c r="C134" s="329"/>
      <c r="D134" s="329"/>
      <c r="E134" s="329"/>
      <c r="F134" s="329"/>
      <c r="G134" s="329"/>
      <c r="H134" s="317"/>
    </row>
    <row r="135" spans="1:8" ht="12.75" x14ac:dyDescent="0.2">
      <c r="A135" s="327"/>
      <c r="B135" s="331"/>
      <c r="C135" s="329"/>
      <c r="D135" s="329"/>
      <c r="E135" s="329"/>
      <c r="F135" s="329"/>
      <c r="G135" s="329"/>
      <c r="H135" s="330"/>
    </row>
    <row r="136" spans="1:8" x14ac:dyDescent="0.2">
      <c r="B136" s="332"/>
      <c r="C136" s="333"/>
      <c r="D136" s="333"/>
      <c r="E136" s="333"/>
      <c r="F136" s="333"/>
      <c r="G136" s="333"/>
      <c r="H136" s="333"/>
    </row>
    <row r="137" spans="1:8" x14ac:dyDescent="0.2">
      <c r="B137" s="332"/>
      <c r="C137" s="333"/>
      <c r="D137" s="333"/>
      <c r="E137" s="333"/>
      <c r="F137" s="333"/>
      <c r="G137" s="333"/>
      <c r="H137" s="333"/>
    </row>
    <row r="138" spans="1:8" x14ac:dyDescent="0.2">
      <c r="B138" s="332"/>
      <c r="C138" s="333"/>
      <c r="D138" s="333"/>
      <c r="E138" s="333"/>
      <c r="F138" s="333"/>
      <c r="G138" s="333"/>
      <c r="H138" s="333"/>
    </row>
    <row r="139" spans="1:8" x14ac:dyDescent="0.2">
      <c r="B139" s="332"/>
      <c r="C139" s="333"/>
      <c r="D139" s="333"/>
      <c r="E139" s="333"/>
      <c r="F139" s="333"/>
      <c r="G139" s="333"/>
      <c r="H139" s="333"/>
    </row>
    <row r="140" spans="1:8" x14ac:dyDescent="0.2">
      <c r="D140" s="333"/>
      <c r="E140" s="333"/>
      <c r="F140" s="333"/>
    </row>
    <row r="141" spans="1:8" x14ac:dyDescent="0.2">
      <c r="D141" s="333"/>
      <c r="E141" s="333"/>
      <c r="F141" s="333"/>
    </row>
    <row r="142" spans="1:8" x14ac:dyDescent="0.2">
      <c r="D142" s="333"/>
      <c r="E142" s="333"/>
      <c r="F142" s="333"/>
    </row>
    <row r="143" spans="1:8" x14ac:dyDescent="0.2">
      <c r="D143" s="333"/>
      <c r="E143" s="333"/>
      <c r="F143" s="333"/>
    </row>
    <row r="144" spans="1:8" x14ac:dyDescent="0.2">
      <c r="D144" s="333"/>
      <c r="E144" s="333"/>
      <c r="F144" s="333"/>
    </row>
    <row r="145" spans="4:6" x14ac:dyDescent="0.2">
      <c r="D145" s="333"/>
      <c r="E145" s="333"/>
      <c r="F145" s="333"/>
    </row>
    <row r="146" spans="4:6" x14ac:dyDescent="0.2">
      <c r="D146" s="333"/>
      <c r="E146" s="333"/>
      <c r="F146" s="333"/>
    </row>
    <row r="147" spans="4:6" x14ac:dyDescent="0.2">
      <c r="D147" s="333"/>
      <c r="E147" s="333"/>
      <c r="F147" s="333"/>
    </row>
    <row r="148" spans="4:6" x14ac:dyDescent="0.2">
      <c r="D148" s="333"/>
      <c r="E148" s="333"/>
      <c r="F148" s="333"/>
    </row>
    <row r="149" spans="4:6" x14ac:dyDescent="0.2">
      <c r="D149" s="333"/>
      <c r="E149" s="333"/>
      <c r="F149" s="333"/>
    </row>
    <row r="150" spans="4:6" x14ac:dyDescent="0.2">
      <c r="D150" s="333"/>
      <c r="E150" s="333"/>
      <c r="F150" s="333"/>
    </row>
    <row r="151" spans="4:6" x14ac:dyDescent="0.2">
      <c r="D151" s="333"/>
      <c r="E151" s="333"/>
      <c r="F151" s="333"/>
    </row>
    <row r="152" spans="4:6" x14ac:dyDescent="0.2">
      <c r="D152" s="333"/>
      <c r="E152" s="333"/>
      <c r="F152" s="333"/>
    </row>
    <row r="153" spans="4:6" x14ac:dyDescent="0.2">
      <c r="D153" s="333"/>
      <c r="E153" s="333"/>
      <c r="F153" s="333"/>
    </row>
    <row r="154" spans="4:6" x14ac:dyDescent="0.2">
      <c r="D154" s="333"/>
      <c r="E154" s="333"/>
      <c r="F154" s="333"/>
    </row>
    <row r="155" spans="4:6" x14ac:dyDescent="0.2">
      <c r="D155" s="333"/>
      <c r="E155" s="333"/>
      <c r="F155" s="333"/>
    </row>
    <row r="156" spans="4:6" x14ac:dyDescent="0.2">
      <c r="D156" s="333"/>
      <c r="E156" s="333"/>
      <c r="F156" s="333"/>
    </row>
    <row r="157" spans="4:6" x14ac:dyDescent="0.2">
      <c r="D157" s="333"/>
      <c r="E157" s="333"/>
      <c r="F157" s="333"/>
    </row>
    <row r="158" spans="4:6" x14ac:dyDescent="0.2">
      <c r="D158" s="333"/>
      <c r="E158" s="333"/>
      <c r="F158" s="333"/>
    </row>
    <row r="159" spans="4:6" x14ac:dyDescent="0.2">
      <c r="D159" s="333"/>
      <c r="E159" s="333"/>
      <c r="F159" s="333"/>
    </row>
    <row r="160" spans="4:6" x14ac:dyDescent="0.2">
      <c r="D160" s="333"/>
      <c r="E160" s="333"/>
      <c r="F160" s="333"/>
    </row>
    <row r="161" spans="4:6" x14ac:dyDescent="0.2">
      <c r="D161" s="333"/>
      <c r="E161" s="333"/>
      <c r="F161" s="333"/>
    </row>
    <row r="162" spans="4:6" x14ac:dyDescent="0.2">
      <c r="D162" s="333"/>
      <c r="E162" s="333"/>
      <c r="F162" s="333"/>
    </row>
    <row r="163" spans="4:6" x14ac:dyDescent="0.2">
      <c r="D163" s="333"/>
      <c r="E163" s="333"/>
      <c r="F163" s="333"/>
    </row>
    <row r="164" spans="4:6" x14ac:dyDescent="0.2">
      <c r="D164" s="333"/>
      <c r="E164" s="333"/>
      <c r="F164" s="333"/>
    </row>
    <row r="165" spans="4:6" x14ac:dyDescent="0.2">
      <c r="D165" s="333"/>
      <c r="E165" s="333"/>
      <c r="F165" s="333"/>
    </row>
    <row r="166" spans="4:6" x14ac:dyDescent="0.2">
      <c r="D166" s="333"/>
      <c r="E166" s="333"/>
      <c r="F166" s="333"/>
    </row>
    <row r="167" spans="4:6" x14ac:dyDescent="0.2">
      <c r="D167" s="333"/>
      <c r="E167" s="333"/>
      <c r="F167" s="333"/>
    </row>
    <row r="168" spans="4:6" x14ac:dyDescent="0.2">
      <c r="D168" s="333"/>
      <c r="E168" s="333"/>
      <c r="F168" s="333"/>
    </row>
    <row r="169" spans="4:6" x14ac:dyDescent="0.2">
      <c r="D169" s="333"/>
      <c r="E169" s="333"/>
      <c r="F169" s="333"/>
    </row>
    <row r="170" spans="4:6" x14ac:dyDescent="0.2">
      <c r="D170" s="333"/>
      <c r="E170" s="333"/>
      <c r="F170" s="333"/>
    </row>
    <row r="171" spans="4:6" x14ac:dyDescent="0.2">
      <c r="D171" s="333"/>
      <c r="E171" s="333"/>
      <c r="F171" s="333"/>
    </row>
    <row r="172" spans="4:6" x14ac:dyDescent="0.2">
      <c r="D172" s="333"/>
      <c r="E172" s="333"/>
      <c r="F172" s="333"/>
    </row>
    <row r="173" spans="4:6" x14ac:dyDescent="0.2">
      <c r="D173" s="333"/>
      <c r="E173" s="333"/>
      <c r="F173" s="333"/>
    </row>
    <row r="174" spans="4:6" x14ac:dyDescent="0.2">
      <c r="D174" s="333"/>
      <c r="E174" s="333"/>
      <c r="F174" s="333"/>
    </row>
    <row r="175" spans="4:6" x14ac:dyDescent="0.2">
      <c r="D175" s="333"/>
      <c r="E175" s="333"/>
      <c r="F175" s="333"/>
    </row>
    <row r="176" spans="4:6" x14ac:dyDescent="0.2">
      <c r="D176" s="333"/>
      <c r="E176" s="333"/>
      <c r="F176" s="333"/>
    </row>
    <row r="177" spans="4:6" x14ac:dyDescent="0.2">
      <c r="D177" s="333"/>
      <c r="E177" s="333"/>
      <c r="F177" s="333"/>
    </row>
    <row r="178" spans="4:6" x14ac:dyDescent="0.2">
      <c r="D178" s="333"/>
      <c r="E178" s="333"/>
      <c r="F178" s="333"/>
    </row>
    <row r="179" spans="4:6" x14ac:dyDescent="0.2">
      <c r="D179" s="333"/>
      <c r="E179" s="333"/>
      <c r="F179" s="333"/>
    </row>
    <row r="180" spans="4:6" x14ac:dyDescent="0.2">
      <c r="D180" s="333"/>
      <c r="E180" s="333"/>
      <c r="F180" s="333"/>
    </row>
    <row r="181" spans="4:6" x14ac:dyDescent="0.2">
      <c r="D181" s="333"/>
      <c r="E181" s="333"/>
      <c r="F181" s="333"/>
    </row>
    <row r="182" spans="4:6" x14ac:dyDescent="0.2">
      <c r="D182" s="333"/>
      <c r="E182" s="333"/>
      <c r="F182" s="333"/>
    </row>
    <row r="183" spans="4:6" x14ac:dyDescent="0.2">
      <c r="D183" s="333"/>
      <c r="E183" s="333"/>
      <c r="F183" s="333"/>
    </row>
    <row r="184" spans="4:6" x14ac:dyDescent="0.2">
      <c r="D184" s="333"/>
      <c r="E184" s="333"/>
      <c r="F184" s="333"/>
    </row>
    <row r="185" spans="4:6" x14ac:dyDescent="0.2">
      <c r="D185" s="333"/>
      <c r="E185" s="333"/>
      <c r="F185" s="333"/>
    </row>
    <row r="186" spans="4:6" x14ac:dyDescent="0.2">
      <c r="D186" s="333"/>
      <c r="E186" s="333"/>
      <c r="F186" s="333"/>
    </row>
    <row r="187" spans="4:6" x14ac:dyDescent="0.2">
      <c r="D187" s="333"/>
      <c r="E187" s="333"/>
      <c r="F187" s="333"/>
    </row>
    <row r="188" spans="4:6" x14ac:dyDescent="0.2">
      <c r="D188" s="333"/>
      <c r="E188" s="333"/>
      <c r="F188" s="333"/>
    </row>
    <row r="189" spans="4:6" x14ac:dyDescent="0.2">
      <c r="D189" s="333"/>
      <c r="E189" s="333"/>
      <c r="F189" s="333"/>
    </row>
    <row r="190" spans="4:6" x14ac:dyDescent="0.2">
      <c r="D190" s="333"/>
      <c r="E190" s="333"/>
      <c r="F190" s="333"/>
    </row>
    <row r="191" spans="4:6" x14ac:dyDescent="0.2">
      <c r="D191" s="333"/>
      <c r="E191" s="333"/>
      <c r="F191" s="333"/>
    </row>
    <row r="192" spans="4:6" x14ac:dyDescent="0.2">
      <c r="D192" s="333"/>
      <c r="E192" s="333"/>
      <c r="F192" s="333"/>
    </row>
    <row r="193" spans="4:6" x14ac:dyDescent="0.2">
      <c r="D193" s="333"/>
      <c r="E193" s="333"/>
      <c r="F193" s="333"/>
    </row>
    <row r="194" spans="4:6" x14ac:dyDescent="0.2">
      <c r="D194" s="333"/>
      <c r="E194" s="333"/>
      <c r="F194" s="333"/>
    </row>
    <row r="195" spans="4:6" x14ac:dyDescent="0.2">
      <c r="D195" s="333"/>
      <c r="E195" s="333"/>
      <c r="F195" s="333"/>
    </row>
    <row r="196" spans="4:6" x14ac:dyDescent="0.2">
      <c r="D196" s="333"/>
      <c r="E196" s="333"/>
      <c r="F196" s="333"/>
    </row>
    <row r="197" spans="4:6" x14ac:dyDescent="0.2">
      <c r="D197" s="333"/>
      <c r="E197" s="333"/>
      <c r="F197" s="333"/>
    </row>
    <row r="198" spans="4:6" x14ac:dyDescent="0.2">
      <c r="D198" s="333"/>
      <c r="E198" s="333"/>
      <c r="F198" s="333"/>
    </row>
    <row r="199" spans="4:6" x14ac:dyDescent="0.2">
      <c r="D199" s="333"/>
      <c r="E199" s="333"/>
      <c r="F199" s="333"/>
    </row>
    <row r="200" spans="4:6" x14ac:dyDescent="0.2">
      <c r="D200" s="333"/>
      <c r="E200" s="333"/>
      <c r="F200" s="333"/>
    </row>
    <row r="201" spans="4:6" x14ac:dyDescent="0.2">
      <c r="D201" s="333"/>
      <c r="E201" s="333"/>
      <c r="F201" s="333"/>
    </row>
    <row r="202" spans="4:6" x14ac:dyDescent="0.2">
      <c r="D202" s="333"/>
      <c r="E202" s="333"/>
      <c r="F202" s="333"/>
    </row>
    <row r="203" spans="4:6" x14ac:dyDescent="0.2">
      <c r="D203" s="333"/>
      <c r="E203" s="333"/>
      <c r="F203" s="333"/>
    </row>
    <row r="204" spans="4:6" x14ac:dyDescent="0.2">
      <c r="D204" s="333"/>
      <c r="E204" s="333"/>
      <c r="F204" s="333"/>
    </row>
    <row r="205" spans="4:6" x14ac:dyDescent="0.2">
      <c r="D205" s="333"/>
      <c r="E205" s="333"/>
      <c r="F205" s="333"/>
    </row>
    <row r="206" spans="4:6" x14ac:dyDescent="0.2">
      <c r="D206" s="333"/>
      <c r="E206" s="333"/>
      <c r="F206" s="333"/>
    </row>
    <row r="207" spans="4:6" x14ac:dyDescent="0.2">
      <c r="D207" s="333"/>
      <c r="E207" s="333"/>
      <c r="F207" s="333"/>
    </row>
    <row r="208" spans="4:6" x14ac:dyDescent="0.2">
      <c r="D208" s="333"/>
      <c r="E208" s="333"/>
      <c r="F208" s="333"/>
    </row>
    <row r="209" spans="4:6" x14ac:dyDescent="0.2">
      <c r="D209" s="333"/>
      <c r="E209" s="333"/>
      <c r="F209" s="333"/>
    </row>
    <row r="210" spans="4:6" x14ac:dyDescent="0.2">
      <c r="D210" s="333"/>
      <c r="E210" s="333"/>
      <c r="F210" s="333"/>
    </row>
    <row r="211" spans="4:6" x14ac:dyDescent="0.2">
      <c r="D211" s="333"/>
      <c r="E211" s="333"/>
      <c r="F211" s="333"/>
    </row>
    <row r="212" spans="4:6" x14ac:dyDescent="0.2">
      <c r="D212" s="333"/>
      <c r="E212" s="333"/>
      <c r="F212" s="333"/>
    </row>
    <row r="213" spans="4:6" x14ac:dyDescent="0.2">
      <c r="D213" s="333"/>
      <c r="E213" s="333"/>
      <c r="F213" s="333"/>
    </row>
    <row r="214" spans="4:6" x14ac:dyDescent="0.2">
      <c r="D214" s="333"/>
      <c r="E214" s="333"/>
      <c r="F214" s="333"/>
    </row>
    <row r="215" spans="4:6" x14ac:dyDescent="0.2">
      <c r="D215" s="333"/>
      <c r="E215" s="333"/>
      <c r="F215" s="333"/>
    </row>
    <row r="216" spans="4:6" x14ac:dyDescent="0.2">
      <c r="D216" s="333"/>
      <c r="E216" s="333"/>
      <c r="F216" s="333"/>
    </row>
    <row r="217" spans="4:6" x14ac:dyDescent="0.2">
      <c r="D217" s="333"/>
      <c r="E217" s="333"/>
      <c r="F217" s="333"/>
    </row>
    <row r="218" spans="4:6" x14ac:dyDescent="0.2">
      <c r="D218" s="333"/>
      <c r="E218" s="333"/>
      <c r="F218" s="333"/>
    </row>
    <row r="219" spans="4:6" x14ac:dyDescent="0.2">
      <c r="D219" s="333"/>
      <c r="E219" s="333"/>
      <c r="F219" s="333"/>
    </row>
    <row r="220" spans="4:6" x14ac:dyDescent="0.2">
      <c r="D220" s="333"/>
      <c r="E220" s="333"/>
      <c r="F220" s="333"/>
    </row>
    <row r="221" spans="4:6" x14ac:dyDescent="0.2">
      <c r="D221" s="333"/>
      <c r="E221" s="333"/>
      <c r="F221" s="333"/>
    </row>
    <row r="222" spans="4:6" x14ac:dyDescent="0.2">
      <c r="D222" s="333"/>
      <c r="E222" s="333"/>
      <c r="F222" s="333"/>
    </row>
    <row r="223" spans="4:6" x14ac:dyDescent="0.2">
      <c r="D223" s="333"/>
      <c r="E223" s="333"/>
      <c r="F223" s="333"/>
    </row>
    <row r="224" spans="4:6" x14ac:dyDescent="0.2">
      <c r="D224" s="333"/>
      <c r="E224" s="333"/>
      <c r="F224" s="333"/>
    </row>
    <row r="225" spans="4:6" x14ac:dyDescent="0.2">
      <c r="D225" s="333"/>
      <c r="E225" s="333"/>
      <c r="F225" s="333"/>
    </row>
    <row r="226" spans="4:6" x14ac:dyDescent="0.2">
      <c r="D226" s="333"/>
      <c r="E226" s="333"/>
      <c r="F226" s="333"/>
    </row>
    <row r="227" spans="4:6" x14ac:dyDescent="0.2">
      <c r="D227" s="333"/>
      <c r="E227" s="333"/>
      <c r="F227" s="333"/>
    </row>
    <row r="228" spans="4:6" x14ac:dyDescent="0.2">
      <c r="D228" s="333"/>
      <c r="E228" s="333"/>
      <c r="F228" s="333"/>
    </row>
    <row r="229" spans="4:6" x14ac:dyDescent="0.2">
      <c r="D229" s="333"/>
      <c r="E229" s="333"/>
      <c r="F229" s="333"/>
    </row>
    <row r="230" spans="4:6" x14ac:dyDescent="0.2">
      <c r="D230" s="333"/>
      <c r="E230" s="333"/>
      <c r="F230" s="333"/>
    </row>
    <row r="231" spans="4:6" x14ac:dyDescent="0.2">
      <c r="D231" s="333"/>
      <c r="E231" s="333"/>
      <c r="F231" s="333"/>
    </row>
    <row r="232" spans="4:6" x14ac:dyDescent="0.2">
      <c r="D232" s="333"/>
      <c r="E232" s="333"/>
      <c r="F232" s="333"/>
    </row>
    <row r="233" spans="4:6" x14ac:dyDescent="0.2">
      <c r="D233" s="333"/>
      <c r="E233" s="333"/>
      <c r="F233" s="333"/>
    </row>
    <row r="234" spans="4:6" x14ac:dyDescent="0.2">
      <c r="D234" s="333"/>
      <c r="E234" s="333"/>
      <c r="F234" s="333"/>
    </row>
    <row r="235" spans="4:6" x14ac:dyDescent="0.2">
      <c r="D235" s="333"/>
      <c r="E235" s="333"/>
      <c r="F235" s="333"/>
    </row>
    <row r="236" spans="4:6" x14ac:dyDescent="0.2">
      <c r="D236" s="333"/>
      <c r="E236" s="333"/>
      <c r="F236" s="333"/>
    </row>
    <row r="237" spans="4:6" x14ac:dyDescent="0.2">
      <c r="D237" s="333"/>
      <c r="E237" s="333"/>
      <c r="F237" s="333"/>
    </row>
    <row r="238" spans="4:6" x14ac:dyDescent="0.2">
      <c r="D238" s="333"/>
      <c r="E238" s="333"/>
      <c r="F238" s="333"/>
    </row>
    <row r="239" spans="4:6" x14ac:dyDescent="0.2">
      <c r="D239" s="333"/>
      <c r="E239" s="333"/>
      <c r="F239" s="333"/>
    </row>
    <row r="240" spans="4:6" x14ac:dyDescent="0.2">
      <c r="D240" s="333"/>
      <c r="E240" s="333"/>
      <c r="F240" s="333"/>
    </row>
    <row r="241" spans="4:6" x14ac:dyDescent="0.2">
      <c r="D241" s="333"/>
      <c r="E241" s="333"/>
      <c r="F241" s="333"/>
    </row>
    <row r="242" spans="4:6" x14ac:dyDescent="0.2">
      <c r="D242" s="333"/>
      <c r="E242" s="333"/>
      <c r="F242" s="333"/>
    </row>
    <row r="243" spans="4:6" x14ac:dyDescent="0.2">
      <c r="D243" s="333"/>
      <c r="E243" s="333"/>
      <c r="F243" s="333"/>
    </row>
    <row r="244" spans="4:6" x14ac:dyDescent="0.2">
      <c r="D244" s="333"/>
      <c r="E244" s="333"/>
      <c r="F244" s="333"/>
    </row>
    <row r="245" spans="4:6" x14ac:dyDescent="0.2">
      <c r="D245" s="333"/>
      <c r="E245" s="333"/>
      <c r="F245" s="333"/>
    </row>
    <row r="246" spans="4:6" x14ac:dyDescent="0.2">
      <c r="D246" s="333"/>
      <c r="E246" s="333"/>
      <c r="F246" s="333"/>
    </row>
    <row r="247" spans="4:6" x14ac:dyDescent="0.2">
      <c r="D247" s="333"/>
      <c r="E247" s="333"/>
      <c r="F247" s="333"/>
    </row>
    <row r="248" spans="4:6" x14ac:dyDescent="0.2">
      <c r="D248" s="333"/>
      <c r="E248" s="333"/>
      <c r="F248" s="333"/>
    </row>
    <row r="249" spans="4:6" x14ac:dyDescent="0.2">
      <c r="D249" s="333"/>
      <c r="E249" s="333"/>
      <c r="F249" s="333"/>
    </row>
    <row r="250" spans="4:6" x14ac:dyDescent="0.2">
      <c r="D250" s="333"/>
      <c r="E250" s="333"/>
      <c r="F250" s="333"/>
    </row>
    <row r="251" spans="4:6" x14ac:dyDescent="0.2">
      <c r="D251" s="333"/>
      <c r="E251" s="333"/>
      <c r="F251" s="333"/>
    </row>
    <row r="252" spans="4:6" x14ac:dyDescent="0.2">
      <c r="D252" s="333"/>
      <c r="E252" s="333"/>
      <c r="F252" s="333"/>
    </row>
    <row r="253" spans="4:6" x14ac:dyDescent="0.2">
      <c r="D253" s="333"/>
      <c r="E253" s="333"/>
      <c r="F253" s="333"/>
    </row>
    <row r="254" spans="4:6" x14ac:dyDescent="0.2">
      <c r="D254" s="333"/>
      <c r="E254" s="333"/>
      <c r="F254" s="333"/>
    </row>
    <row r="255" spans="4:6" x14ac:dyDescent="0.2">
      <c r="D255" s="333"/>
      <c r="E255" s="333"/>
      <c r="F255" s="333"/>
    </row>
    <row r="256" spans="4:6" x14ac:dyDescent="0.2">
      <c r="D256" s="333"/>
      <c r="E256" s="333"/>
      <c r="F256" s="333"/>
    </row>
    <row r="257" spans="4:6" x14ac:dyDescent="0.2">
      <c r="D257" s="333"/>
      <c r="E257" s="333"/>
      <c r="F257" s="333"/>
    </row>
    <row r="258" spans="4:6" x14ac:dyDescent="0.2">
      <c r="D258" s="333"/>
      <c r="E258" s="333"/>
      <c r="F258" s="333"/>
    </row>
    <row r="259" spans="4:6" x14ac:dyDescent="0.2">
      <c r="D259" s="333"/>
      <c r="E259" s="333"/>
      <c r="F259" s="333"/>
    </row>
    <row r="260" spans="4:6" x14ac:dyDescent="0.2">
      <c r="D260" s="333"/>
      <c r="E260" s="333"/>
      <c r="F260" s="333"/>
    </row>
    <row r="261" spans="4:6" x14ac:dyDescent="0.2">
      <c r="D261" s="333"/>
      <c r="E261" s="333"/>
      <c r="F261" s="333"/>
    </row>
    <row r="262" spans="4:6" x14ac:dyDescent="0.2">
      <c r="D262" s="333"/>
      <c r="E262" s="333"/>
      <c r="F262" s="333"/>
    </row>
    <row r="263" spans="4:6" x14ac:dyDescent="0.2">
      <c r="D263" s="333"/>
      <c r="E263" s="333"/>
      <c r="F263" s="333"/>
    </row>
    <row r="264" spans="4:6" x14ac:dyDescent="0.2">
      <c r="D264" s="333"/>
      <c r="E264" s="333"/>
      <c r="F264" s="333"/>
    </row>
    <row r="265" spans="4:6" x14ac:dyDescent="0.2">
      <c r="D265" s="333"/>
      <c r="E265" s="333"/>
      <c r="F265" s="333"/>
    </row>
    <row r="266" spans="4:6" x14ac:dyDescent="0.2">
      <c r="D266" s="333"/>
      <c r="E266" s="333"/>
      <c r="F266" s="333"/>
    </row>
    <row r="267" spans="4:6" x14ac:dyDescent="0.2">
      <c r="D267" s="333"/>
      <c r="E267" s="333"/>
      <c r="F267" s="333"/>
    </row>
    <row r="268" spans="4:6" x14ac:dyDescent="0.2">
      <c r="D268" s="333"/>
      <c r="E268" s="333"/>
      <c r="F268" s="333"/>
    </row>
    <row r="269" spans="4:6" x14ac:dyDescent="0.2">
      <c r="D269" s="333"/>
      <c r="E269" s="333"/>
      <c r="F269" s="333"/>
    </row>
    <row r="270" spans="4:6" x14ac:dyDescent="0.2">
      <c r="D270" s="333"/>
      <c r="E270" s="333"/>
      <c r="F270" s="333"/>
    </row>
    <row r="271" spans="4:6" x14ac:dyDescent="0.2">
      <c r="D271" s="333"/>
      <c r="E271" s="333"/>
      <c r="F271" s="333"/>
    </row>
    <row r="272" spans="4:6" x14ac:dyDescent="0.2">
      <c r="D272" s="333"/>
      <c r="E272" s="333"/>
      <c r="F272" s="333"/>
    </row>
    <row r="273" spans="4:6" x14ac:dyDescent="0.2">
      <c r="D273" s="333"/>
      <c r="E273" s="333"/>
      <c r="F273" s="333"/>
    </row>
    <row r="274" spans="4:6" x14ac:dyDescent="0.2">
      <c r="D274" s="333"/>
      <c r="E274" s="333"/>
      <c r="F274" s="333"/>
    </row>
    <row r="275" spans="4:6" x14ac:dyDescent="0.2">
      <c r="D275" s="333"/>
      <c r="E275" s="333"/>
      <c r="F275" s="333"/>
    </row>
    <row r="276" spans="4:6" x14ac:dyDescent="0.2">
      <c r="D276" s="333"/>
      <c r="E276" s="333"/>
      <c r="F276" s="333"/>
    </row>
    <row r="277" spans="4:6" x14ac:dyDescent="0.2">
      <c r="D277" s="333"/>
      <c r="E277" s="333"/>
      <c r="F277" s="333"/>
    </row>
    <row r="278" spans="4:6" x14ac:dyDescent="0.2">
      <c r="D278" s="333"/>
      <c r="E278" s="333"/>
      <c r="F278" s="333"/>
    </row>
    <row r="279" spans="4:6" x14ac:dyDescent="0.2">
      <c r="D279" s="333"/>
      <c r="E279" s="333"/>
      <c r="F279" s="333"/>
    </row>
    <row r="280" spans="4:6" x14ac:dyDescent="0.2">
      <c r="D280" s="333"/>
      <c r="E280" s="333"/>
      <c r="F280" s="333"/>
    </row>
    <row r="281" spans="4:6" x14ac:dyDescent="0.2">
      <c r="D281" s="333"/>
      <c r="E281" s="333"/>
      <c r="F281" s="333"/>
    </row>
    <row r="282" spans="4:6" x14ac:dyDescent="0.2">
      <c r="D282" s="333"/>
      <c r="E282" s="333"/>
      <c r="F282" s="333"/>
    </row>
    <row r="283" spans="4:6" x14ac:dyDescent="0.2">
      <c r="D283" s="333"/>
      <c r="E283" s="333"/>
      <c r="F283" s="333"/>
    </row>
    <row r="284" spans="4:6" x14ac:dyDescent="0.2">
      <c r="D284" s="333"/>
      <c r="E284" s="333"/>
      <c r="F284" s="333"/>
    </row>
    <row r="285" spans="4:6" x14ac:dyDescent="0.2">
      <c r="D285" s="333"/>
      <c r="E285" s="333"/>
      <c r="F285" s="333"/>
    </row>
    <row r="286" spans="4:6" x14ac:dyDescent="0.2">
      <c r="D286" s="333"/>
      <c r="E286" s="333"/>
      <c r="F286" s="333"/>
    </row>
    <row r="287" spans="4:6" x14ac:dyDescent="0.2">
      <c r="D287" s="333"/>
      <c r="E287" s="333"/>
      <c r="F287" s="333"/>
    </row>
    <row r="288" spans="4:6" x14ac:dyDescent="0.2">
      <c r="D288" s="333"/>
      <c r="E288" s="333"/>
      <c r="F288" s="333"/>
    </row>
    <row r="289" spans="4:6" x14ac:dyDescent="0.2">
      <c r="D289" s="333"/>
      <c r="E289" s="333"/>
      <c r="F289" s="333"/>
    </row>
    <row r="290" spans="4:6" x14ac:dyDescent="0.2">
      <c r="D290" s="333"/>
      <c r="E290" s="333"/>
      <c r="F290" s="333"/>
    </row>
    <row r="291" spans="4:6" x14ac:dyDescent="0.2">
      <c r="D291" s="333"/>
      <c r="E291" s="333"/>
      <c r="F291" s="333"/>
    </row>
    <row r="292" spans="4:6" x14ac:dyDescent="0.2">
      <c r="D292" s="333"/>
      <c r="E292" s="333"/>
      <c r="F292" s="333"/>
    </row>
    <row r="293" spans="4:6" x14ac:dyDescent="0.2">
      <c r="D293" s="333"/>
      <c r="E293" s="333"/>
      <c r="F293" s="333"/>
    </row>
    <row r="294" spans="4:6" x14ac:dyDescent="0.2">
      <c r="D294" s="333"/>
      <c r="E294" s="333"/>
      <c r="F294" s="333"/>
    </row>
    <row r="295" spans="4:6" x14ac:dyDescent="0.2">
      <c r="D295" s="333"/>
      <c r="E295" s="333"/>
      <c r="F295" s="333"/>
    </row>
    <row r="296" spans="4:6" x14ac:dyDescent="0.2">
      <c r="D296" s="333"/>
      <c r="E296" s="333"/>
      <c r="F296" s="333"/>
    </row>
    <row r="297" spans="4:6" x14ac:dyDescent="0.2">
      <c r="D297" s="333"/>
      <c r="E297" s="333"/>
      <c r="F297" s="333"/>
    </row>
    <row r="298" spans="4:6" x14ac:dyDescent="0.2">
      <c r="D298" s="333"/>
      <c r="E298" s="333"/>
      <c r="F298" s="333"/>
    </row>
    <row r="299" spans="4:6" x14ac:dyDescent="0.2">
      <c r="D299" s="333"/>
      <c r="E299" s="333"/>
      <c r="F299" s="333"/>
    </row>
    <row r="300" spans="4:6" x14ac:dyDescent="0.2">
      <c r="D300" s="333"/>
      <c r="E300" s="333"/>
      <c r="F300" s="333"/>
    </row>
    <row r="301" spans="4:6" x14ac:dyDescent="0.2">
      <c r="D301" s="333"/>
      <c r="E301" s="333"/>
      <c r="F301" s="333"/>
    </row>
    <row r="302" spans="4:6" x14ac:dyDescent="0.2">
      <c r="D302" s="333"/>
      <c r="E302" s="333"/>
      <c r="F302" s="333"/>
    </row>
    <row r="303" spans="4:6" x14ac:dyDescent="0.2">
      <c r="D303" s="333"/>
      <c r="E303" s="333"/>
      <c r="F303" s="333"/>
    </row>
    <row r="304" spans="4:6" x14ac:dyDescent="0.2">
      <c r="D304" s="333"/>
      <c r="E304" s="333"/>
      <c r="F304" s="333"/>
    </row>
    <row r="305" spans="4:6" x14ac:dyDescent="0.2">
      <c r="D305" s="333"/>
      <c r="E305" s="333"/>
      <c r="F305" s="333"/>
    </row>
    <row r="306" spans="4:6" x14ac:dyDescent="0.2">
      <c r="D306" s="333"/>
      <c r="E306" s="333"/>
      <c r="F306" s="333"/>
    </row>
    <row r="307" spans="4:6" x14ac:dyDescent="0.2">
      <c r="D307" s="333"/>
      <c r="E307" s="333"/>
      <c r="F307" s="333"/>
    </row>
    <row r="308" spans="4:6" x14ac:dyDescent="0.2">
      <c r="D308" s="333"/>
      <c r="E308" s="333"/>
      <c r="F308" s="333"/>
    </row>
    <row r="309" spans="4:6" x14ac:dyDescent="0.2">
      <c r="D309" s="333"/>
      <c r="E309" s="333"/>
      <c r="F309" s="333"/>
    </row>
    <row r="310" spans="4:6" x14ac:dyDescent="0.2">
      <c r="D310" s="333"/>
      <c r="E310" s="333"/>
      <c r="F310" s="333"/>
    </row>
    <row r="311" spans="4:6" x14ac:dyDescent="0.2">
      <c r="D311" s="333"/>
      <c r="E311" s="333"/>
      <c r="F311" s="333"/>
    </row>
    <row r="312" spans="4:6" x14ac:dyDescent="0.2">
      <c r="D312" s="333"/>
      <c r="E312" s="333"/>
      <c r="F312" s="333"/>
    </row>
    <row r="313" spans="4:6" x14ac:dyDescent="0.2">
      <c r="D313" s="333"/>
      <c r="E313" s="333"/>
      <c r="F313" s="333"/>
    </row>
    <row r="314" spans="4:6" x14ac:dyDescent="0.2">
      <c r="D314" s="333"/>
      <c r="E314" s="333"/>
      <c r="F314" s="333"/>
    </row>
    <row r="315" spans="4:6" x14ac:dyDescent="0.2">
      <c r="D315" s="333"/>
      <c r="E315" s="333"/>
      <c r="F315" s="333"/>
    </row>
    <row r="316" spans="4:6" x14ac:dyDescent="0.2">
      <c r="D316" s="333"/>
      <c r="E316" s="333"/>
      <c r="F316" s="333"/>
    </row>
    <row r="317" spans="4:6" x14ac:dyDescent="0.2">
      <c r="D317" s="333"/>
      <c r="E317" s="333"/>
      <c r="F317" s="333"/>
    </row>
    <row r="318" spans="4:6" x14ac:dyDescent="0.2">
      <c r="D318" s="333"/>
      <c r="E318" s="333"/>
      <c r="F318" s="333"/>
    </row>
    <row r="319" spans="4:6" x14ac:dyDescent="0.2">
      <c r="D319" s="333"/>
      <c r="E319" s="333"/>
      <c r="F319" s="333"/>
    </row>
    <row r="320" spans="4:6" x14ac:dyDescent="0.2">
      <c r="D320" s="333"/>
      <c r="E320" s="333"/>
      <c r="F320" s="333"/>
    </row>
    <row r="321" spans="4:6" x14ac:dyDescent="0.2">
      <c r="D321" s="333"/>
      <c r="E321" s="333"/>
      <c r="F321" s="333"/>
    </row>
    <row r="322" spans="4:6" x14ac:dyDescent="0.2">
      <c r="D322" s="333"/>
      <c r="E322" s="333"/>
      <c r="F322" s="333"/>
    </row>
    <row r="323" spans="4:6" x14ac:dyDescent="0.2">
      <c r="D323" s="333"/>
      <c r="E323" s="333"/>
      <c r="F323" s="333"/>
    </row>
    <row r="324" spans="4:6" x14ac:dyDescent="0.2">
      <c r="D324" s="333"/>
      <c r="E324" s="333"/>
      <c r="F324" s="333"/>
    </row>
    <row r="325" spans="4:6" x14ac:dyDescent="0.2">
      <c r="D325" s="333"/>
      <c r="E325" s="333"/>
      <c r="F325" s="333"/>
    </row>
    <row r="326" spans="4:6" x14ac:dyDescent="0.2">
      <c r="D326" s="333"/>
      <c r="E326" s="333"/>
      <c r="F326" s="333"/>
    </row>
    <row r="327" spans="4:6" x14ac:dyDescent="0.2">
      <c r="D327" s="333"/>
      <c r="E327" s="333"/>
      <c r="F327" s="333"/>
    </row>
    <row r="328" spans="4:6" x14ac:dyDescent="0.2">
      <c r="D328" s="333"/>
      <c r="E328" s="333"/>
      <c r="F328" s="333"/>
    </row>
    <row r="329" spans="4:6" x14ac:dyDescent="0.2">
      <c r="D329" s="333"/>
      <c r="E329" s="333"/>
      <c r="F329" s="333"/>
    </row>
    <row r="330" spans="4:6" x14ac:dyDescent="0.2">
      <c r="D330" s="333"/>
      <c r="E330" s="333"/>
      <c r="F330" s="333"/>
    </row>
    <row r="331" spans="4:6" x14ac:dyDescent="0.2">
      <c r="D331" s="333"/>
      <c r="E331" s="333"/>
      <c r="F331" s="333"/>
    </row>
    <row r="332" spans="4:6" x14ac:dyDescent="0.2">
      <c r="D332" s="333"/>
      <c r="E332" s="333"/>
      <c r="F332" s="333"/>
    </row>
    <row r="333" spans="4:6" x14ac:dyDescent="0.2">
      <c r="D333" s="333"/>
      <c r="E333" s="333"/>
      <c r="F333" s="333"/>
    </row>
    <row r="334" spans="4:6" x14ac:dyDescent="0.2">
      <c r="D334" s="333"/>
      <c r="E334" s="333"/>
      <c r="F334" s="333"/>
    </row>
    <row r="335" spans="4:6" x14ac:dyDescent="0.2">
      <c r="D335" s="333"/>
      <c r="E335" s="333"/>
      <c r="F335" s="333"/>
    </row>
    <row r="336" spans="4:6" x14ac:dyDescent="0.2">
      <c r="D336" s="333"/>
      <c r="E336" s="333"/>
      <c r="F336" s="333"/>
    </row>
    <row r="337" spans="4:6" x14ac:dyDescent="0.2">
      <c r="D337" s="333"/>
      <c r="E337" s="333"/>
      <c r="F337" s="333"/>
    </row>
    <row r="338" spans="4:6" x14ac:dyDescent="0.2">
      <c r="D338" s="333"/>
      <c r="E338" s="333"/>
      <c r="F338" s="333"/>
    </row>
    <row r="339" spans="4:6" x14ac:dyDescent="0.2">
      <c r="D339" s="333"/>
      <c r="E339" s="333"/>
      <c r="F339" s="333"/>
    </row>
    <row r="340" spans="4:6" x14ac:dyDescent="0.2">
      <c r="D340" s="333"/>
      <c r="E340" s="333"/>
      <c r="F340" s="333"/>
    </row>
    <row r="341" spans="4:6" x14ac:dyDescent="0.2">
      <c r="D341" s="333"/>
      <c r="E341" s="333"/>
      <c r="F341" s="333"/>
    </row>
    <row r="342" spans="4:6" x14ac:dyDescent="0.2">
      <c r="D342" s="333"/>
      <c r="E342" s="333"/>
      <c r="F342" s="333"/>
    </row>
    <row r="343" spans="4:6" x14ac:dyDescent="0.2">
      <c r="D343" s="333"/>
      <c r="E343" s="333"/>
      <c r="F343" s="333"/>
    </row>
    <row r="344" spans="4:6" x14ac:dyDescent="0.2">
      <c r="D344" s="333"/>
      <c r="E344" s="333"/>
      <c r="F344" s="333"/>
    </row>
    <row r="345" spans="4:6" x14ac:dyDescent="0.2">
      <c r="D345" s="333"/>
      <c r="E345" s="333"/>
      <c r="F345" s="333"/>
    </row>
    <row r="346" spans="4:6" x14ac:dyDescent="0.2">
      <c r="D346" s="333"/>
      <c r="E346" s="333"/>
      <c r="F346" s="333"/>
    </row>
    <row r="347" spans="4:6" x14ac:dyDescent="0.2">
      <c r="D347" s="333"/>
      <c r="E347" s="333"/>
      <c r="F347" s="333"/>
    </row>
    <row r="348" spans="4:6" x14ac:dyDescent="0.2">
      <c r="D348" s="333"/>
      <c r="E348" s="333"/>
      <c r="F348" s="333"/>
    </row>
    <row r="349" spans="4:6" x14ac:dyDescent="0.2">
      <c r="D349" s="333"/>
      <c r="E349" s="333"/>
      <c r="F349" s="333"/>
    </row>
    <row r="350" spans="4:6" x14ac:dyDescent="0.2">
      <c r="D350" s="333"/>
      <c r="E350" s="333"/>
      <c r="F350" s="333"/>
    </row>
    <row r="351" spans="4:6" x14ac:dyDescent="0.2">
      <c r="D351" s="333"/>
      <c r="E351" s="333"/>
      <c r="F351" s="333"/>
    </row>
    <row r="352" spans="4:6" x14ac:dyDescent="0.2">
      <c r="D352" s="333"/>
      <c r="E352" s="333"/>
      <c r="F352" s="333"/>
    </row>
    <row r="353" spans="4:6" x14ac:dyDescent="0.2">
      <c r="D353" s="333"/>
      <c r="E353" s="333"/>
      <c r="F353" s="333"/>
    </row>
    <row r="354" spans="4:6" x14ac:dyDescent="0.2">
      <c r="D354" s="333"/>
      <c r="E354" s="333"/>
      <c r="F354" s="333"/>
    </row>
    <row r="355" spans="4:6" x14ac:dyDescent="0.2">
      <c r="D355" s="333"/>
      <c r="E355" s="333"/>
      <c r="F355" s="333"/>
    </row>
    <row r="356" spans="4:6" x14ac:dyDescent="0.2">
      <c r="D356" s="333"/>
      <c r="E356" s="333"/>
      <c r="F356" s="333"/>
    </row>
    <row r="357" spans="4:6" x14ac:dyDescent="0.2">
      <c r="D357" s="333"/>
      <c r="E357" s="333"/>
      <c r="F357" s="333"/>
    </row>
    <row r="358" spans="4:6" x14ac:dyDescent="0.2">
      <c r="D358" s="333"/>
      <c r="E358" s="333"/>
      <c r="F358" s="333"/>
    </row>
    <row r="359" spans="4:6" x14ac:dyDescent="0.2">
      <c r="D359" s="333"/>
      <c r="E359" s="333"/>
      <c r="F359" s="333"/>
    </row>
    <row r="360" spans="4:6" x14ac:dyDescent="0.2">
      <c r="D360" s="333"/>
      <c r="E360" s="333"/>
      <c r="F360" s="333"/>
    </row>
    <row r="361" spans="4:6" x14ac:dyDescent="0.2">
      <c r="D361" s="333"/>
      <c r="E361" s="333"/>
      <c r="F361" s="333"/>
    </row>
    <row r="362" spans="4:6" x14ac:dyDescent="0.2">
      <c r="D362" s="333"/>
      <c r="E362" s="333"/>
      <c r="F362" s="333"/>
    </row>
    <row r="363" spans="4:6" x14ac:dyDescent="0.2">
      <c r="D363" s="333"/>
      <c r="E363" s="333"/>
      <c r="F363" s="333"/>
    </row>
    <row r="364" spans="4:6" x14ac:dyDescent="0.2">
      <c r="D364" s="333"/>
      <c r="E364" s="333"/>
      <c r="F364" s="333"/>
    </row>
    <row r="365" spans="4:6" x14ac:dyDescent="0.2">
      <c r="D365" s="333"/>
      <c r="E365" s="333"/>
      <c r="F365" s="333"/>
    </row>
    <row r="366" spans="4:6" x14ac:dyDescent="0.2">
      <c r="D366" s="333"/>
      <c r="E366" s="333"/>
      <c r="F366" s="333"/>
    </row>
    <row r="367" spans="4:6" x14ac:dyDescent="0.2">
      <c r="D367" s="333"/>
      <c r="E367" s="333"/>
      <c r="F367" s="333"/>
    </row>
    <row r="368" spans="4:6" x14ac:dyDescent="0.2">
      <c r="D368" s="333"/>
      <c r="E368" s="333"/>
      <c r="F368" s="333"/>
    </row>
    <row r="369" spans="4:6" x14ac:dyDescent="0.2">
      <c r="D369" s="333"/>
      <c r="E369" s="333"/>
      <c r="F369" s="333"/>
    </row>
    <row r="370" spans="4:6" x14ac:dyDescent="0.2">
      <c r="D370" s="333"/>
      <c r="E370" s="333"/>
      <c r="F370" s="333"/>
    </row>
    <row r="371" spans="4:6" x14ac:dyDescent="0.2">
      <c r="D371" s="333"/>
      <c r="E371" s="333"/>
      <c r="F371" s="333"/>
    </row>
    <row r="372" spans="4:6" x14ac:dyDescent="0.2">
      <c r="D372" s="333"/>
      <c r="E372" s="333"/>
      <c r="F372" s="333"/>
    </row>
    <row r="373" spans="4:6" x14ac:dyDescent="0.2">
      <c r="D373" s="333"/>
      <c r="E373" s="333"/>
      <c r="F373" s="333"/>
    </row>
    <row r="374" spans="4:6" x14ac:dyDescent="0.2">
      <c r="D374" s="333"/>
      <c r="E374" s="333"/>
      <c r="F374" s="333"/>
    </row>
    <row r="375" spans="4:6" x14ac:dyDescent="0.2">
      <c r="D375" s="333"/>
      <c r="E375" s="333"/>
      <c r="F375" s="333"/>
    </row>
    <row r="376" spans="4:6" x14ac:dyDescent="0.2">
      <c r="D376" s="333"/>
      <c r="E376" s="333"/>
      <c r="F376" s="333"/>
    </row>
    <row r="377" spans="4:6" x14ac:dyDescent="0.2">
      <c r="D377" s="333"/>
      <c r="E377" s="333"/>
      <c r="F377" s="333"/>
    </row>
    <row r="378" spans="4:6" x14ac:dyDescent="0.2">
      <c r="D378" s="333"/>
      <c r="E378" s="333"/>
      <c r="F378" s="333"/>
    </row>
    <row r="379" spans="4:6" x14ac:dyDescent="0.2">
      <c r="D379" s="333"/>
      <c r="E379" s="333"/>
      <c r="F379" s="333"/>
    </row>
    <row r="380" spans="4:6" x14ac:dyDescent="0.2">
      <c r="D380" s="333"/>
      <c r="E380" s="333"/>
      <c r="F380" s="333"/>
    </row>
    <row r="381" spans="4:6" x14ac:dyDescent="0.2">
      <c r="D381" s="333"/>
      <c r="E381" s="333"/>
      <c r="F381" s="333"/>
    </row>
    <row r="382" spans="4:6" x14ac:dyDescent="0.2">
      <c r="D382" s="333"/>
      <c r="E382" s="333"/>
      <c r="F382" s="333"/>
    </row>
    <row r="383" spans="4:6" x14ac:dyDescent="0.2">
      <c r="D383" s="333"/>
      <c r="E383" s="333"/>
      <c r="F383" s="333"/>
    </row>
    <row r="384" spans="4:6" x14ac:dyDescent="0.2">
      <c r="D384" s="333"/>
      <c r="E384" s="333"/>
      <c r="F384" s="333"/>
    </row>
    <row r="385" spans="4:6" x14ac:dyDescent="0.2">
      <c r="D385" s="333"/>
      <c r="E385" s="333"/>
      <c r="F385" s="333"/>
    </row>
    <row r="386" spans="4:6" x14ac:dyDescent="0.2">
      <c r="D386" s="333"/>
      <c r="E386" s="333"/>
      <c r="F386" s="333"/>
    </row>
    <row r="387" spans="4:6" x14ac:dyDescent="0.2">
      <c r="D387" s="333"/>
      <c r="E387" s="333"/>
      <c r="F387" s="333"/>
    </row>
    <row r="388" spans="4:6" x14ac:dyDescent="0.2">
      <c r="D388" s="333"/>
      <c r="E388" s="333"/>
      <c r="F388" s="333"/>
    </row>
    <row r="389" spans="4:6" x14ac:dyDescent="0.2">
      <c r="D389" s="333"/>
      <c r="E389" s="333"/>
      <c r="F389" s="333"/>
    </row>
    <row r="390" spans="4:6" x14ac:dyDescent="0.2">
      <c r="D390" s="333"/>
      <c r="E390" s="333"/>
      <c r="F390" s="333"/>
    </row>
    <row r="391" spans="4:6" x14ac:dyDescent="0.2">
      <c r="D391" s="333"/>
      <c r="E391" s="333"/>
      <c r="F391" s="333"/>
    </row>
    <row r="392" spans="4:6" x14ac:dyDescent="0.2">
      <c r="D392" s="333"/>
      <c r="E392" s="333"/>
      <c r="F392" s="333"/>
    </row>
    <row r="393" spans="4:6" x14ac:dyDescent="0.2">
      <c r="D393" s="333"/>
      <c r="E393" s="333"/>
      <c r="F393" s="333"/>
    </row>
    <row r="394" spans="4:6" x14ac:dyDescent="0.2">
      <c r="D394" s="333"/>
      <c r="E394" s="333"/>
      <c r="F394" s="333"/>
    </row>
    <row r="395" spans="4:6" x14ac:dyDescent="0.2">
      <c r="D395" s="333"/>
      <c r="E395" s="333"/>
      <c r="F395" s="333"/>
    </row>
    <row r="396" spans="4:6" x14ac:dyDescent="0.2">
      <c r="D396" s="333"/>
      <c r="E396" s="333"/>
      <c r="F396" s="333"/>
    </row>
    <row r="397" spans="4:6" x14ac:dyDescent="0.2">
      <c r="D397" s="333"/>
      <c r="E397" s="333"/>
      <c r="F397" s="333"/>
    </row>
    <row r="398" spans="4:6" x14ac:dyDescent="0.2">
      <c r="D398" s="333"/>
      <c r="E398" s="333"/>
      <c r="F398" s="333"/>
    </row>
    <row r="399" spans="4:6" x14ac:dyDescent="0.2">
      <c r="D399" s="333"/>
      <c r="E399" s="333"/>
      <c r="F399" s="333"/>
    </row>
    <row r="400" spans="4:6" x14ac:dyDescent="0.2">
      <c r="D400" s="333"/>
      <c r="E400" s="333"/>
      <c r="F400" s="333"/>
    </row>
    <row r="401" spans="4:6" x14ac:dyDescent="0.2">
      <c r="D401" s="333"/>
      <c r="E401" s="333"/>
      <c r="F401" s="333"/>
    </row>
    <row r="402" spans="4:6" x14ac:dyDescent="0.2">
      <c r="D402" s="333"/>
      <c r="E402" s="333"/>
      <c r="F402" s="333"/>
    </row>
    <row r="403" spans="4:6" x14ac:dyDescent="0.2">
      <c r="D403" s="333"/>
      <c r="E403" s="333"/>
      <c r="F403" s="333"/>
    </row>
    <row r="404" spans="4:6" x14ac:dyDescent="0.2">
      <c r="D404" s="333"/>
      <c r="E404" s="333"/>
      <c r="F404" s="333"/>
    </row>
    <row r="405" spans="4:6" x14ac:dyDescent="0.2">
      <c r="D405" s="333"/>
      <c r="E405" s="333"/>
      <c r="F405" s="333"/>
    </row>
    <row r="406" spans="4:6" x14ac:dyDescent="0.2">
      <c r="D406" s="333"/>
      <c r="E406" s="333"/>
      <c r="F406" s="333"/>
    </row>
    <row r="407" spans="4:6" x14ac:dyDescent="0.2">
      <c r="D407" s="333"/>
      <c r="E407" s="333"/>
      <c r="F407" s="333"/>
    </row>
    <row r="408" spans="4:6" x14ac:dyDescent="0.2">
      <c r="D408" s="333"/>
      <c r="E408" s="333"/>
      <c r="F408" s="333"/>
    </row>
    <row r="409" spans="4:6" x14ac:dyDescent="0.2">
      <c r="D409" s="333"/>
      <c r="E409" s="333"/>
      <c r="F409" s="333"/>
    </row>
    <row r="410" spans="4:6" x14ac:dyDescent="0.2">
      <c r="D410" s="333"/>
      <c r="E410" s="333"/>
      <c r="F410" s="333"/>
    </row>
    <row r="411" spans="4:6" x14ac:dyDescent="0.2">
      <c r="D411" s="333"/>
      <c r="E411" s="333"/>
      <c r="F411" s="333"/>
    </row>
    <row r="412" spans="4:6" x14ac:dyDescent="0.2">
      <c r="D412" s="333"/>
      <c r="E412" s="333"/>
      <c r="F412" s="333"/>
    </row>
    <row r="413" spans="4:6" x14ac:dyDescent="0.2">
      <c r="D413" s="333"/>
      <c r="E413" s="333"/>
      <c r="F413" s="333"/>
    </row>
    <row r="414" spans="4:6" x14ac:dyDescent="0.2">
      <c r="D414" s="333"/>
      <c r="E414" s="333"/>
      <c r="F414" s="333"/>
    </row>
    <row r="415" spans="4:6" x14ac:dyDescent="0.2">
      <c r="D415" s="333"/>
      <c r="E415" s="333"/>
      <c r="F415" s="333"/>
    </row>
    <row r="416" spans="4:6" x14ac:dyDescent="0.2">
      <c r="D416" s="333"/>
      <c r="E416" s="333"/>
      <c r="F416" s="333"/>
    </row>
    <row r="417" spans="4:6" x14ac:dyDescent="0.2">
      <c r="D417" s="333"/>
      <c r="E417" s="333"/>
      <c r="F417" s="333"/>
    </row>
    <row r="418" spans="4:6" x14ac:dyDescent="0.2">
      <c r="D418" s="333"/>
      <c r="E418" s="333"/>
      <c r="F418" s="333"/>
    </row>
    <row r="419" spans="4:6" x14ac:dyDescent="0.2">
      <c r="D419" s="333"/>
      <c r="E419" s="333"/>
      <c r="F419" s="333"/>
    </row>
    <row r="420" spans="4:6" x14ac:dyDescent="0.2">
      <c r="D420" s="333"/>
      <c r="E420" s="333"/>
      <c r="F420" s="333"/>
    </row>
    <row r="421" spans="4:6" x14ac:dyDescent="0.2">
      <c r="D421" s="333"/>
      <c r="E421" s="333"/>
      <c r="F421" s="333"/>
    </row>
    <row r="422" spans="4:6" x14ac:dyDescent="0.2">
      <c r="D422" s="333"/>
      <c r="E422" s="333"/>
      <c r="F422" s="333"/>
    </row>
    <row r="423" spans="4:6" x14ac:dyDescent="0.2">
      <c r="D423" s="333"/>
      <c r="E423" s="333"/>
      <c r="F423" s="333"/>
    </row>
    <row r="424" spans="4:6" x14ac:dyDescent="0.2">
      <c r="D424" s="333"/>
      <c r="E424" s="333"/>
      <c r="F424" s="333"/>
    </row>
    <row r="425" spans="4:6" x14ac:dyDescent="0.2">
      <c r="D425" s="333"/>
      <c r="E425" s="333"/>
      <c r="F425" s="333"/>
    </row>
    <row r="426" spans="4:6" x14ac:dyDescent="0.2">
      <c r="D426" s="333"/>
      <c r="E426" s="333"/>
      <c r="F426" s="333"/>
    </row>
    <row r="427" spans="4:6" x14ac:dyDescent="0.2">
      <c r="D427" s="333"/>
      <c r="E427" s="333"/>
      <c r="F427" s="333"/>
    </row>
    <row r="428" spans="4:6" x14ac:dyDescent="0.2">
      <c r="D428" s="333"/>
      <c r="E428" s="333"/>
      <c r="F428" s="333"/>
    </row>
    <row r="429" spans="4:6" x14ac:dyDescent="0.2">
      <c r="D429" s="333"/>
      <c r="E429" s="333"/>
      <c r="F429" s="333"/>
    </row>
    <row r="430" spans="4:6" x14ac:dyDescent="0.2">
      <c r="D430" s="333"/>
      <c r="E430" s="333"/>
      <c r="F430" s="333"/>
    </row>
    <row r="431" spans="4:6" x14ac:dyDescent="0.2">
      <c r="D431" s="333"/>
      <c r="E431" s="333"/>
      <c r="F431" s="333"/>
    </row>
    <row r="432" spans="4:6" x14ac:dyDescent="0.2">
      <c r="D432" s="333"/>
      <c r="E432" s="333"/>
      <c r="F432" s="333"/>
    </row>
    <row r="433" spans="4:6" x14ac:dyDescent="0.2">
      <c r="D433" s="333"/>
      <c r="E433" s="333"/>
      <c r="F433" s="333"/>
    </row>
    <row r="434" spans="4:6" x14ac:dyDescent="0.2">
      <c r="D434" s="333"/>
      <c r="E434" s="333"/>
      <c r="F434" s="333"/>
    </row>
    <row r="435" spans="4:6" x14ac:dyDescent="0.2">
      <c r="D435" s="333"/>
      <c r="E435" s="333"/>
      <c r="F435" s="333"/>
    </row>
    <row r="436" spans="4:6" x14ac:dyDescent="0.2">
      <c r="D436" s="333"/>
      <c r="E436" s="333"/>
      <c r="F436" s="333"/>
    </row>
    <row r="437" spans="4:6" x14ac:dyDescent="0.2">
      <c r="D437" s="333"/>
      <c r="E437" s="333"/>
      <c r="F437" s="333"/>
    </row>
    <row r="438" spans="4:6" x14ac:dyDescent="0.2">
      <c r="D438" s="333"/>
      <c r="E438" s="333"/>
      <c r="F438" s="333"/>
    </row>
    <row r="439" spans="4:6" x14ac:dyDescent="0.2">
      <c r="D439" s="333"/>
      <c r="E439" s="333"/>
      <c r="F439" s="333"/>
    </row>
    <row r="440" spans="4:6" x14ac:dyDescent="0.2">
      <c r="D440" s="333"/>
      <c r="E440" s="333"/>
      <c r="F440" s="333"/>
    </row>
    <row r="441" spans="4:6" x14ac:dyDescent="0.2">
      <c r="D441" s="333"/>
      <c r="E441" s="333"/>
      <c r="F441" s="333"/>
    </row>
    <row r="442" spans="4:6" x14ac:dyDescent="0.2">
      <c r="D442" s="333"/>
      <c r="E442" s="333"/>
      <c r="F442" s="333"/>
    </row>
    <row r="443" spans="4:6" x14ac:dyDescent="0.2">
      <c r="D443" s="333"/>
      <c r="E443" s="333"/>
      <c r="F443" s="333"/>
    </row>
    <row r="444" spans="4:6" x14ac:dyDescent="0.2">
      <c r="D444" s="333"/>
      <c r="E444" s="333"/>
      <c r="F444" s="333"/>
    </row>
    <row r="445" spans="4:6" x14ac:dyDescent="0.2">
      <c r="D445" s="333"/>
      <c r="E445" s="333"/>
      <c r="F445" s="333"/>
    </row>
    <row r="446" spans="4:6" x14ac:dyDescent="0.2">
      <c r="D446" s="333"/>
      <c r="E446" s="333"/>
      <c r="F446" s="333"/>
    </row>
    <row r="447" spans="4:6" x14ac:dyDescent="0.2">
      <c r="D447" s="333"/>
      <c r="E447" s="333"/>
      <c r="F447" s="333"/>
    </row>
    <row r="448" spans="4:6" x14ac:dyDescent="0.2">
      <c r="D448" s="333"/>
      <c r="E448" s="333"/>
      <c r="F448" s="333"/>
    </row>
    <row r="449" spans="4:6" x14ac:dyDescent="0.2">
      <c r="D449" s="333"/>
      <c r="E449" s="333"/>
      <c r="F449" s="333"/>
    </row>
    <row r="450" spans="4:6" x14ac:dyDescent="0.2">
      <c r="D450" s="333"/>
      <c r="E450" s="333"/>
      <c r="F450" s="333"/>
    </row>
    <row r="451" spans="4:6" x14ac:dyDescent="0.2">
      <c r="D451" s="333"/>
      <c r="E451" s="333"/>
      <c r="F451" s="333"/>
    </row>
    <row r="452" spans="4:6" x14ac:dyDescent="0.2">
      <c r="D452" s="333"/>
      <c r="E452" s="333"/>
      <c r="F452" s="333"/>
    </row>
    <row r="453" spans="4:6" x14ac:dyDescent="0.2">
      <c r="D453" s="333"/>
      <c r="E453" s="333"/>
      <c r="F453" s="333"/>
    </row>
    <row r="454" spans="4:6" x14ac:dyDescent="0.2">
      <c r="D454" s="333"/>
      <c r="E454" s="333"/>
      <c r="F454" s="333"/>
    </row>
    <row r="455" spans="4:6" x14ac:dyDescent="0.2">
      <c r="D455" s="333"/>
      <c r="E455" s="333"/>
      <c r="F455" s="333"/>
    </row>
    <row r="456" spans="4:6" x14ac:dyDescent="0.2">
      <c r="D456" s="333"/>
      <c r="E456" s="333"/>
      <c r="F456" s="333"/>
    </row>
    <row r="457" spans="4:6" x14ac:dyDescent="0.2">
      <c r="D457" s="333"/>
      <c r="E457" s="333"/>
      <c r="F457" s="333"/>
    </row>
    <row r="458" spans="4:6" x14ac:dyDescent="0.2">
      <c r="D458" s="333"/>
      <c r="E458" s="333"/>
      <c r="F458" s="333"/>
    </row>
    <row r="459" spans="4:6" x14ac:dyDescent="0.2">
      <c r="D459" s="333"/>
      <c r="E459" s="333"/>
      <c r="F459" s="333"/>
    </row>
    <row r="460" spans="4:6" x14ac:dyDescent="0.2">
      <c r="D460" s="333"/>
      <c r="E460" s="333"/>
      <c r="F460" s="333"/>
    </row>
    <row r="461" spans="4:6" x14ac:dyDescent="0.2">
      <c r="D461" s="333"/>
      <c r="E461" s="333"/>
      <c r="F461" s="333"/>
    </row>
    <row r="462" spans="4:6" x14ac:dyDescent="0.2">
      <c r="D462" s="333"/>
      <c r="E462" s="333"/>
      <c r="F462" s="333"/>
    </row>
    <row r="463" spans="4:6" x14ac:dyDescent="0.2">
      <c r="D463" s="333"/>
      <c r="E463" s="333"/>
      <c r="F463" s="333"/>
    </row>
    <row r="464" spans="4:6" x14ac:dyDescent="0.2">
      <c r="D464" s="333"/>
      <c r="E464" s="333"/>
      <c r="F464" s="333"/>
    </row>
    <row r="465" spans="4:6" x14ac:dyDescent="0.2">
      <c r="D465" s="333"/>
      <c r="E465" s="333"/>
      <c r="F465" s="333"/>
    </row>
    <row r="466" spans="4:6" x14ac:dyDescent="0.2">
      <c r="D466" s="333"/>
      <c r="E466" s="333"/>
      <c r="F466" s="333"/>
    </row>
    <row r="467" spans="4:6" x14ac:dyDescent="0.2">
      <c r="D467" s="333"/>
      <c r="E467" s="333"/>
      <c r="F467" s="333"/>
    </row>
    <row r="468" spans="4:6" x14ac:dyDescent="0.2">
      <c r="D468" s="333"/>
      <c r="E468" s="333"/>
      <c r="F468" s="333"/>
    </row>
    <row r="469" spans="4:6" x14ac:dyDescent="0.2">
      <c r="D469" s="333"/>
      <c r="E469" s="333"/>
      <c r="F469" s="333"/>
    </row>
    <row r="470" spans="4:6" x14ac:dyDescent="0.2">
      <c r="D470" s="333"/>
      <c r="E470" s="333"/>
      <c r="F470" s="333"/>
    </row>
    <row r="471" spans="4:6" x14ac:dyDescent="0.2">
      <c r="D471" s="333"/>
      <c r="E471" s="333"/>
      <c r="F471" s="333"/>
    </row>
    <row r="472" spans="4:6" x14ac:dyDescent="0.2">
      <c r="D472" s="333"/>
      <c r="E472" s="333"/>
      <c r="F472" s="333"/>
    </row>
    <row r="473" spans="4:6" x14ac:dyDescent="0.2">
      <c r="D473" s="333"/>
      <c r="E473" s="333"/>
      <c r="F473" s="333"/>
    </row>
    <row r="474" spans="4:6" x14ac:dyDescent="0.2">
      <c r="D474" s="333"/>
      <c r="E474" s="333"/>
      <c r="F474" s="333"/>
    </row>
    <row r="475" spans="4:6" x14ac:dyDescent="0.2">
      <c r="D475" s="333"/>
      <c r="E475" s="333"/>
      <c r="F475" s="333"/>
    </row>
    <row r="476" spans="4:6" x14ac:dyDescent="0.2">
      <c r="D476" s="333"/>
      <c r="E476" s="333"/>
      <c r="F476" s="333"/>
    </row>
    <row r="477" spans="4:6" x14ac:dyDescent="0.2">
      <c r="D477" s="333"/>
      <c r="E477" s="333"/>
      <c r="F477" s="333"/>
    </row>
    <row r="478" spans="4:6" x14ac:dyDescent="0.2">
      <c r="D478" s="333"/>
      <c r="E478" s="333"/>
      <c r="F478" s="333"/>
    </row>
    <row r="479" spans="4:6" x14ac:dyDescent="0.2">
      <c r="D479" s="333"/>
      <c r="E479" s="333"/>
      <c r="F479" s="333"/>
    </row>
    <row r="480" spans="4:6" x14ac:dyDescent="0.2">
      <c r="D480" s="333"/>
      <c r="E480" s="333"/>
      <c r="F480" s="333"/>
    </row>
    <row r="481" spans="4:6" x14ac:dyDescent="0.2">
      <c r="D481" s="333"/>
      <c r="E481" s="333"/>
      <c r="F481" s="333"/>
    </row>
    <row r="482" spans="4:6" x14ac:dyDescent="0.2">
      <c r="D482" s="333"/>
      <c r="E482" s="333"/>
      <c r="F482" s="333"/>
    </row>
    <row r="483" spans="4:6" x14ac:dyDescent="0.2">
      <c r="D483" s="333"/>
      <c r="E483" s="333"/>
      <c r="F483" s="333"/>
    </row>
    <row r="484" spans="4:6" x14ac:dyDescent="0.2">
      <c r="D484" s="333"/>
      <c r="E484" s="333"/>
      <c r="F484" s="333"/>
    </row>
    <row r="485" spans="4:6" x14ac:dyDescent="0.2">
      <c r="D485" s="333"/>
      <c r="E485" s="333"/>
      <c r="F485" s="333"/>
    </row>
    <row r="486" spans="4:6" x14ac:dyDescent="0.2">
      <c r="D486" s="333"/>
      <c r="E486" s="333"/>
      <c r="F486" s="333"/>
    </row>
    <row r="487" spans="4:6" x14ac:dyDescent="0.2">
      <c r="D487" s="333"/>
      <c r="E487" s="333"/>
      <c r="F487" s="333"/>
    </row>
    <row r="488" spans="4:6" x14ac:dyDescent="0.2">
      <c r="D488" s="333"/>
      <c r="E488" s="333"/>
      <c r="F488" s="333"/>
    </row>
    <row r="489" spans="4:6" x14ac:dyDescent="0.2">
      <c r="D489" s="333"/>
      <c r="E489" s="333"/>
      <c r="F489" s="333"/>
    </row>
    <row r="490" spans="4:6" x14ac:dyDescent="0.2">
      <c r="D490" s="333"/>
      <c r="E490" s="333"/>
      <c r="F490" s="333"/>
    </row>
    <row r="491" spans="4:6" x14ac:dyDescent="0.2">
      <c r="D491" s="333"/>
      <c r="E491" s="333"/>
      <c r="F491" s="333"/>
    </row>
    <row r="492" spans="4:6" x14ac:dyDescent="0.2">
      <c r="D492" s="333"/>
      <c r="E492" s="333"/>
      <c r="F492" s="333"/>
    </row>
    <row r="493" spans="4:6" x14ac:dyDescent="0.2">
      <c r="D493" s="333"/>
      <c r="E493" s="333"/>
      <c r="F493" s="333"/>
    </row>
    <row r="494" spans="4:6" x14ac:dyDescent="0.2">
      <c r="D494" s="333"/>
      <c r="E494" s="333"/>
      <c r="F494" s="333"/>
    </row>
    <row r="495" spans="4:6" x14ac:dyDescent="0.2">
      <c r="D495" s="333"/>
      <c r="E495" s="333"/>
      <c r="F495" s="333"/>
    </row>
    <row r="496" spans="4:6" x14ac:dyDescent="0.2">
      <c r="D496" s="333"/>
      <c r="E496" s="333"/>
      <c r="F496" s="333"/>
    </row>
    <row r="497" spans="4:6" x14ac:dyDescent="0.2">
      <c r="D497" s="333"/>
      <c r="E497" s="333"/>
      <c r="F497" s="333"/>
    </row>
    <row r="498" spans="4:6" x14ac:dyDescent="0.2">
      <c r="D498" s="333"/>
      <c r="E498" s="333"/>
      <c r="F498" s="333"/>
    </row>
    <row r="499" spans="4:6" x14ac:dyDescent="0.2">
      <c r="D499" s="333"/>
      <c r="E499" s="333"/>
      <c r="F499" s="333"/>
    </row>
    <row r="500" spans="4:6" x14ac:dyDescent="0.2">
      <c r="D500" s="333"/>
      <c r="E500" s="333"/>
      <c r="F500" s="333"/>
    </row>
    <row r="501" spans="4:6" x14ac:dyDescent="0.2">
      <c r="D501" s="333"/>
      <c r="E501" s="333"/>
      <c r="F501" s="333"/>
    </row>
    <row r="502" spans="4:6" x14ac:dyDescent="0.2">
      <c r="D502" s="333"/>
      <c r="E502" s="333"/>
      <c r="F502" s="333"/>
    </row>
    <row r="503" spans="4:6" x14ac:dyDescent="0.2">
      <c r="D503" s="333"/>
      <c r="E503" s="333"/>
      <c r="F503" s="333"/>
    </row>
    <row r="504" spans="4:6" x14ac:dyDescent="0.2">
      <c r="D504" s="333"/>
      <c r="E504" s="333"/>
      <c r="F504" s="333"/>
    </row>
    <row r="505" spans="4:6" x14ac:dyDescent="0.2">
      <c r="D505" s="333"/>
      <c r="E505" s="333"/>
      <c r="F505" s="333"/>
    </row>
    <row r="506" spans="4:6" x14ac:dyDescent="0.2">
      <c r="D506" s="333"/>
      <c r="E506" s="333"/>
      <c r="F506" s="333"/>
    </row>
    <row r="507" spans="4:6" x14ac:dyDescent="0.2">
      <c r="D507" s="333"/>
      <c r="E507" s="333"/>
      <c r="F507" s="333"/>
    </row>
    <row r="508" spans="4:6" x14ac:dyDescent="0.2">
      <c r="D508" s="333"/>
      <c r="E508" s="333"/>
      <c r="F508" s="333"/>
    </row>
    <row r="509" spans="4:6" x14ac:dyDescent="0.2">
      <c r="D509" s="333"/>
      <c r="E509" s="333"/>
      <c r="F509" s="333"/>
    </row>
    <row r="510" spans="4:6" x14ac:dyDescent="0.2">
      <c r="D510" s="333"/>
      <c r="E510" s="333"/>
      <c r="F510" s="333"/>
    </row>
    <row r="511" spans="4:6" x14ac:dyDescent="0.2">
      <c r="D511" s="333"/>
      <c r="E511" s="333"/>
      <c r="F511" s="333"/>
    </row>
    <row r="512" spans="4:6" x14ac:dyDescent="0.2">
      <c r="D512" s="333"/>
      <c r="E512" s="333"/>
      <c r="F512" s="333"/>
    </row>
    <row r="513" spans="4:6" x14ac:dyDescent="0.2">
      <c r="D513" s="333"/>
      <c r="E513" s="333"/>
      <c r="F513" s="333"/>
    </row>
    <row r="514" spans="4:6" x14ac:dyDescent="0.2">
      <c r="D514" s="333"/>
      <c r="E514" s="333"/>
      <c r="F514" s="333"/>
    </row>
    <row r="515" spans="4:6" x14ac:dyDescent="0.2">
      <c r="D515" s="333"/>
      <c r="E515" s="333"/>
      <c r="F515" s="333"/>
    </row>
    <row r="516" spans="4:6" x14ac:dyDescent="0.2">
      <c r="D516" s="333"/>
      <c r="E516" s="333"/>
      <c r="F516" s="333"/>
    </row>
    <row r="517" spans="4:6" x14ac:dyDescent="0.2">
      <c r="D517" s="333"/>
      <c r="E517" s="333"/>
      <c r="F517" s="333"/>
    </row>
    <row r="518" spans="4:6" x14ac:dyDescent="0.2">
      <c r="D518" s="333"/>
      <c r="E518" s="333"/>
      <c r="F518" s="333"/>
    </row>
    <row r="519" spans="4:6" x14ac:dyDescent="0.2">
      <c r="D519" s="333"/>
      <c r="E519" s="333"/>
      <c r="F519" s="333"/>
    </row>
    <row r="520" spans="4:6" x14ac:dyDescent="0.2">
      <c r="D520" s="333"/>
      <c r="E520" s="333"/>
      <c r="F520" s="333"/>
    </row>
    <row r="521" spans="4:6" x14ac:dyDescent="0.2">
      <c r="D521" s="333"/>
      <c r="E521" s="333"/>
      <c r="F521" s="333"/>
    </row>
    <row r="522" spans="4:6" x14ac:dyDescent="0.2">
      <c r="D522" s="333"/>
      <c r="E522" s="333"/>
      <c r="F522" s="333"/>
    </row>
    <row r="523" spans="4:6" x14ac:dyDescent="0.2">
      <c r="D523" s="333"/>
      <c r="E523" s="333"/>
      <c r="F523" s="333"/>
    </row>
    <row r="524" spans="4:6" x14ac:dyDescent="0.2">
      <c r="D524" s="333"/>
      <c r="E524" s="333"/>
      <c r="F524" s="333"/>
    </row>
    <row r="525" spans="4:6" x14ac:dyDescent="0.2">
      <c r="D525" s="333"/>
      <c r="E525" s="333"/>
      <c r="F525" s="333"/>
    </row>
    <row r="526" spans="4:6" x14ac:dyDescent="0.2">
      <c r="D526" s="333"/>
      <c r="E526" s="333"/>
      <c r="F526" s="333"/>
    </row>
    <row r="527" spans="4:6" x14ac:dyDescent="0.2">
      <c r="D527" s="333"/>
      <c r="E527" s="333"/>
      <c r="F527" s="333"/>
    </row>
    <row r="528" spans="4:6" x14ac:dyDescent="0.2">
      <c r="D528" s="333"/>
      <c r="E528" s="333"/>
      <c r="F528" s="333"/>
    </row>
    <row r="529" spans="4:6" x14ac:dyDescent="0.2">
      <c r="D529" s="333"/>
      <c r="E529" s="333"/>
      <c r="F529" s="333"/>
    </row>
    <row r="530" spans="4:6" x14ac:dyDescent="0.2">
      <c r="D530" s="333"/>
      <c r="E530" s="333"/>
      <c r="F530" s="333"/>
    </row>
    <row r="531" spans="4:6" x14ac:dyDescent="0.2">
      <c r="D531" s="333"/>
      <c r="E531" s="333"/>
      <c r="F531" s="333"/>
    </row>
    <row r="532" spans="4:6" x14ac:dyDescent="0.2">
      <c r="D532" s="333"/>
      <c r="E532" s="333"/>
      <c r="F532" s="333"/>
    </row>
    <row r="533" spans="4:6" x14ac:dyDescent="0.2">
      <c r="D533" s="333"/>
      <c r="E533" s="333"/>
      <c r="F533" s="333"/>
    </row>
    <row r="534" spans="4:6" x14ac:dyDescent="0.2">
      <c r="D534" s="333"/>
      <c r="E534" s="333"/>
      <c r="F534" s="333"/>
    </row>
    <row r="535" spans="4:6" x14ac:dyDescent="0.2">
      <c r="D535" s="333"/>
      <c r="E535" s="333"/>
      <c r="F535" s="333"/>
    </row>
    <row r="536" spans="4:6" x14ac:dyDescent="0.2">
      <c r="D536" s="333"/>
      <c r="E536" s="333"/>
      <c r="F536" s="333"/>
    </row>
    <row r="537" spans="4:6" x14ac:dyDescent="0.2">
      <c r="D537" s="333"/>
      <c r="E537" s="333"/>
      <c r="F537" s="333"/>
    </row>
    <row r="538" spans="4:6" x14ac:dyDescent="0.2">
      <c r="D538" s="333"/>
      <c r="E538" s="333"/>
      <c r="F538" s="333"/>
    </row>
    <row r="539" spans="4:6" x14ac:dyDescent="0.2">
      <c r="D539" s="333"/>
      <c r="E539" s="333"/>
      <c r="F539" s="333"/>
    </row>
    <row r="540" spans="4:6" x14ac:dyDescent="0.2">
      <c r="D540" s="333"/>
      <c r="E540" s="333"/>
      <c r="F540" s="333"/>
    </row>
    <row r="541" spans="4:6" x14ac:dyDescent="0.2">
      <c r="D541" s="333"/>
      <c r="E541" s="333"/>
      <c r="F541" s="333"/>
    </row>
    <row r="542" spans="4:6" x14ac:dyDescent="0.2">
      <c r="D542" s="333"/>
      <c r="E542" s="333"/>
      <c r="F542" s="333"/>
    </row>
    <row r="543" spans="4:6" x14ac:dyDescent="0.2">
      <c r="D543" s="333"/>
      <c r="E543" s="333"/>
      <c r="F543" s="333"/>
    </row>
    <row r="544" spans="4:6" x14ac:dyDescent="0.2">
      <c r="D544" s="333"/>
      <c r="E544" s="333"/>
      <c r="F544" s="333"/>
    </row>
    <row r="545" spans="4:6" x14ac:dyDescent="0.2">
      <c r="D545" s="333"/>
      <c r="E545" s="333"/>
      <c r="F545" s="333"/>
    </row>
    <row r="546" spans="4:6" x14ac:dyDescent="0.2">
      <c r="D546" s="333"/>
      <c r="E546" s="333"/>
      <c r="F546" s="333"/>
    </row>
    <row r="547" spans="4:6" x14ac:dyDescent="0.2">
      <c r="D547" s="333"/>
      <c r="E547" s="333"/>
      <c r="F547" s="333"/>
    </row>
    <row r="548" spans="4:6" x14ac:dyDescent="0.2">
      <c r="D548" s="333"/>
      <c r="E548" s="333"/>
      <c r="F548" s="333"/>
    </row>
    <row r="549" spans="4:6" x14ac:dyDescent="0.2">
      <c r="D549" s="333"/>
      <c r="E549" s="333"/>
      <c r="F549" s="333"/>
    </row>
    <row r="550" spans="4:6" x14ac:dyDescent="0.2">
      <c r="D550" s="333"/>
      <c r="E550" s="333"/>
      <c r="F550" s="333"/>
    </row>
    <row r="551" spans="4:6" x14ac:dyDescent="0.2">
      <c r="D551" s="333"/>
      <c r="E551" s="333"/>
      <c r="F551" s="333"/>
    </row>
    <row r="552" spans="4:6" x14ac:dyDescent="0.2">
      <c r="D552" s="333"/>
      <c r="E552" s="333"/>
      <c r="F552" s="333"/>
    </row>
    <row r="553" spans="4:6" x14ac:dyDescent="0.2">
      <c r="D553" s="333"/>
      <c r="E553" s="333"/>
      <c r="F553" s="333"/>
    </row>
    <row r="554" spans="4:6" x14ac:dyDescent="0.2">
      <c r="D554" s="333"/>
      <c r="E554" s="333"/>
      <c r="F554" s="333"/>
    </row>
    <row r="555" spans="4:6" x14ac:dyDescent="0.2">
      <c r="D555" s="333"/>
      <c r="E555" s="333"/>
      <c r="F555" s="333"/>
    </row>
    <row r="556" spans="4:6" x14ac:dyDescent="0.2">
      <c r="D556" s="333"/>
      <c r="E556" s="333"/>
      <c r="F556" s="333"/>
    </row>
    <row r="557" spans="4:6" x14ac:dyDescent="0.2">
      <c r="D557" s="333"/>
      <c r="E557" s="333"/>
      <c r="F557" s="333"/>
    </row>
    <row r="558" spans="4:6" x14ac:dyDescent="0.2">
      <c r="D558" s="333"/>
      <c r="E558" s="333"/>
      <c r="F558" s="333"/>
    </row>
    <row r="559" spans="4:6" x14ac:dyDescent="0.2">
      <c r="D559" s="333"/>
      <c r="E559" s="333"/>
      <c r="F559" s="333"/>
    </row>
    <row r="560" spans="4:6" x14ac:dyDescent="0.2">
      <c r="D560" s="333"/>
      <c r="E560" s="333"/>
      <c r="F560" s="333"/>
    </row>
    <row r="561" spans="4:6" x14ac:dyDescent="0.2">
      <c r="D561" s="333"/>
      <c r="E561" s="333"/>
      <c r="F561" s="333"/>
    </row>
    <row r="562" spans="4:6" x14ac:dyDescent="0.2">
      <c r="D562" s="333"/>
      <c r="E562" s="333"/>
      <c r="F562" s="333"/>
    </row>
    <row r="563" spans="4:6" x14ac:dyDescent="0.2">
      <c r="D563" s="333"/>
      <c r="E563" s="333"/>
      <c r="F563" s="333"/>
    </row>
    <row r="564" spans="4:6" x14ac:dyDescent="0.2">
      <c r="D564" s="333"/>
      <c r="E564" s="333"/>
      <c r="F564" s="333"/>
    </row>
    <row r="565" spans="4:6" x14ac:dyDescent="0.2">
      <c r="D565" s="333"/>
      <c r="E565" s="333"/>
      <c r="F565" s="333"/>
    </row>
    <row r="566" spans="4:6" x14ac:dyDescent="0.2">
      <c r="D566" s="333"/>
      <c r="E566" s="333"/>
      <c r="F566" s="333"/>
    </row>
    <row r="567" spans="4:6" x14ac:dyDescent="0.2">
      <c r="D567" s="333"/>
      <c r="E567" s="333"/>
      <c r="F567" s="333"/>
    </row>
    <row r="568" spans="4:6" x14ac:dyDescent="0.2">
      <c r="D568" s="333"/>
      <c r="E568" s="333"/>
      <c r="F568" s="333"/>
    </row>
    <row r="569" spans="4:6" x14ac:dyDescent="0.2">
      <c r="D569" s="333"/>
      <c r="E569" s="333"/>
      <c r="F569" s="333"/>
    </row>
    <row r="570" spans="4:6" x14ac:dyDescent="0.2">
      <c r="D570" s="333"/>
      <c r="E570" s="333"/>
      <c r="F570" s="333"/>
    </row>
    <row r="571" spans="4:6" x14ac:dyDescent="0.2">
      <c r="D571" s="333"/>
      <c r="E571" s="333"/>
      <c r="F571" s="333"/>
    </row>
    <row r="572" spans="4:6" x14ac:dyDescent="0.2">
      <c r="D572" s="333"/>
      <c r="E572" s="333"/>
      <c r="F572" s="333"/>
    </row>
    <row r="573" spans="4:6" x14ac:dyDescent="0.2">
      <c r="D573" s="333"/>
      <c r="E573" s="333"/>
      <c r="F573" s="333"/>
    </row>
    <row r="574" spans="4:6" x14ac:dyDescent="0.2">
      <c r="D574" s="333"/>
      <c r="E574" s="333"/>
      <c r="F574" s="333"/>
    </row>
    <row r="575" spans="4:6" x14ac:dyDescent="0.2">
      <c r="D575" s="333"/>
      <c r="E575" s="333"/>
      <c r="F575" s="333"/>
    </row>
    <row r="576" spans="4:6" x14ac:dyDescent="0.2">
      <c r="D576" s="333"/>
      <c r="E576" s="333"/>
      <c r="F576" s="333"/>
    </row>
    <row r="577" spans="4:6" x14ac:dyDescent="0.2">
      <c r="D577" s="333"/>
      <c r="E577" s="333"/>
      <c r="F577" s="333"/>
    </row>
    <row r="578" spans="4:6" x14ac:dyDescent="0.2">
      <c r="D578" s="333"/>
      <c r="E578" s="333"/>
      <c r="F578" s="333"/>
    </row>
    <row r="579" spans="4:6" x14ac:dyDescent="0.2">
      <c r="D579" s="333"/>
      <c r="E579" s="333"/>
      <c r="F579" s="333"/>
    </row>
    <row r="580" spans="4:6" x14ac:dyDescent="0.2">
      <c r="D580" s="333"/>
      <c r="E580" s="333"/>
      <c r="F580" s="333"/>
    </row>
    <row r="581" spans="4:6" x14ac:dyDescent="0.2">
      <c r="D581" s="333"/>
      <c r="E581" s="333"/>
      <c r="F581" s="333"/>
    </row>
    <row r="582" spans="4:6" x14ac:dyDescent="0.2">
      <c r="D582" s="333"/>
      <c r="E582" s="333"/>
      <c r="F582" s="333"/>
    </row>
    <row r="583" spans="4:6" x14ac:dyDescent="0.2">
      <c r="D583" s="333"/>
      <c r="E583" s="333"/>
      <c r="F583" s="333"/>
    </row>
    <row r="584" spans="4:6" x14ac:dyDescent="0.2">
      <c r="D584" s="333"/>
      <c r="E584" s="333"/>
      <c r="F584" s="333"/>
    </row>
    <row r="585" spans="4:6" x14ac:dyDescent="0.2">
      <c r="D585" s="333"/>
      <c r="E585" s="333"/>
      <c r="F585" s="333"/>
    </row>
    <row r="586" spans="4:6" x14ac:dyDescent="0.2">
      <c r="D586" s="333"/>
      <c r="E586" s="333"/>
      <c r="F586" s="333"/>
    </row>
    <row r="587" spans="4:6" x14ac:dyDescent="0.2">
      <c r="D587" s="333"/>
      <c r="E587" s="333"/>
      <c r="F587" s="333"/>
    </row>
    <row r="588" spans="4:6" x14ac:dyDescent="0.2">
      <c r="D588" s="333"/>
      <c r="E588" s="333"/>
      <c r="F588" s="333"/>
    </row>
    <row r="589" spans="4:6" x14ac:dyDescent="0.2">
      <c r="D589" s="333"/>
      <c r="E589" s="333"/>
      <c r="F589" s="333"/>
    </row>
    <row r="590" spans="4:6" x14ac:dyDescent="0.2">
      <c r="D590" s="333"/>
      <c r="E590" s="333"/>
      <c r="F590" s="333"/>
    </row>
    <row r="591" spans="4:6" x14ac:dyDescent="0.2">
      <c r="D591" s="333"/>
      <c r="E591" s="333"/>
      <c r="F591" s="333"/>
    </row>
    <row r="592" spans="4:6" x14ac:dyDescent="0.2">
      <c r="D592" s="333"/>
      <c r="E592" s="333"/>
      <c r="F592" s="333"/>
    </row>
    <row r="593" spans="4:6" x14ac:dyDescent="0.2">
      <c r="D593" s="333"/>
      <c r="E593" s="333"/>
      <c r="F593" s="333"/>
    </row>
    <row r="594" spans="4:6" x14ac:dyDescent="0.2">
      <c r="D594" s="333"/>
      <c r="E594" s="333"/>
      <c r="F594" s="333"/>
    </row>
    <row r="595" spans="4:6" x14ac:dyDescent="0.2">
      <c r="D595" s="333"/>
      <c r="E595" s="333"/>
      <c r="F595" s="333"/>
    </row>
    <row r="596" spans="4:6" x14ac:dyDescent="0.2">
      <c r="D596" s="333"/>
      <c r="E596" s="333"/>
      <c r="F596" s="333"/>
    </row>
    <row r="597" spans="4:6" x14ac:dyDescent="0.2">
      <c r="D597" s="333"/>
      <c r="E597" s="333"/>
      <c r="F597" s="333"/>
    </row>
    <row r="598" spans="4:6" x14ac:dyDescent="0.2">
      <c r="D598" s="333"/>
      <c r="E598" s="333"/>
      <c r="F598" s="333"/>
    </row>
    <row r="599" spans="4:6" x14ac:dyDescent="0.2">
      <c r="D599" s="333"/>
      <c r="E599" s="333"/>
      <c r="F599" s="333"/>
    </row>
    <row r="600" spans="4:6" x14ac:dyDescent="0.2">
      <c r="D600" s="333"/>
      <c r="E600" s="333"/>
      <c r="F600" s="333"/>
    </row>
    <row r="601" spans="4:6" x14ac:dyDescent="0.2">
      <c r="D601" s="333"/>
      <c r="E601" s="333"/>
      <c r="F601" s="333"/>
    </row>
    <row r="602" spans="4:6" x14ac:dyDescent="0.2">
      <c r="D602" s="333"/>
      <c r="E602" s="333"/>
      <c r="F602" s="333"/>
    </row>
    <row r="603" spans="4:6" x14ac:dyDescent="0.2">
      <c r="D603" s="333"/>
      <c r="E603" s="333"/>
      <c r="F603" s="333"/>
    </row>
    <row r="604" spans="4:6" x14ac:dyDescent="0.2">
      <c r="D604" s="333"/>
      <c r="E604" s="333"/>
      <c r="F604" s="333"/>
    </row>
    <row r="605" spans="4:6" x14ac:dyDescent="0.2">
      <c r="D605" s="333"/>
      <c r="E605" s="333"/>
      <c r="F605" s="333"/>
    </row>
    <row r="606" spans="4:6" x14ac:dyDescent="0.2">
      <c r="D606" s="333"/>
      <c r="E606" s="333"/>
      <c r="F606" s="333"/>
    </row>
    <row r="607" spans="4:6" x14ac:dyDescent="0.2">
      <c r="D607" s="333"/>
      <c r="E607" s="333"/>
      <c r="F607" s="333"/>
    </row>
    <row r="608" spans="4:6" x14ac:dyDescent="0.2">
      <c r="D608" s="333"/>
      <c r="E608" s="333"/>
      <c r="F608" s="333"/>
    </row>
    <row r="609" spans="4:6" x14ac:dyDescent="0.2">
      <c r="D609" s="333"/>
      <c r="E609" s="333"/>
      <c r="F609" s="333"/>
    </row>
    <row r="610" spans="4:6" x14ac:dyDescent="0.2">
      <c r="D610" s="333"/>
      <c r="E610" s="333"/>
      <c r="F610" s="333"/>
    </row>
    <row r="611" spans="4:6" x14ac:dyDescent="0.2">
      <c r="D611" s="333"/>
      <c r="E611" s="333"/>
      <c r="F611" s="333"/>
    </row>
    <row r="612" spans="4:6" x14ac:dyDescent="0.2">
      <c r="D612" s="333"/>
      <c r="E612" s="333"/>
      <c r="F612" s="333"/>
    </row>
    <row r="613" spans="4:6" x14ac:dyDescent="0.2">
      <c r="D613" s="333"/>
      <c r="E613" s="333"/>
      <c r="F613" s="333"/>
    </row>
    <row r="614" spans="4:6" x14ac:dyDescent="0.2">
      <c r="D614" s="333"/>
      <c r="E614" s="333"/>
      <c r="F614" s="333"/>
    </row>
    <row r="615" spans="4:6" x14ac:dyDescent="0.2">
      <c r="D615" s="333"/>
      <c r="E615" s="333"/>
      <c r="F615" s="333"/>
    </row>
    <row r="616" spans="4:6" x14ac:dyDescent="0.2">
      <c r="D616" s="333"/>
      <c r="E616" s="333"/>
      <c r="F616" s="333"/>
    </row>
    <row r="617" spans="4:6" x14ac:dyDescent="0.2">
      <c r="D617" s="333"/>
      <c r="E617" s="333"/>
      <c r="F617" s="333"/>
    </row>
    <row r="618" spans="4:6" x14ac:dyDescent="0.2">
      <c r="D618" s="333"/>
      <c r="E618" s="333"/>
      <c r="F618" s="333"/>
    </row>
    <row r="619" spans="4:6" x14ac:dyDescent="0.2">
      <c r="D619" s="333"/>
      <c r="E619" s="333"/>
      <c r="F619" s="333"/>
    </row>
    <row r="620" spans="4:6" x14ac:dyDescent="0.2">
      <c r="D620" s="333"/>
      <c r="E620" s="333"/>
      <c r="F620" s="333"/>
    </row>
    <row r="621" spans="4:6" x14ac:dyDescent="0.2">
      <c r="D621" s="333"/>
      <c r="E621" s="333"/>
      <c r="F621" s="333"/>
    </row>
    <row r="622" spans="4:6" x14ac:dyDescent="0.2">
      <c r="D622" s="333"/>
      <c r="E622" s="333"/>
      <c r="F622" s="333"/>
    </row>
    <row r="623" spans="4:6" x14ac:dyDescent="0.2">
      <c r="D623" s="333"/>
      <c r="E623" s="333"/>
      <c r="F623" s="333"/>
    </row>
    <row r="624" spans="4:6" x14ac:dyDescent="0.2">
      <c r="D624" s="333"/>
      <c r="E624" s="333"/>
      <c r="F624" s="333"/>
    </row>
    <row r="625" spans="4:6" x14ac:dyDescent="0.2">
      <c r="D625" s="333"/>
      <c r="E625" s="333"/>
      <c r="F625" s="333"/>
    </row>
    <row r="626" spans="4:6" x14ac:dyDescent="0.2">
      <c r="D626" s="333"/>
      <c r="E626" s="333"/>
      <c r="F626" s="333"/>
    </row>
    <row r="627" spans="4:6" x14ac:dyDescent="0.2">
      <c r="D627" s="333"/>
      <c r="E627" s="333"/>
      <c r="F627" s="333"/>
    </row>
    <row r="628" spans="4:6" x14ac:dyDescent="0.2">
      <c r="D628" s="333"/>
      <c r="E628" s="333"/>
      <c r="F628" s="333"/>
    </row>
    <row r="629" spans="4:6" x14ac:dyDescent="0.2">
      <c r="D629" s="333"/>
      <c r="E629" s="333"/>
      <c r="F629" s="333"/>
    </row>
    <row r="630" spans="4:6" x14ac:dyDescent="0.2">
      <c r="D630" s="333"/>
      <c r="E630" s="333"/>
      <c r="F630" s="333"/>
    </row>
    <row r="631" spans="4:6" x14ac:dyDescent="0.2">
      <c r="D631" s="333"/>
      <c r="E631" s="333"/>
      <c r="F631" s="333"/>
    </row>
    <row r="632" spans="4:6" x14ac:dyDescent="0.2">
      <c r="D632" s="333"/>
      <c r="E632" s="333"/>
      <c r="F632" s="333"/>
    </row>
    <row r="633" spans="4:6" x14ac:dyDescent="0.2">
      <c r="D633" s="333"/>
      <c r="E633" s="333"/>
      <c r="F633" s="333"/>
    </row>
    <row r="634" spans="4:6" x14ac:dyDescent="0.2">
      <c r="D634" s="333"/>
      <c r="E634" s="333"/>
      <c r="F634" s="333"/>
    </row>
    <row r="635" spans="4:6" x14ac:dyDescent="0.2">
      <c r="D635" s="333"/>
      <c r="E635" s="333"/>
      <c r="F635" s="333"/>
    </row>
    <row r="636" spans="4:6" x14ac:dyDescent="0.2">
      <c r="D636" s="333"/>
      <c r="E636" s="333"/>
      <c r="F636" s="333"/>
    </row>
    <row r="637" spans="4:6" x14ac:dyDescent="0.2">
      <c r="D637" s="333"/>
      <c r="E637" s="333"/>
      <c r="F637" s="333"/>
    </row>
    <row r="638" spans="4:6" x14ac:dyDescent="0.2">
      <c r="D638" s="333"/>
      <c r="E638" s="333"/>
      <c r="F638" s="333"/>
    </row>
    <row r="639" spans="4:6" x14ac:dyDescent="0.2">
      <c r="D639" s="333"/>
      <c r="E639" s="333"/>
      <c r="F639" s="333"/>
    </row>
    <row r="640" spans="4:6" x14ac:dyDescent="0.2">
      <c r="D640" s="333"/>
      <c r="E640" s="333"/>
      <c r="F640" s="333"/>
    </row>
    <row r="641" spans="4:6" x14ac:dyDescent="0.2">
      <c r="D641" s="333"/>
      <c r="E641" s="333"/>
      <c r="F641" s="333"/>
    </row>
    <row r="642" spans="4:6" x14ac:dyDescent="0.2">
      <c r="D642" s="333"/>
      <c r="E642" s="333"/>
      <c r="F642" s="333"/>
    </row>
    <row r="643" spans="4:6" x14ac:dyDescent="0.2">
      <c r="D643" s="333"/>
      <c r="E643" s="333"/>
      <c r="F643" s="333"/>
    </row>
    <row r="644" spans="4:6" x14ac:dyDescent="0.2">
      <c r="D644" s="333"/>
      <c r="E644" s="333"/>
      <c r="F644" s="333"/>
    </row>
    <row r="645" spans="4:6" x14ac:dyDescent="0.2">
      <c r="D645" s="333"/>
      <c r="E645" s="333"/>
      <c r="F645" s="333"/>
    </row>
    <row r="646" spans="4:6" x14ac:dyDescent="0.2">
      <c r="D646" s="333"/>
      <c r="E646" s="333"/>
      <c r="F646" s="333"/>
    </row>
    <row r="647" spans="4:6" x14ac:dyDescent="0.2">
      <c r="D647" s="333"/>
      <c r="E647" s="333"/>
      <c r="F647" s="333"/>
    </row>
    <row r="648" spans="4:6" x14ac:dyDescent="0.2">
      <c r="D648" s="333"/>
      <c r="E648" s="333"/>
      <c r="F648" s="333"/>
    </row>
    <row r="649" spans="4:6" x14ac:dyDescent="0.2">
      <c r="D649" s="333"/>
      <c r="E649" s="333"/>
      <c r="F649" s="333"/>
    </row>
    <row r="650" spans="4:6" x14ac:dyDescent="0.2">
      <c r="D650" s="333"/>
      <c r="E650" s="333"/>
      <c r="F650" s="333"/>
    </row>
    <row r="651" spans="4:6" x14ac:dyDescent="0.2">
      <c r="D651" s="333"/>
      <c r="E651" s="333"/>
      <c r="F651" s="333"/>
    </row>
    <row r="652" spans="4:6" x14ac:dyDescent="0.2">
      <c r="D652" s="333"/>
      <c r="E652" s="333"/>
      <c r="F652" s="333"/>
    </row>
    <row r="653" spans="4:6" x14ac:dyDescent="0.2">
      <c r="D653" s="333"/>
      <c r="E653" s="333"/>
      <c r="F653" s="333"/>
    </row>
    <row r="654" spans="4:6" x14ac:dyDescent="0.2">
      <c r="D654" s="333"/>
      <c r="E654" s="333"/>
      <c r="F654" s="333"/>
    </row>
    <row r="655" spans="4:6" x14ac:dyDescent="0.2">
      <c r="D655" s="333"/>
      <c r="E655" s="333"/>
      <c r="F655" s="333"/>
    </row>
    <row r="656" spans="4:6" x14ac:dyDescent="0.2">
      <c r="D656" s="333"/>
      <c r="E656" s="333"/>
      <c r="F656" s="333"/>
    </row>
    <row r="657" spans="4:6" x14ac:dyDescent="0.2">
      <c r="D657" s="333"/>
      <c r="E657" s="333"/>
      <c r="F657" s="333"/>
    </row>
    <row r="658" spans="4:6" x14ac:dyDescent="0.2">
      <c r="D658" s="333"/>
      <c r="E658" s="333"/>
      <c r="F658" s="333"/>
    </row>
    <row r="659" spans="4:6" x14ac:dyDescent="0.2">
      <c r="D659" s="333"/>
      <c r="E659" s="333"/>
      <c r="F659" s="333"/>
    </row>
    <row r="660" spans="4:6" x14ac:dyDescent="0.2">
      <c r="D660" s="333"/>
      <c r="E660" s="333"/>
      <c r="F660" s="333"/>
    </row>
    <row r="661" spans="4:6" x14ac:dyDescent="0.2">
      <c r="D661" s="333"/>
      <c r="E661" s="333"/>
      <c r="F661" s="333"/>
    </row>
    <row r="662" spans="4:6" x14ac:dyDescent="0.2">
      <c r="D662" s="333"/>
      <c r="E662" s="333"/>
      <c r="F662" s="333"/>
    </row>
    <row r="663" spans="4:6" x14ac:dyDescent="0.2">
      <c r="D663" s="333"/>
      <c r="E663" s="333"/>
      <c r="F663" s="333"/>
    </row>
    <row r="664" spans="4:6" x14ac:dyDescent="0.2">
      <c r="D664" s="333"/>
      <c r="E664" s="333"/>
      <c r="F664" s="333"/>
    </row>
    <row r="665" spans="4:6" x14ac:dyDescent="0.2">
      <c r="D665" s="333"/>
      <c r="E665" s="333"/>
      <c r="F665" s="333"/>
    </row>
    <row r="666" spans="4:6" x14ac:dyDescent="0.2">
      <c r="D666" s="333"/>
      <c r="E666" s="333"/>
      <c r="F666" s="333"/>
    </row>
    <row r="667" spans="4:6" x14ac:dyDescent="0.2">
      <c r="D667" s="333"/>
      <c r="E667" s="333"/>
      <c r="F667" s="333"/>
    </row>
    <row r="668" spans="4:6" x14ac:dyDescent="0.2">
      <c r="D668" s="333"/>
      <c r="E668" s="333"/>
      <c r="F668" s="333"/>
    </row>
    <row r="669" spans="4:6" x14ac:dyDescent="0.2">
      <c r="D669" s="333"/>
      <c r="E669" s="333"/>
      <c r="F669" s="333"/>
    </row>
    <row r="670" spans="4:6" x14ac:dyDescent="0.2">
      <c r="D670" s="333"/>
      <c r="E670" s="333"/>
      <c r="F670" s="333"/>
    </row>
    <row r="671" spans="4:6" x14ac:dyDescent="0.2">
      <c r="D671" s="333"/>
      <c r="E671" s="333"/>
      <c r="F671" s="333"/>
    </row>
    <row r="672" spans="4:6" x14ac:dyDescent="0.2">
      <c r="D672" s="333"/>
      <c r="E672" s="333"/>
      <c r="F672" s="333"/>
    </row>
    <row r="673" spans="4:6" x14ac:dyDescent="0.2">
      <c r="D673" s="333"/>
      <c r="E673" s="333"/>
      <c r="F673" s="333"/>
    </row>
    <row r="674" spans="4:6" x14ac:dyDescent="0.2">
      <c r="D674" s="333"/>
      <c r="E674" s="333"/>
      <c r="F674" s="333"/>
    </row>
    <row r="675" spans="4:6" x14ac:dyDescent="0.2">
      <c r="D675" s="333"/>
      <c r="E675" s="333"/>
      <c r="F675" s="333"/>
    </row>
    <row r="676" spans="4:6" x14ac:dyDescent="0.2">
      <c r="D676" s="333"/>
      <c r="E676" s="333"/>
      <c r="F676" s="333"/>
    </row>
    <row r="677" spans="4:6" x14ac:dyDescent="0.2">
      <c r="D677" s="333"/>
      <c r="E677" s="333"/>
      <c r="F677" s="333"/>
    </row>
    <row r="678" spans="4:6" x14ac:dyDescent="0.2">
      <c r="D678" s="333"/>
      <c r="E678" s="333"/>
      <c r="F678" s="333"/>
    </row>
    <row r="679" spans="4:6" x14ac:dyDescent="0.2">
      <c r="D679" s="333"/>
      <c r="E679" s="333"/>
      <c r="F679" s="333"/>
    </row>
    <row r="680" spans="4:6" x14ac:dyDescent="0.2">
      <c r="D680" s="333"/>
      <c r="E680" s="333"/>
      <c r="F680" s="333"/>
    </row>
    <row r="681" spans="4:6" x14ac:dyDescent="0.2">
      <c r="D681" s="333"/>
      <c r="E681" s="333"/>
      <c r="F681" s="333"/>
    </row>
    <row r="682" spans="4:6" x14ac:dyDescent="0.2">
      <c r="D682" s="333"/>
      <c r="E682" s="333"/>
      <c r="F682" s="333"/>
    </row>
    <row r="683" spans="4:6" x14ac:dyDescent="0.2">
      <c r="D683" s="333"/>
      <c r="E683" s="333"/>
      <c r="F683" s="333"/>
    </row>
    <row r="684" spans="4:6" x14ac:dyDescent="0.2">
      <c r="D684" s="333"/>
      <c r="E684" s="333"/>
      <c r="F684" s="333"/>
    </row>
    <row r="685" spans="4:6" x14ac:dyDescent="0.2">
      <c r="D685" s="333"/>
      <c r="E685" s="333"/>
      <c r="F685" s="333"/>
    </row>
    <row r="686" spans="4:6" x14ac:dyDescent="0.2">
      <c r="D686" s="333"/>
      <c r="E686" s="333"/>
      <c r="F686" s="333"/>
    </row>
    <row r="687" spans="4:6" x14ac:dyDescent="0.2">
      <c r="D687" s="333"/>
      <c r="E687" s="333"/>
      <c r="F687" s="333"/>
    </row>
    <row r="688" spans="4:6" x14ac:dyDescent="0.2">
      <c r="D688" s="333"/>
      <c r="E688" s="333"/>
      <c r="F688" s="333"/>
    </row>
    <row r="689" spans="4:6" x14ac:dyDescent="0.2">
      <c r="D689" s="333"/>
      <c r="E689" s="333"/>
      <c r="F689" s="333"/>
    </row>
    <row r="690" spans="4:6" x14ac:dyDescent="0.2">
      <c r="D690" s="333"/>
      <c r="E690" s="333"/>
      <c r="F690" s="333"/>
    </row>
    <row r="691" spans="4:6" x14ac:dyDescent="0.2">
      <c r="D691" s="333"/>
      <c r="E691" s="333"/>
      <c r="F691" s="333"/>
    </row>
    <row r="692" spans="4:6" x14ac:dyDescent="0.2">
      <c r="D692" s="333"/>
      <c r="E692" s="333"/>
      <c r="F692" s="333"/>
    </row>
    <row r="693" spans="4:6" x14ac:dyDescent="0.2">
      <c r="D693" s="333"/>
      <c r="E693" s="333"/>
      <c r="F693" s="333"/>
    </row>
    <row r="694" spans="4:6" x14ac:dyDescent="0.2">
      <c r="D694" s="333"/>
      <c r="E694" s="333"/>
      <c r="F694" s="333"/>
    </row>
    <row r="695" spans="4:6" x14ac:dyDescent="0.2">
      <c r="D695" s="333"/>
      <c r="E695" s="333"/>
      <c r="F695" s="333"/>
    </row>
    <row r="696" spans="4:6" x14ac:dyDescent="0.2">
      <c r="D696" s="333"/>
      <c r="E696" s="333"/>
      <c r="F696" s="333"/>
    </row>
    <row r="697" spans="4:6" x14ac:dyDescent="0.2">
      <c r="D697" s="333"/>
      <c r="E697" s="333"/>
      <c r="F697" s="333"/>
    </row>
    <row r="698" spans="4:6" x14ac:dyDescent="0.2">
      <c r="D698" s="333"/>
      <c r="E698" s="333"/>
      <c r="F698" s="333"/>
    </row>
    <row r="699" spans="4:6" x14ac:dyDescent="0.2">
      <c r="D699" s="333"/>
      <c r="E699" s="333"/>
      <c r="F699" s="333"/>
    </row>
    <row r="700" spans="4:6" x14ac:dyDescent="0.2">
      <c r="D700" s="333"/>
      <c r="E700" s="333"/>
      <c r="F700" s="333"/>
    </row>
    <row r="701" spans="4:6" x14ac:dyDescent="0.2">
      <c r="D701" s="333"/>
      <c r="E701" s="333"/>
      <c r="F701" s="333"/>
    </row>
    <row r="702" spans="4:6" x14ac:dyDescent="0.2">
      <c r="D702" s="333"/>
      <c r="E702" s="333"/>
      <c r="F702" s="333"/>
    </row>
    <row r="703" spans="4:6" x14ac:dyDescent="0.2">
      <c r="D703" s="333"/>
      <c r="E703" s="333"/>
      <c r="F703" s="333"/>
    </row>
    <row r="704" spans="4:6" x14ac:dyDescent="0.2">
      <c r="D704" s="333"/>
      <c r="E704" s="333"/>
      <c r="F704" s="333"/>
    </row>
    <row r="705" spans="4:6" x14ac:dyDescent="0.2">
      <c r="D705" s="333"/>
      <c r="E705" s="333"/>
      <c r="F705" s="333"/>
    </row>
    <row r="706" spans="4:6" x14ac:dyDescent="0.2">
      <c r="D706" s="333"/>
      <c r="E706" s="333"/>
      <c r="F706" s="333"/>
    </row>
    <row r="707" spans="4:6" x14ac:dyDescent="0.2">
      <c r="D707" s="333"/>
      <c r="E707" s="333"/>
      <c r="F707" s="333"/>
    </row>
    <row r="708" spans="4:6" x14ac:dyDescent="0.2">
      <c r="D708" s="333"/>
      <c r="E708" s="333"/>
      <c r="F708" s="333"/>
    </row>
    <row r="709" spans="4:6" x14ac:dyDescent="0.2">
      <c r="D709" s="333"/>
      <c r="E709" s="333"/>
      <c r="F709" s="333"/>
    </row>
    <row r="710" spans="4:6" x14ac:dyDescent="0.2">
      <c r="D710" s="333"/>
      <c r="E710" s="333"/>
      <c r="F710" s="333"/>
    </row>
    <row r="711" spans="4:6" x14ac:dyDescent="0.2">
      <c r="D711" s="333"/>
      <c r="E711" s="333"/>
      <c r="F711" s="333"/>
    </row>
    <row r="712" spans="4:6" x14ac:dyDescent="0.2">
      <c r="D712" s="333"/>
      <c r="E712" s="333"/>
      <c r="F712" s="333"/>
    </row>
    <row r="713" spans="4:6" x14ac:dyDescent="0.2">
      <c r="D713" s="333"/>
      <c r="E713" s="333"/>
      <c r="F713" s="333"/>
    </row>
    <row r="714" spans="4:6" x14ac:dyDescent="0.2">
      <c r="D714" s="333"/>
      <c r="E714" s="333"/>
      <c r="F714" s="333"/>
    </row>
    <row r="715" spans="4:6" x14ac:dyDescent="0.2">
      <c r="D715" s="333"/>
      <c r="E715" s="333"/>
      <c r="F715" s="333"/>
    </row>
    <row r="716" spans="4:6" x14ac:dyDescent="0.2">
      <c r="D716" s="333"/>
      <c r="E716" s="333"/>
      <c r="F716" s="333"/>
    </row>
    <row r="717" spans="4:6" x14ac:dyDescent="0.2">
      <c r="D717" s="333"/>
      <c r="E717" s="333"/>
      <c r="F717" s="333"/>
    </row>
    <row r="718" spans="4:6" x14ac:dyDescent="0.2">
      <c r="D718" s="333"/>
      <c r="E718" s="333"/>
      <c r="F718" s="333"/>
    </row>
    <row r="719" spans="4:6" x14ac:dyDescent="0.2">
      <c r="D719" s="333"/>
      <c r="E719" s="333"/>
      <c r="F719" s="333"/>
    </row>
    <row r="720" spans="4:6" x14ac:dyDescent="0.2">
      <c r="D720" s="333"/>
      <c r="E720" s="333"/>
      <c r="F720" s="333"/>
    </row>
    <row r="721" spans="4:6" x14ac:dyDescent="0.2">
      <c r="D721" s="333"/>
      <c r="E721" s="333"/>
      <c r="F721" s="333"/>
    </row>
    <row r="722" spans="4:6" x14ac:dyDescent="0.2">
      <c r="D722" s="333"/>
      <c r="E722" s="333"/>
      <c r="F722" s="333"/>
    </row>
    <row r="723" spans="4:6" x14ac:dyDescent="0.2">
      <c r="D723" s="333"/>
      <c r="E723" s="333"/>
      <c r="F723" s="333"/>
    </row>
    <row r="724" spans="4:6" x14ac:dyDescent="0.2">
      <c r="D724" s="333"/>
      <c r="E724" s="333"/>
      <c r="F724" s="333"/>
    </row>
    <row r="725" spans="4:6" x14ac:dyDescent="0.2">
      <c r="D725" s="333"/>
      <c r="E725" s="333"/>
      <c r="F725" s="333"/>
    </row>
    <row r="726" spans="4:6" x14ac:dyDescent="0.2">
      <c r="D726" s="333"/>
      <c r="E726" s="333"/>
      <c r="F726" s="333"/>
    </row>
    <row r="727" spans="4:6" x14ac:dyDescent="0.2">
      <c r="D727" s="333"/>
      <c r="E727" s="333"/>
      <c r="F727" s="333"/>
    </row>
    <row r="728" spans="4:6" x14ac:dyDescent="0.2">
      <c r="D728" s="333"/>
      <c r="E728" s="333"/>
      <c r="F728" s="333"/>
    </row>
    <row r="729" spans="4:6" x14ac:dyDescent="0.2">
      <c r="D729" s="333"/>
      <c r="E729" s="333"/>
      <c r="F729" s="333"/>
    </row>
    <row r="730" spans="4:6" x14ac:dyDescent="0.2">
      <c r="D730" s="333"/>
      <c r="E730" s="333"/>
      <c r="F730" s="333"/>
    </row>
    <row r="731" spans="4:6" x14ac:dyDescent="0.2">
      <c r="D731" s="333"/>
      <c r="E731" s="333"/>
      <c r="F731" s="333"/>
    </row>
    <row r="732" spans="4:6" x14ac:dyDescent="0.2">
      <c r="D732" s="333"/>
      <c r="E732" s="333"/>
      <c r="F732" s="333"/>
    </row>
    <row r="733" spans="4:6" x14ac:dyDescent="0.2">
      <c r="D733" s="333"/>
      <c r="E733" s="333"/>
      <c r="F733" s="333"/>
    </row>
    <row r="734" spans="4:6" x14ac:dyDescent="0.2">
      <c r="D734" s="333"/>
      <c r="E734" s="333"/>
      <c r="F734" s="333"/>
    </row>
    <row r="735" spans="4:6" x14ac:dyDescent="0.2">
      <c r="D735" s="333"/>
      <c r="E735" s="333"/>
      <c r="F735" s="333"/>
    </row>
    <row r="736" spans="4:6" x14ac:dyDescent="0.2">
      <c r="D736" s="333"/>
      <c r="E736" s="333"/>
      <c r="F736" s="333"/>
    </row>
    <row r="737" spans="4:6" x14ac:dyDescent="0.2">
      <c r="D737" s="333"/>
      <c r="E737" s="333"/>
      <c r="F737" s="333"/>
    </row>
    <row r="738" spans="4:6" x14ac:dyDescent="0.2">
      <c r="D738" s="333"/>
      <c r="E738" s="333"/>
      <c r="F738" s="333"/>
    </row>
    <row r="739" spans="4:6" x14ac:dyDescent="0.2">
      <c r="D739" s="333"/>
      <c r="E739" s="333"/>
      <c r="F739" s="333"/>
    </row>
    <row r="740" spans="4:6" x14ac:dyDescent="0.2">
      <c r="D740" s="333"/>
      <c r="E740" s="333"/>
      <c r="F740" s="333"/>
    </row>
    <row r="741" spans="4:6" x14ac:dyDescent="0.2">
      <c r="D741" s="333"/>
      <c r="E741" s="333"/>
      <c r="F741" s="333"/>
    </row>
    <row r="742" spans="4:6" x14ac:dyDescent="0.2">
      <c r="D742" s="333"/>
      <c r="E742" s="333"/>
      <c r="F742" s="333"/>
    </row>
    <row r="743" spans="4:6" x14ac:dyDescent="0.2">
      <c r="D743" s="333"/>
      <c r="E743" s="333"/>
      <c r="F743" s="333"/>
    </row>
    <row r="744" spans="4:6" x14ac:dyDescent="0.2">
      <c r="D744" s="333"/>
      <c r="E744" s="333"/>
      <c r="F744" s="333"/>
    </row>
    <row r="745" spans="4:6" x14ac:dyDescent="0.2">
      <c r="D745" s="333"/>
      <c r="E745" s="333"/>
      <c r="F745" s="333"/>
    </row>
    <row r="746" spans="4:6" x14ac:dyDescent="0.2">
      <c r="D746" s="333"/>
      <c r="E746" s="333"/>
      <c r="F746" s="333"/>
    </row>
    <row r="747" spans="4:6" x14ac:dyDescent="0.2">
      <c r="D747" s="333"/>
      <c r="E747" s="333"/>
      <c r="F747" s="333"/>
    </row>
    <row r="748" spans="4:6" x14ac:dyDescent="0.2">
      <c r="D748" s="333"/>
      <c r="E748" s="333"/>
      <c r="F748" s="333"/>
    </row>
    <row r="749" spans="4:6" x14ac:dyDescent="0.2">
      <c r="D749" s="333"/>
      <c r="E749" s="333"/>
      <c r="F749" s="333"/>
    </row>
    <row r="750" spans="4:6" x14ac:dyDescent="0.2">
      <c r="D750" s="333"/>
      <c r="E750" s="333"/>
      <c r="F750" s="333"/>
    </row>
    <row r="751" spans="4:6" x14ac:dyDescent="0.2">
      <c r="D751" s="333"/>
      <c r="E751" s="333"/>
      <c r="F751" s="333"/>
    </row>
    <row r="752" spans="4:6" x14ac:dyDescent="0.2">
      <c r="D752" s="333"/>
      <c r="E752" s="333"/>
      <c r="F752" s="333"/>
    </row>
    <row r="753" spans="4:6" x14ac:dyDescent="0.2">
      <c r="D753" s="333"/>
      <c r="E753" s="333"/>
      <c r="F753" s="333"/>
    </row>
    <row r="754" spans="4:6" x14ac:dyDescent="0.2">
      <c r="D754" s="333"/>
      <c r="E754" s="333"/>
      <c r="F754" s="333"/>
    </row>
    <row r="755" spans="4:6" x14ac:dyDescent="0.2">
      <c r="D755" s="333"/>
      <c r="E755" s="333"/>
      <c r="F755" s="333"/>
    </row>
    <row r="756" spans="4:6" x14ac:dyDescent="0.2">
      <c r="D756" s="333"/>
      <c r="E756" s="333"/>
      <c r="F756" s="333"/>
    </row>
    <row r="757" spans="4:6" x14ac:dyDescent="0.2">
      <c r="D757" s="333"/>
      <c r="E757" s="333"/>
      <c r="F757" s="333"/>
    </row>
    <row r="758" spans="4:6" x14ac:dyDescent="0.2">
      <c r="D758" s="333"/>
      <c r="E758" s="333"/>
      <c r="F758" s="333"/>
    </row>
    <row r="759" spans="4:6" x14ac:dyDescent="0.2">
      <c r="D759" s="333"/>
      <c r="E759" s="333"/>
      <c r="F759" s="333"/>
    </row>
    <row r="760" spans="4:6" x14ac:dyDescent="0.2">
      <c r="D760" s="333"/>
      <c r="E760" s="333"/>
      <c r="F760" s="333"/>
    </row>
    <row r="761" spans="4:6" x14ac:dyDescent="0.2">
      <c r="D761" s="333"/>
      <c r="E761" s="333"/>
      <c r="F761" s="333"/>
    </row>
    <row r="762" spans="4:6" x14ac:dyDescent="0.2">
      <c r="D762" s="333"/>
      <c r="E762" s="333"/>
      <c r="F762" s="333"/>
    </row>
    <row r="763" spans="4:6" x14ac:dyDescent="0.2">
      <c r="D763" s="333"/>
      <c r="E763" s="333"/>
      <c r="F763" s="333"/>
    </row>
    <row r="764" spans="4:6" x14ac:dyDescent="0.2">
      <c r="D764" s="333"/>
      <c r="E764" s="333"/>
      <c r="F764" s="333"/>
    </row>
    <row r="765" spans="4:6" x14ac:dyDescent="0.2">
      <c r="D765" s="333"/>
      <c r="E765" s="333"/>
      <c r="F765" s="333"/>
    </row>
    <row r="766" spans="4:6" x14ac:dyDescent="0.2">
      <c r="D766" s="333"/>
      <c r="E766" s="333"/>
      <c r="F766" s="333"/>
    </row>
    <row r="767" spans="4:6" x14ac:dyDescent="0.2">
      <c r="D767" s="333"/>
      <c r="E767" s="333"/>
      <c r="F767" s="333"/>
    </row>
    <row r="768" spans="4:6" x14ac:dyDescent="0.2">
      <c r="D768" s="333"/>
      <c r="E768" s="333"/>
      <c r="F768" s="333"/>
    </row>
    <row r="769" spans="4:6" x14ac:dyDescent="0.2">
      <c r="D769" s="333"/>
      <c r="E769" s="333"/>
      <c r="F769" s="333"/>
    </row>
    <row r="770" spans="4:6" x14ac:dyDescent="0.2">
      <c r="D770" s="333"/>
      <c r="E770" s="333"/>
      <c r="F770" s="333"/>
    </row>
    <row r="771" spans="4:6" x14ac:dyDescent="0.2">
      <c r="D771" s="333"/>
      <c r="E771" s="333"/>
      <c r="F771" s="333"/>
    </row>
    <row r="772" spans="4:6" x14ac:dyDescent="0.2">
      <c r="D772" s="333"/>
      <c r="E772" s="333"/>
      <c r="F772" s="333"/>
    </row>
    <row r="773" spans="4:6" x14ac:dyDescent="0.2">
      <c r="D773" s="333"/>
      <c r="E773" s="333"/>
      <c r="F773" s="333"/>
    </row>
    <row r="774" spans="4:6" x14ac:dyDescent="0.2">
      <c r="D774" s="333"/>
      <c r="E774" s="333"/>
      <c r="F774" s="333"/>
    </row>
    <row r="775" spans="4:6" x14ac:dyDescent="0.2">
      <c r="D775" s="333"/>
      <c r="E775" s="333"/>
      <c r="F775" s="333"/>
    </row>
    <row r="776" spans="4:6" x14ac:dyDescent="0.2">
      <c r="D776" s="333"/>
      <c r="E776" s="333"/>
      <c r="F776" s="333"/>
    </row>
    <row r="777" spans="4:6" x14ac:dyDescent="0.2">
      <c r="D777" s="333"/>
      <c r="E777" s="333"/>
      <c r="F777" s="333"/>
    </row>
    <row r="778" spans="4:6" x14ac:dyDescent="0.2">
      <c r="D778" s="333"/>
      <c r="E778" s="333"/>
      <c r="F778" s="333"/>
    </row>
    <row r="779" spans="4:6" x14ac:dyDescent="0.2">
      <c r="D779" s="333"/>
      <c r="E779" s="333"/>
      <c r="F779" s="333"/>
    </row>
    <row r="780" spans="4:6" x14ac:dyDescent="0.2">
      <c r="D780" s="333"/>
      <c r="E780" s="333"/>
      <c r="F780" s="333"/>
    </row>
    <row r="781" spans="4:6" x14ac:dyDescent="0.2">
      <c r="D781" s="333"/>
      <c r="E781" s="333"/>
      <c r="F781" s="333"/>
    </row>
    <row r="782" spans="4:6" x14ac:dyDescent="0.2">
      <c r="D782" s="333"/>
      <c r="E782" s="333"/>
      <c r="F782" s="333"/>
    </row>
    <row r="783" spans="4:6" x14ac:dyDescent="0.2">
      <c r="D783" s="333"/>
      <c r="E783" s="333"/>
      <c r="F783" s="333"/>
    </row>
    <row r="784" spans="4:6" x14ac:dyDescent="0.2">
      <c r="D784" s="333"/>
      <c r="E784" s="333"/>
      <c r="F784" s="333"/>
    </row>
    <row r="785" spans="4:6" x14ac:dyDescent="0.2">
      <c r="D785" s="333"/>
      <c r="E785" s="333"/>
      <c r="F785" s="333"/>
    </row>
    <row r="786" spans="4:6" x14ac:dyDescent="0.2">
      <c r="D786" s="333"/>
      <c r="E786" s="333"/>
      <c r="F786" s="333"/>
    </row>
    <row r="787" spans="4:6" x14ac:dyDescent="0.2">
      <c r="D787" s="333"/>
      <c r="E787" s="333"/>
      <c r="F787" s="333"/>
    </row>
    <row r="788" spans="4:6" x14ac:dyDescent="0.2">
      <c r="D788" s="333"/>
      <c r="E788" s="333"/>
      <c r="F788" s="333"/>
    </row>
    <row r="789" spans="4:6" x14ac:dyDescent="0.2">
      <c r="D789" s="333"/>
      <c r="E789" s="333"/>
      <c r="F789" s="333"/>
    </row>
    <row r="790" spans="4:6" x14ac:dyDescent="0.2">
      <c r="D790" s="333"/>
      <c r="E790" s="333"/>
      <c r="F790" s="333"/>
    </row>
    <row r="791" spans="4:6" x14ac:dyDescent="0.2">
      <c r="D791" s="333"/>
      <c r="E791" s="333"/>
      <c r="F791" s="333"/>
    </row>
    <row r="792" spans="4:6" x14ac:dyDescent="0.2">
      <c r="D792" s="333"/>
      <c r="E792" s="333"/>
      <c r="F792" s="333"/>
    </row>
    <row r="793" spans="4:6" x14ac:dyDescent="0.2">
      <c r="D793" s="333"/>
      <c r="E793" s="333"/>
      <c r="F793" s="333"/>
    </row>
    <row r="794" spans="4:6" x14ac:dyDescent="0.2">
      <c r="D794" s="333"/>
      <c r="E794" s="333"/>
      <c r="F794" s="333"/>
    </row>
    <row r="795" spans="4:6" x14ac:dyDescent="0.2">
      <c r="D795" s="333"/>
      <c r="E795" s="333"/>
      <c r="F795" s="333"/>
    </row>
    <row r="796" spans="4:6" x14ac:dyDescent="0.2">
      <c r="D796" s="333"/>
      <c r="E796" s="333"/>
      <c r="F796" s="333"/>
    </row>
    <row r="797" spans="4:6" x14ac:dyDescent="0.2">
      <c r="D797" s="333"/>
      <c r="E797" s="333"/>
      <c r="F797" s="333"/>
    </row>
    <row r="798" spans="4:6" x14ac:dyDescent="0.2">
      <c r="D798" s="333"/>
      <c r="E798" s="333"/>
      <c r="F798" s="333"/>
    </row>
    <row r="799" spans="4:6" x14ac:dyDescent="0.2">
      <c r="D799" s="333"/>
      <c r="E799" s="333"/>
      <c r="F799" s="333"/>
    </row>
    <row r="800" spans="4:6" x14ac:dyDescent="0.2">
      <c r="D800" s="333"/>
      <c r="E800" s="333"/>
      <c r="F800" s="333"/>
    </row>
    <row r="801" spans="4:6" x14ac:dyDescent="0.2">
      <c r="D801" s="333"/>
      <c r="E801" s="333"/>
      <c r="F801" s="333"/>
    </row>
    <row r="802" spans="4:6" x14ac:dyDescent="0.2">
      <c r="D802" s="333"/>
      <c r="E802" s="333"/>
      <c r="F802" s="333"/>
    </row>
    <row r="803" spans="4:6" x14ac:dyDescent="0.2">
      <c r="D803" s="333"/>
      <c r="E803" s="333"/>
      <c r="F803" s="333"/>
    </row>
    <row r="804" spans="4:6" x14ac:dyDescent="0.2">
      <c r="D804" s="333"/>
      <c r="E804" s="333"/>
      <c r="F804" s="333"/>
    </row>
    <row r="805" spans="4:6" x14ac:dyDescent="0.2">
      <c r="D805" s="333"/>
      <c r="E805" s="333"/>
      <c r="F805" s="333"/>
    </row>
    <row r="806" spans="4:6" x14ac:dyDescent="0.2">
      <c r="D806" s="333"/>
      <c r="E806" s="333"/>
      <c r="F806" s="333"/>
    </row>
    <row r="807" spans="4:6" x14ac:dyDescent="0.2">
      <c r="D807" s="333"/>
      <c r="E807" s="333"/>
      <c r="F807" s="333"/>
    </row>
    <row r="808" spans="4:6" x14ac:dyDescent="0.2">
      <c r="D808" s="333"/>
      <c r="E808" s="333"/>
      <c r="F808" s="333"/>
    </row>
    <row r="809" spans="4:6" x14ac:dyDescent="0.2">
      <c r="D809" s="333"/>
      <c r="E809" s="333"/>
      <c r="F809" s="333"/>
    </row>
    <row r="810" spans="4:6" x14ac:dyDescent="0.2">
      <c r="D810" s="333"/>
      <c r="E810" s="333"/>
      <c r="F810" s="333"/>
    </row>
    <row r="811" spans="4:6" x14ac:dyDescent="0.2">
      <c r="D811" s="333"/>
      <c r="E811" s="333"/>
      <c r="F811" s="333"/>
    </row>
    <row r="812" spans="4:6" x14ac:dyDescent="0.2">
      <c r="D812" s="333"/>
      <c r="E812" s="333"/>
      <c r="F812" s="333"/>
    </row>
    <row r="813" spans="4:6" x14ac:dyDescent="0.2">
      <c r="D813" s="333"/>
      <c r="E813" s="333"/>
      <c r="F813" s="333"/>
    </row>
    <row r="814" spans="4:6" x14ac:dyDescent="0.2">
      <c r="D814" s="333"/>
      <c r="E814" s="333"/>
      <c r="F814" s="333"/>
    </row>
    <row r="815" spans="4:6" x14ac:dyDescent="0.2">
      <c r="D815" s="333"/>
      <c r="E815" s="333"/>
      <c r="F815" s="333"/>
    </row>
    <row r="816" spans="4:6" x14ac:dyDescent="0.2">
      <c r="D816" s="333"/>
      <c r="E816" s="333"/>
      <c r="F816" s="333"/>
    </row>
    <row r="817" spans="4:6" x14ac:dyDescent="0.2">
      <c r="D817" s="333"/>
      <c r="E817" s="333"/>
      <c r="F817" s="333"/>
    </row>
    <row r="818" spans="4:6" x14ac:dyDescent="0.2">
      <c r="D818" s="333"/>
      <c r="E818" s="333"/>
      <c r="F818" s="333"/>
    </row>
    <row r="819" spans="4:6" x14ac:dyDescent="0.2">
      <c r="D819" s="333"/>
      <c r="E819" s="333"/>
      <c r="F819" s="333"/>
    </row>
    <row r="820" spans="4:6" x14ac:dyDescent="0.2">
      <c r="D820" s="333"/>
      <c r="E820" s="333"/>
      <c r="F820" s="333"/>
    </row>
    <row r="821" spans="4:6" x14ac:dyDescent="0.2">
      <c r="D821" s="333"/>
      <c r="E821" s="333"/>
      <c r="F821" s="333"/>
    </row>
    <row r="822" spans="4:6" x14ac:dyDescent="0.2">
      <c r="D822" s="333"/>
      <c r="E822" s="333"/>
      <c r="F822" s="333"/>
    </row>
    <row r="823" spans="4:6" x14ac:dyDescent="0.2">
      <c r="D823" s="333"/>
      <c r="E823" s="333"/>
      <c r="F823" s="333"/>
    </row>
    <row r="824" spans="4:6" x14ac:dyDescent="0.2">
      <c r="D824" s="333"/>
      <c r="E824" s="333"/>
      <c r="F824" s="333"/>
    </row>
    <row r="825" spans="4:6" x14ac:dyDescent="0.2">
      <c r="D825" s="333"/>
      <c r="E825" s="333"/>
      <c r="F825" s="333"/>
    </row>
    <row r="826" spans="4:6" x14ac:dyDescent="0.2">
      <c r="D826" s="333"/>
      <c r="E826" s="333"/>
      <c r="F826" s="333"/>
    </row>
    <row r="827" spans="4:6" x14ac:dyDescent="0.2">
      <c r="D827" s="333"/>
      <c r="E827" s="333"/>
      <c r="F827" s="333"/>
    </row>
    <row r="828" spans="4:6" x14ac:dyDescent="0.2">
      <c r="D828" s="333"/>
      <c r="E828" s="333"/>
      <c r="F828" s="333"/>
    </row>
    <row r="829" spans="4:6" x14ac:dyDescent="0.2">
      <c r="D829" s="333"/>
      <c r="E829" s="333"/>
      <c r="F829" s="333"/>
    </row>
    <row r="830" spans="4:6" x14ac:dyDescent="0.2">
      <c r="D830" s="333"/>
      <c r="E830" s="333"/>
      <c r="F830" s="333"/>
    </row>
    <row r="831" spans="4:6" x14ac:dyDescent="0.2">
      <c r="D831" s="333"/>
      <c r="E831" s="333"/>
      <c r="F831" s="333"/>
    </row>
    <row r="832" spans="4:6" x14ac:dyDescent="0.2">
      <c r="D832" s="333"/>
      <c r="E832" s="333"/>
      <c r="F832" s="333"/>
    </row>
    <row r="833" spans="4:6" x14ac:dyDescent="0.2">
      <c r="D833" s="333"/>
      <c r="E833" s="333"/>
      <c r="F833" s="333"/>
    </row>
    <row r="834" spans="4:6" x14ac:dyDescent="0.2">
      <c r="D834" s="333"/>
      <c r="E834" s="333"/>
      <c r="F834" s="333"/>
    </row>
    <row r="835" spans="4:6" x14ac:dyDescent="0.2">
      <c r="D835" s="333"/>
      <c r="E835" s="333"/>
      <c r="F835" s="333"/>
    </row>
    <row r="836" spans="4:6" x14ac:dyDescent="0.2">
      <c r="D836" s="333"/>
      <c r="E836" s="333"/>
      <c r="F836" s="333"/>
    </row>
    <row r="837" spans="4:6" x14ac:dyDescent="0.2">
      <c r="D837" s="333"/>
      <c r="E837" s="333"/>
      <c r="F837" s="333"/>
    </row>
    <row r="838" spans="4:6" x14ac:dyDescent="0.2">
      <c r="D838" s="333"/>
      <c r="E838" s="333"/>
      <c r="F838" s="333"/>
    </row>
    <row r="839" spans="4:6" x14ac:dyDescent="0.2">
      <c r="D839" s="333"/>
      <c r="E839" s="333"/>
      <c r="F839" s="333"/>
    </row>
    <row r="840" spans="4:6" x14ac:dyDescent="0.2">
      <c r="D840" s="333"/>
      <c r="E840" s="333"/>
      <c r="F840" s="333"/>
    </row>
    <row r="841" spans="4:6" x14ac:dyDescent="0.2">
      <c r="D841" s="333"/>
      <c r="E841" s="333"/>
      <c r="F841" s="333"/>
    </row>
    <row r="842" spans="4:6" x14ac:dyDescent="0.2">
      <c r="D842" s="333"/>
      <c r="E842" s="333"/>
      <c r="F842" s="333"/>
    </row>
    <row r="843" spans="4:6" x14ac:dyDescent="0.2">
      <c r="D843" s="333"/>
      <c r="E843" s="333"/>
      <c r="F843" s="333"/>
    </row>
    <row r="844" spans="4:6" x14ac:dyDescent="0.2">
      <c r="D844" s="333"/>
      <c r="E844" s="333"/>
      <c r="F844" s="333"/>
    </row>
    <row r="845" spans="4:6" x14ac:dyDescent="0.2">
      <c r="D845" s="333"/>
      <c r="E845" s="333"/>
      <c r="F845" s="333"/>
    </row>
    <row r="846" spans="4:6" x14ac:dyDescent="0.2">
      <c r="D846" s="333"/>
      <c r="E846" s="333"/>
      <c r="F846" s="333"/>
    </row>
    <row r="847" spans="4:6" x14ac:dyDescent="0.2">
      <c r="D847" s="333"/>
      <c r="E847" s="333"/>
      <c r="F847" s="333"/>
    </row>
    <row r="848" spans="4:6" x14ac:dyDescent="0.2">
      <c r="D848" s="333"/>
      <c r="E848" s="333"/>
      <c r="F848" s="333"/>
    </row>
    <row r="849" spans="4:6" x14ac:dyDescent="0.2">
      <c r="D849" s="333"/>
      <c r="E849" s="333"/>
      <c r="F849" s="333"/>
    </row>
    <row r="850" spans="4:6" x14ac:dyDescent="0.2">
      <c r="D850" s="333"/>
      <c r="E850" s="333"/>
      <c r="F850" s="333"/>
    </row>
    <row r="851" spans="4:6" x14ac:dyDescent="0.2">
      <c r="D851" s="333"/>
      <c r="E851" s="333"/>
      <c r="F851" s="333"/>
    </row>
    <row r="852" spans="4:6" x14ac:dyDescent="0.2">
      <c r="D852" s="333"/>
      <c r="E852" s="333"/>
      <c r="F852" s="333"/>
    </row>
    <row r="853" spans="4:6" x14ac:dyDescent="0.2">
      <c r="D853" s="333"/>
      <c r="E853" s="333"/>
      <c r="F853" s="333"/>
    </row>
    <row r="854" spans="4:6" x14ac:dyDescent="0.2">
      <c r="D854" s="333"/>
      <c r="E854" s="333"/>
      <c r="F854" s="333"/>
    </row>
    <row r="855" spans="4:6" x14ac:dyDescent="0.2">
      <c r="D855" s="333"/>
      <c r="E855" s="333"/>
      <c r="F855" s="333"/>
    </row>
    <row r="856" spans="4:6" x14ac:dyDescent="0.2">
      <c r="D856" s="333"/>
      <c r="E856" s="333"/>
      <c r="F856" s="333"/>
    </row>
    <row r="857" spans="4:6" x14ac:dyDescent="0.2">
      <c r="D857" s="333"/>
      <c r="E857" s="333"/>
      <c r="F857" s="333"/>
    </row>
    <row r="858" spans="4:6" x14ac:dyDescent="0.2">
      <c r="D858" s="333"/>
      <c r="E858" s="333"/>
      <c r="F858" s="333"/>
    </row>
    <row r="859" spans="4:6" x14ac:dyDescent="0.2">
      <c r="D859" s="333"/>
      <c r="E859" s="333"/>
      <c r="F859" s="333"/>
    </row>
    <row r="860" spans="4:6" x14ac:dyDescent="0.2">
      <c r="D860" s="333"/>
      <c r="E860" s="333"/>
      <c r="F860" s="333"/>
    </row>
    <row r="861" spans="4:6" x14ac:dyDescent="0.2">
      <c r="D861" s="333"/>
      <c r="E861" s="333"/>
      <c r="F861" s="333"/>
    </row>
    <row r="862" spans="4:6" x14ac:dyDescent="0.2">
      <c r="D862" s="333"/>
      <c r="E862" s="333"/>
      <c r="F862" s="333"/>
    </row>
    <row r="863" spans="4:6" x14ac:dyDescent="0.2">
      <c r="D863" s="333"/>
      <c r="E863" s="333"/>
      <c r="F863" s="333"/>
    </row>
    <row r="864" spans="4:6" x14ac:dyDescent="0.2">
      <c r="D864" s="333"/>
      <c r="E864" s="333"/>
      <c r="F864" s="333"/>
    </row>
    <row r="865" spans="4:6" x14ac:dyDescent="0.2">
      <c r="D865" s="333"/>
      <c r="E865" s="333"/>
      <c r="F865" s="333"/>
    </row>
    <row r="866" spans="4:6" x14ac:dyDescent="0.2">
      <c r="D866" s="333"/>
      <c r="E866" s="333"/>
      <c r="F866" s="333"/>
    </row>
    <row r="867" spans="4:6" x14ac:dyDescent="0.2">
      <c r="D867" s="333"/>
      <c r="E867" s="333"/>
      <c r="F867" s="333"/>
    </row>
    <row r="868" spans="4:6" x14ac:dyDescent="0.2">
      <c r="D868" s="333"/>
      <c r="E868" s="333"/>
      <c r="F868" s="333"/>
    </row>
    <row r="869" spans="4:6" x14ac:dyDescent="0.2">
      <c r="D869" s="333"/>
      <c r="E869" s="333"/>
      <c r="F869" s="333"/>
    </row>
    <row r="870" spans="4:6" x14ac:dyDescent="0.2">
      <c r="D870" s="333"/>
      <c r="E870" s="333"/>
      <c r="F870" s="333"/>
    </row>
    <row r="871" spans="4:6" x14ac:dyDescent="0.2">
      <c r="D871" s="333"/>
      <c r="E871" s="333"/>
      <c r="F871" s="333"/>
    </row>
    <row r="872" spans="4:6" x14ac:dyDescent="0.2">
      <c r="D872" s="333"/>
      <c r="E872" s="333"/>
      <c r="F872" s="333"/>
    </row>
    <row r="873" spans="4:6" x14ac:dyDescent="0.2">
      <c r="D873" s="333"/>
      <c r="E873" s="333"/>
      <c r="F873" s="333"/>
    </row>
    <row r="874" spans="4:6" x14ac:dyDescent="0.2">
      <c r="D874" s="333"/>
      <c r="E874" s="333"/>
      <c r="F874" s="333"/>
    </row>
    <row r="875" spans="4:6" x14ac:dyDescent="0.2">
      <c r="D875" s="333"/>
      <c r="E875" s="333"/>
      <c r="F875" s="333"/>
    </row>
    <row r="876" spans="4:6" x14ac:dyDescent="0.2">
      <c r="D876" s="333"/>
      <c r="E876" s="333"/>
      <c r="F876" s="333"/>
    </row>
    <row r="877" spans="4:6" x14ac:dyDescent="0.2">
      <c r="D877" s="333"/>
      <c r="E877" s="333"/>
      <c r="F877" s="333"/>
    </row>
    <row r="878" spans="4:6" x14ac:dyDescent="0.2">
      <c r="D878" s="333"/>
      <c r="E878" s="333"/>
      <c r="F878" s="333"/>
    </row>
    <row r="879" spans="4:6" x14ac:dyDescent="0.2">
      <c r="D879" s="333"/>
      <c r="E879" s="333"/>
      <c r="F879" s="333"/>
    </row>
    <row r="880" spans="4:6" x14ac:dyDescent="0.2">
      <c r="D880" s="333"/>
      <c r="E880" s="333"/>
      <c r="F880" s="333"/>
    </row>
    <row r="881" spans="4:6" x14ac:dyDescent="0.2">
      <c r="D881" s="333"/>
      <c r="E881" s="333"/>
      <c r="F881" s="333"/>
    </row>
    <row r="882" spans="4:6" x14ac:dyDescent="0.2">
      <c r="D882" s="333"/>
      <c r="E882" s="333"/>
      <c r="F882" s="333"/>
    </row>
    <row r="883" spans="4:6" x14ac:dyDescent="0.2">
      <c r="D883" s="333"/>
      <c r="E883" s="333"/>
      <c r="F883" s="333"/>
    </row>
    <row r="884" spans="4:6" x14ac:dyDescent="0.2">
      <c r="D884" s="333"/>
      <c r="E884" s="333"/>
      <c r="F884" s="333"/>
    </row>
    <row r="885" spans="4:6" x14ac:dyDescent="0.2">
      <c r="D885" s="333"/>
      <c r="E885" s="333"/>
      <c r="F885" s="333"/>
    </row>
    <row r="886" spans="4:6" x14ac:dyDescent="0.2">
      <c r="D886" s="333"/>
      <c r="E886" s="333"/>
      <c r="F886" s="333"/>
    </row>
    <row r="887" spans="4:6" x14ac:dyDescent="0.2">
      <c r="D887" s="333"/>
      <c r="E887" s="333"/>
      <c r="F887" s="333"/>
    </row>
    <row r="888" spans="4:6" x14ac:dyDescent="0.2">
      <c r="D888" s="333"/>
      <c r="E888" s="333"/>
      <c r="F888" s="333"/>
    </row>
    <row r="889" spans="4:6" x14ac:dyDescent="0.2">
      <c r="D889" s="333"/>
      <c r="E889" s="333"/>
      <c r="F889" s="333"/>
    </row>
    <row r="890" spans="4:6" x14ac:dyDescent="0.2">
      <c r="D890" s="333"/>
      <c r="E890" s="333"/>
      <c r="F890" s="333"/>
    </row>
    <row r="891" spans="4:6" x14ac:dyDescent="0.2">
      <c r="D891" s="333"/>
      <c r="E891" s="333"/>
      <c r="F891" s="333"/>
    </row>
    <row r="892" spans="4:6" x14ac:dyDescent="0.2">
      <c r="D892" s="333"/>
      <c r="E892" s="333"/>
      <c r="F892" s="333"/>
    </row>
    <row r="893" spans="4:6" x14ac:dyDescent="0.2">
      <c r="D893" s="333"/>
      <c r="E893" s="333"/>
      <c r="F893" s="333"/>
    </row>
    <row r="894" spans="4:6" x14ac:dyDescent="0.2">
      <c r="D894" s="333"/>
      <c r="E894" s="333"/>
      <c r="F894" s="333"/>
    </row>
    <row r="895" spans="4:6" x14ac:dyDescent="0.2">
      <c r="D895" s="333"/>
      <c r="E895" s="333"/>
      <c r="F895" s="333"/>
    </row>
    <row r="896" spans="4:6" x14ac:dyDescent="0.2">
      <c r="D896" s="333"/>
      <c r="E896" s="333"/>
      <c r="F896" s="333"/>
    </row>
    <row r="897" spans="4:6" x14ac:dyDescent="0.2">
      <c r="D897" s="333"/>
      <c r="E897" s="333"/>
      <c r="F897" s="333"/>
    </row>
    <row r="898" spans="4:6" x14ac:dyDescent="0.2">
      <c r="D898" s="333"/>
      <c r="E898" s="333"/>
      <c r="F898" s="333"/>
    </row>
    <row r="899" spans="4:6" x14ac:dyDescent="0.2">
      <c r="D899" s="333"/>
      <c r="E899" s="333"/>
      <c r="F899" s="333"/>
    </row>
    <row r="900" spans="4:6" x14ac:dyDescent="0.2">
      <c r="D900" s="333"/>
      <c r="E900" s="333"/>
      <c r="F900" s="333"/>
    </row>
    <row r="901" spans="4:6" x14ac:dyDescent="0.2">
      <c r="D901" s="333"/>
      <c r="E901" s="333"/>
      <c r="F901" s="333"/>
    </row>
    <row r="902" spans="4:6" x14ac:dyDescent="0.2">
      <c r="D902" s="333"/>
      <c r="E902" s="333"/>
      <c r="F902" s="333"/>
    </row>
    <row r="903" spans="4:6" x14ac:dyDescent="0.2">
      <c r="D903" s="333"/>
      <c r="E903" s="333"/>
      <c r="F903" s="333"/>
    </row>
    <row r="904" spans="4:6" x14ac:dyDescent="0.2">
      <c r="D904" s="333"/>
      <c r="E904" s="333"/>
      <c r="F904" s="333"/>
    </row>
    <row r="905" spans="4:6" x14ac:dyDescent="0.2">
      <c r="D905" s="333"/>
      <c r="E905" s="333"/>
      <c r="F905" s="333"/>
    </row>
    <row r="906" spans="4:6" x14ac:dyDescent="0.2">
      <c r="D906" s="333"/>
      <c r="E906" s="333"/>
      <c r="F906" s="333"/>
    </row>
    <row r="907" spans="4:6" x14ac:dyDescent="0.2">
      <c r="D907" s="333"/>
      <c r="E907" s="333"/>
      <c r="F907" s="333"/>
    </row>
    <row r="908" spans="4:6" x14ac:dyDescent="0.2">
      <c r="D908" s="333"/>
      <c r="E908" s="333"/>
      <c r="F908" s="333"/>
    </row>
    <row r="909" spans="4:6" x14ac:dyDescent="0.2">
      <c r="D909" s="333"/>
      <c r="E909" s="333"/>
      <c r="F909" s="333"/>
    </row>
    <row r="910" spans="4:6" x14ac:dyDescent="0.2">
      <c r="D910" s="333"/>
      <c r="E910" s="333"/>
      <c r="F910" s="333"/>
    </row>
    <row r="911" spans="4:6" x14ac:dyDescent="0.2">
      <c r="D911" s="333"/>
      <c r="E911" s="333"/>
      <c r="F911" s="333"/>
    </row>
    <row r="912" spans="4:6" x14ac:dyDescent="0.2">
      <c r="D912" s="333"/>
      <c r="E912" s="333"/>
      <c r="F912" s="333"/>
    </row>
    <row r="913" spans="4:6" x14ac:dyDescent="0.2">
      <c r="D913" s="333"/>
      <c r="E913" s="333"/>
      <c r="F913" s="333"/>
    </row>
    <row r="914" spans="4:6" x14ac:dyDescent="0.2">
      <c r="D914" s="333"/>
      <c r="E914" s="333"/>
      <c r="F914" s="333"/>
    </row>
    <row r="915" spans="4:6" x14ac:dyDescent="0.2">
      <c r="D915" s="333"/>
      <c r="E915" s="333"/>
      <c r="F915" s="333"/>
    </row>
    <row r="916" spans="4:6" x14ac:dyDescent="0.2">
      <c r="D916" s="333"/>
      <c r="E916" s="333"/>
      <c r="F916" s="333"/>
    </row>
    <row r="917" spans="4:6" x14ac:dyDescent="0.2">
      <c r="D917" s="333"/>
      <c r="E917" s="333"/>
      <c r="F917" s="333"/>
    </row>
    <row r="918" spans="4:6" x14ac:dyDescent="0.2">
      <c r="D918" s="333"/>
      <c r="E918" s="333"/>
      <c r="F918" s="333"/>
    </row>
    <row r="919" spans="4:6" x14ac:dyDescent="0.2">
      <c r="D919" s="333"/>
      <c r="E919" s="333"/>
      <c r="F919" s="333"/>
    </row>
    <row r="920" spans="4:6" x14ac:dyDescent="0.2">
      <c r="D920" s="333"/>
      <c r="E920" s="333"/>
      <c r="F920" s="333"/>
    </row>
    <row r="921" spans="4:6" x14ac:dyDescent="0.2">
      <c r="D921" s="333"/>
      <c r="E921" s="333"/>
      <c r="F921" s="333"/>
    </row>
    <row r="922" spans="4:6" x14ac:dyDescent="0.2">
      <c r="D922" s="333"/>
      <c r="E922" s="333"/>
      <c r="F922" s="333"/>
    </row>
    <row r="923" spans="4:6" x14ac:dyDescent="0.2">
      <c r="D923" s="333"/>
      <c r="E923" s="333"/>
      <c r="F923" s="333"/>
    </row>
    <row r="924" spans="4:6" x14ac:dyDescent="0.2">
      <c r="D924" s="333"/>
      <c r="E924" s="333"/>
      <c r="F924" s="333"/>
    </row>
    <row r="925" spans="4:6" x14ac:dyDescent="0.2">
      <c r="D925" s="333"/>
      <c r="E925" s="333"/>
      <c r="F925" s="333"/>
    </row>
    <row r="926" spans="4:6" x14ac:dyDescent="0.2">
      <c r="D926" s="333"/>
      <c r="E926" s="333"/>
      <c r="F926" s="333"/>
    </row>
    <row r="927" spans="4:6" x14ac:dyDescent="0.2">
      <c r="D927" s="333"/>
      <c r="E927" s="333"/>
      <c r="F927" s="333"/>
    </row>
    <row r="928" spans="4:6" x14ac:dyDescent="0.2">
      <c r="D928" s="333"/>
      <c r="E928" s="333"/>
      <c r="F928" s="333"/>
    </row>
    <row r="929" spans="4:6" x14ac:dyDescent="0.2">
      <c r="D929" s="333"/>
      <c r="E929" s="333"/>
      <c r="F929" s="333"/>
    </row>
    <row r="930" spans="4:6" x14ac:dyDescent="0.2">
      <c r="D930" s="333"/>
      <c r="E930" s="333"/>
      <c r="F930" s="333"/>
    </row>
    <row r="931" spans="4:6" x14ac:dyDescent="0.2">
      <c r="D931" s="333"/>
      <c r="E931" s="333"/>
      <c r="F931" s="333"/>
    </row>
    <row r="932" spans="4:6" x14ac:dyDescent="0.2">
      <c r="D932" s="333"/>
      <c r="E932" s="333"/>
      <c r="F932" s="333"/>
    </row>
    <row r="933" spans="4:6" x14ac:dyDescent="0.2">
      <c r="D933" s="333"/>
      <c r="E933" s="333"/>
      <c r="F933" s="333"/>
    </row>
    <row r="934" spans="4:6" x14ac:dyDescent="0.2">
      <c r="D934" s="333"/>
      <c r="E934" s="333"/>
      <c r="F934" s="333"/>
    </row>
    <row r="935" spans="4:6" x14ac:dyDescent="0.2">
      <c r="D935" s="333"/>
      <c r="E935" s="333"/>
      <c r="F935" s="333"/>
    </row>
    <row r="936" spans="4:6" x14ac:dyDescent="0.2">
      <c r="D936" s="333"/>
      <c r="E936" s="333"/>
      <c r="F936" s="333"/>
    </row>
    <row r="937" spans="4:6" x14ac:dyDescent="0.2">
      <c r="D937" s="333"/>
      <c r="E937" s="333"/>
      <c r="F937" s="333"/>
    </row>
    <row r="938" spans="4:6" x14ac:dyDescent="0.2">
      <c r="D938" s="333"/>
      <c r="E938" s="333"/>
      <c r="F938" s="333"/>
    </row>
    <row r="939" spans="4:6" x14ac:dyDescent="0.2">
      <c r="D939" s="333"/>
      <c r="E939" s="333"/>
      <c r="F939" s="333"/>
    </row>
    <row r="940" spans="4:6" x14ac:dyDescent="0.2">
      <c r="D940" s="333"/>
      <c r="E940" s="333"/>
      <c r="F940" s="333"/>
    </row>
    <row r="941" spans="4:6" x14ac:dyDescent="0.2">
      <c r="D941" s="333"/>
      <c r="E941" s="333"/>
      <c r="F941" s="333"/>
    </row>
    <row r="942" spans="4:6" x14ac:dyDescent="0.2">
      <c r="D942" s="333"/>
      <c r="E942" s="333"/>
      <c r="F942" s="333"/>
    </row>
    <row r="943" spans="4:6" x14ac:dyDescent="0.2">
      <c r="D943" s="333"/>
      <c r="E943" s="333"/>
      <c r="F943" s="333"/>
    </row>
    <row r="944" spans="4:6" x14ac:dyDescent="0.2">
      <c r="D944" s="333"/>
      <c r="E944" s="333"/>
      <c r="F944" s="333"/>
    </row>
    <row r="945" spans="4:6" x14ac:dyDescent="0.2">
      <c r="D945" s="333"/>
      <c r="E945" s="333"/>
      <c r="F945" s="333"/>
    </row>
    <row r="946" spans="4:6" x14ac:dyDescent="0.2">
      <c r="D946" s="333"/>
      <c r="E946" s="333"/>
      <c r="F946" s="333"/>
    </row>
    <row r="947" spans="4:6" x14ac:dyDescent="0.2">
      <c r="D947" s="333"/>
      <c r="E947" s="333"/>
      <c r="F947" s="333"/>
    </row>
    <row r="948" spans="4:6" x14ac:dyDescent="0.2">
      <c r="D948" s="333"/>
      <c r="E948" s="333"/>
      <c r="F948" s="333"/>
    </row>
    <row r="949" spans="4:6" x14ac:dyDescent="0.2">
      <c r="D949" s="333"/>
      <c r="E949" s="333"/>
      <c r="F949" s="333"/>
    </row>
    <row r="950" spans="4:6" x14ac:dyDescent="0.2">
      <c r="D950" s="333"/>
      <c r="E950" s="333"/>
      <c r="F950" s="333"/>
    </row>
    <row r="951" spans="4:6" x14ac:dyDescent="0.2">
      <c r="D951" s="333"/>
      <c r="E951" s="333"/>
      <c r="F951" s="333"/>
    </row>
    <row r="952" spans="4:6" x14ac:dyDescent="0.2">
      <c r="D952" s="333"/>
      <c r="E952" s="333"/>
      <c r="F952" s="333"/>
    </row>
    <row r="953" spans="4:6" x14ac:dyDescent="0.2">
      <c r="D953" s="333"/>
      <c r="E953" s="333"/>
      <c r="F953" s="333"/>
    </row>
    <row r="954" spans="4:6" x14ac:dyDescent="0.2">
      <c r="D954" s="333"/>
      <c r="E954" s="333"/>
      <c r="F954" s="333"/>
    </row>
    <row r="955" spans="4:6" x14ac:dyDescent="0.2">
      <c r="D955" s="333"/>
      <c r="E955" s="333"/>
      <c r="F955" s="333"/>
    </row>
    <row r="956" spans="4:6" x14ac:dyDescent="0.2">
      <c r="D956" s="333"/>
      <c r="E956" s="333"/>
      <c r="F956" s="333"/>
    </row>
    <row r="957" spans="4:6" x14ac:dyDescent="0.2">
      <c r="D957" s="333"/>
      <c r="E957" s="333"/>
      <c r="F957" s="333"/>
    </row>
    <row r="958" spans="4:6" x14ac:dyDescent="0.2">
      <c r="D958" s="333"/>
      <c r="E958" s="333"/>
      <c r="F958" s="333"/>
    </row>
    <row r="959" spans="4:6" x14ac:dyDescent="0.2">
      <c r="D959" s="333"/>
      <c r="E959" s="333"/>
      <c r="F959" s="333"/>
    </row>
    <row r="960" spans="4:6" x14ac:dyDescent="0.2">
      <c r="D960" s="333"/>
      <c r="E960" s="333"/>
      <c r="F960" s="333"/>
    </row>
    <row r="961" spans="4:6" x14ac:dyDescent="0.2">
      <c r="D961" s="333"/>
      <c r="E961" s="333"/>
      <c r="F961" s="333"/>
    </row>
    <row r="962" spans="4:6" x14ac:dyDescent="0.2">
      <c r="D962" s="333"/>
      <c r="E962" s="333"/>
      <c r="F962" s="333"/>
    </row>
    <row r="963" spans="4:6" x14ac:dyDescent="0.2">
      <c r="D963" s="333"/>
      <c r="E963" s="333"/>
      <c r="F963" s="333"/>
    </row>
    <row r="964" spans="4:6" x14ac:dyDescent="0.2">
      <c r="D964" s="333"/>
      <c r="E964" s="333"/>
      <c r="F964" s="333"/>
    </row>
    <row r="965" spans="4:6" x14ac:dyDescent="0.2">
      <c r="D965" s="333"/>
      <c r="E965" s="333"/>
      <c r="F965" s="333"/>
    </row>
    <row r="966" spans="4:6" x14ac:dyDescent="0.2">
      <c r="D966" s="333"/>
      <c r="E966" s="333"/>
      <c r="F966" s="333"/>
    </row>
    <row r="967" spans="4:6" x14ac:dyDescent="0.2">
      <c r="D967" s="333"/>
      <c r="E967" s="333"/>
      <c r="F967" s="333"/>
    </row>
    <row r="968" spans="4:6" x14ac:dyDescent="0.2">
      <c r="D968" s="333"/>
      <c r="E968" s="333"/>
      <c r="F968" s="333"/>
    </row>
    <row r="969" spans="4:6" x14ac:dyDescent="0.2">
      <c r="D969" s="333"/>
      <c r="E969" s="333"/>
      <c r="F969" s="333"/>
    </row>
    <row r="970" spans="4:6" x14ac:dyDescent="0.2">
      <c r="D970" s="333"/>
      <c r="E970" s="333"/>
      <c r="F970" s="333"/>
    </row>
    <row r="971" spans="4:6" x14ac:dyDescent="0.2">
      <c r="D971" s="333"/>
      <c r="E971" s="333"/>
      <c r="F971" s="333"/>
    </row>
    <row r="972" spans="4:6" x14ac:dyDescent="0.2">
      <c r="D972" s="333"/>
      <c r="E972" s="333"/>
      <c r="F972" s="333"/>
    </row>
    <row r="973" spans="4:6" x14ac:dyDescent="0.2">
      <c r="D973" s="333"/>
      <c r="E973" s="333"/>
      <c r="F973" s="333"/>
    </row>
    <row r="974" spans="4:6" x14ac:dyDescent="0.2">
      <c r="D974" s="333"/>
      <c r="E974" s="333"/>
      <c r="F974" s="333"/>
    </row>
    <row r="975" spans="4:6" x14ac:dyDescent="0.2">
      <c r="D975" s="333"/>
      <c r="E975" s="333"/>
      <c r="F975" s="333"/>
    </row>
    <row r="976" spans="4:6" x14ac:dyDescent="0.2">
      <c r="D976" s="333"/>
      <c r="E976" s="333"/>
      <c r="F976" s="333"/>
    </row>
    <row r="977" spans="4:6" x14ac:dyDescent="0.2">
      <c r="D977" s="333"/>
      <c r="E977" s="333"/>
      <c r="F977" s="333"/>
    </row>
    <row r="978" spans="4:6" x14ac:dyDescent="0.2">
      <c r="D978" s="333"/>
      <c r="E978" s="333"/>
      <c r="F978" s="333"/>
    </row>
    <row r="979" spans="4:6" x14ac:dyDescent="0.2">
      <c r="D979" s="333"/>
      <c r="E979" s="333"/>
      <c r="F979" s="333"/>
    </row>
    <row r="980" spans="4:6" x14ac:dyDescent="0.2">
      <c r="D980" s="333"/>
      <c r="E980" s="333"/>
      <c r="F980" s="333"/>
    </row>
    <row r="981" spans="4:6" x14ac:dyDescent="0.2">
      <c r="D981" s="333"/>
      <c r="E981" s="333"/>
      <c r="F981" s="333"/>
    </row>
    <row r="982" spans="4:6" x14ac:dyDescent="0.2">
      <c r="D982" s="333"/>
      <c r="E982" s="333"/>
      <c r="F982" s="333"/>
    </row>
    <row r="983" spans="4:6" x14ac:dyDescent="0.2">
      <c r="D983" s="333"/>
      <c r="E983" s="333"/>
      <c r="F983" s="333"/>
    </row>
    <row r="984" spans="4:6" x14ac:dyDescent="0.2">
      <c r="D984" s="333"/>
      <c r="E984" s="333"/>
      <c r="F984" s="333"/>
    </row>
    <row r="985" spans="4:6" x14ac:dyDescent="0.2">
      <c r="D985" s="333"/>
      <c r="E985" s="333"/>
      <c r="F985" s="333"/>
    </row>
    <row r="986" spans="4:6" x14ac:dyDescent="0.2">
      <c r="D986" s="333"/>
      <c r="E986" s="333"/>
      <c r="F986" s="333"/>
    </row>
    <row r="987" spans="4:6" x14ac:dyDescent="0.2">
      <c r="D987" s="333"/>
      <c r="E987" s="333"/>
      <c r="F987" s="333"/>
    </row>
    <row r="988" spans="4:6" x14ac:dyDescent="0.2">
      <c r="D988" s="333"/>
      <c r="E988" s="333"/>
      <c r="F988" s="333"/>
    </row>
    <row r="989" spans="4:6" x14ac:dyDescent="0.2">
      <c r="D989" s="333"/>
      <c r="E989" s="333"/>
      <c r="F989" s="333"/>
    </row>
    <row r="990" spans="4:6" x14ac:dyDescent="0.2">
      <c r="D990" s="333"/>
      <c r="E990" s="333"/>
      <c r="F990" s="333"/>
    </row>
    <row r="991" spans="4:6" x14ac:dyDescent="0.2">
      <c r="D991" s="333"/>
      <c r="E991" s="333"/>
      <c r="F991" s="333"/>
    </row>
    <row r="992" spans="4:6" x14ac:dyDescent="0.2">
      <c r="D992" s="333"/>
      <c r="E992" s="333"/>
      <c r="F992" s="333"/>
    </row>
    <row r="993" spans="4:6" x14ac:dyDescent="0.2">
      <c r="D993" s="333"/>
      <c r="E993" s="333"/>
      <c r="F993" s="333"/>
    </row>
    <row r="994" spans="4:6" x14ac:dyDescent="0.2">
      <c r="D994" s="333"/>
      <c r="E994" s="333"/>
      <c r="F994" s="333"/>
    </row>
    <row r="995" spans="4:6" x14ac:dyDescent="0.2">
      <c r="D995" s="333"/>
      <c r="E995" s="333"/>
      <c r="F995" s="333"/>
    </row>
    <row r="996" spans="4:6" x14ac:dyDescent="0.2">
      <c r="D996" s="333"/>
      <c r="E996" s="333"/>
      <c r="F996" s="333"/>
    </row>
    <row r="997" spans="4:6" x14ac:dyDescent="0.2">
      <c r="D997" s="333"/>
      <c r="E997" s="333"/>
      <c r="F997" s="333"/>
    </row>
    <row r="998" spans="4:6" x14ac:dyDescent="0.2">
      <c r="D998" s="333"/>
      <c r="E998" s="333"/>
      <c r="F998" s="333"/>
    </row>
    <row r="999" spans="4:6" x14ac:dyDescent="0.2">
      <c r="D999" s="333"/>
      <c r="E999" s="333"/>
      <c r="F999" s="333"/>
    </row>
    <row r="1000" spans="4:6" x14ac:dyDescent="0.2">
      <c r="D1000" s="333"/>
      <c r="E1000" s="333"/>
      <c r="F1000" s="333"/>
    </row>
    <row r="1001" spans="4:6" x14ac:dyDescent="0.2">
      <c r="D1001" s="333"/>
      <c r="E1001" s="333"/>
      <c r="F1001" s="333"/>
    </row>
    <row r="1002" spans="4:6" x14ac:dyDescent="0.2">
      <c r="D1002" s="333"/>
      <c r="E1002" s="333"/>
      <c r="F1002" s="333"/>
    </row>
    <row r="1003" spans="4:6" x14ac:dyDescent="0.2">
      <c r="D1003" s="333"/>
      <c r="E1003" s="333"/>
      <c r="F1003" s="333"/>
    </row>
    <row r="1004" spans="4:6" x14ac:dyDescent="0.2">
      <c r="D1004" s="333"/>
      <c r="E1004" s="333"/>
      <c r="F1004" s="333"/>
    </row>
    <row r="1005" spans="4:6" x14ac:dyDescent="0.2">
      <c r="D1005" s="333"/>
      <c r="E1005" s="333"/>
      <c r="F1005" s="333"/>
    </row>
    <row r="1006" spans="4:6" x14ac:dyDescent="0.2">
      <c r="D1006" s="333"/>
      <c r="E1006" s="333"/>
      <c r="F1006" s="333"/>
    </row>
    <row r="1007" spans="4:6" x14ac:dyDescent="0.2">
      <c r="D1007" s="333"/>
      <c r="E1007" s="333"/>
      <c r="F1007" s="333"/>
    </row>
    <row r="1008" spans="4:6" x14ac:dyDescent="0.2">
      <c r="D1008" s="333"/>
      <c r="E1008" s="333"/>
      <c r="F1008" s="333"/>
    </row>
    <row r="1009" spans="4:6" x14ac:dyDescent="0.2">
      <c r="D1009" s="333"/>
      <c r="E1009" s="333"/>
      <c r="F1009" s="333"/>
    </row>
    <row r="1010" spans="4:6" x14ac:dyDescent="0.2">
      <c r="D1010" s="333"/>
      <c r="E1010" s="333"/>
      <c r="F1010" s="333"/>
    </row>
    <row r="1011" spans="4:6" x14ac:dyDescent="0.2">
      <c r="D1011" s="333"/>
      <c r="E1011" s="333"/>
      <c r="F1011" s="333"/>
    </row>
    <row r="1012" spans="4:6" x14ac:dyDescent="0.2">
      <c r="D1012" s="333"/>
      <c r="E1012" s="333"/>
      <c r="F1012" s="333"/>
    </row>
    <row r="1013" spans="4:6" x14ac:dyDescent="0.2">
      <c r="D1013" s="333"/>
      <c r="E1013" s="333"/>
      <c r="F1013" s="333"/>
    </row>
    <row r="1014" spans="4:6" x14ac:dyDescent="0.2">
      <c r="D1014" s="333"/>
      <c r="E1014" s="333"/>
      <c r="F1014" s="333"/>
    </row>
    <row r="1015" spans="4:6" x14ac:dyDescent="0.2">
      <c r="D1015" s="333"/>
      <c r="E1015" s="333"/>
      <c r="F1015" s="333"/>
    </row>
    <row r="1016" spans="4:6" x14ac:dyDescent="0.2">
      <c r="D1016" s="333"/>
      <c r="E1016" s="333"/>
      <c r="F1016" s="333"/>
    </row>
    <row r="1017" spans="4:6" x14ac:dyDescent="0.2">
      <c r="D1017" s="333"/>
      <c r="E1017" s="333"/>
      <c r="F1017" s="333"/>
    </row>
    <row r="1018" spans="4:6" x14ac:dyDescent="0.2">
      <c r="D1018" s="333"/>
      <c r="E1018" s="333"/>
      <c r="F1018" s="333"/>
    </row>
    <row r="1019" spans="4:6" x14ac:dyDescent="0.2">
      <c r="D1019" s="333"/>
      <c r="E1019" s="333"/>
      <c r="F1019" s="333"/>
    </row>
    <row r="1020" spans="4:6" x14ac:dyDescent="0.2">
      <c r="D1020" s="333"/>
      <c r="E1020" s="333"/>
      <c r="F1020" s="333"/>
    </row>
    <row r="1021" spans="4:6" x14ac:dyDescent="0.2">
      <c r="D1021" s="333"/>
      <c r="E1021" s="333"/>
      <c r="F1021" s="333"/>
    </row>
    <row r="1022" spans="4:6" x14ac:dyDescent="0.2">
      <c r="D1022" s="333"/>
      <c r="E1022" s="333"/>
      <c r="F1022" s="333"/>
    </row>
    <row r="1023" spans="4:6" x14ac:dyDescent="0.2">
      <c r="D1023" s="333"/>
      <c r="E1023" s="333"/>
      <c r="F1023" s="333"/>
    </row>
    <row r="1024" spans="4:6" x14ac:dyDescent="0.2">
      <c r="D1024" s="333"/>
      <c r="E1024" s="333"/>
      <c r="F1024" s="333"/>
    </row>
    <row r="1025" spans="4:6" x14ac:dyDescent="0.2">
      <c r="D1025" s="333"/>
      <c r="E1025" s="333"/>
      <c r="F1025" s="333"/>
    </row>
    <row r="1026" spans="4:6" x14ac:dyDescent="0.2">
      <c r="D1026" s="333"/>
      <c r="E1026" s="333"/>
      <c r="F1026" s="333"/>
    </row>
    <row r="1027" spans="4:6" x14ac:dyDescent="0.2">
      <c r="D1027" s="333"/>
      <c r="E1027" s="333"/>
      <c r="F1027" s="333"/>
    </row>
    <row r="1028" spans="4:6" x14ac:dyDescent="0.2">
      <c r="D1028" s="333"/>
      <c r="E1028" s="333"/>
      <c r="F1028" s="333"/>
    </row>
    <row r="1029" spans="4:6" x14ac:dyDescent="0.2">
      <c r="D1029" s="333"/>
      <c r="E1029" s="333"/>
      <c r="F1029" s="333"/>
    </row>
    <row r="1030" spans="4:6" x14ac:dyDescent="0.2">
      <c r="D1030" s="333"/>
      <c r="E1030" s="333"/>
      <c r="F1030" s="333"/>
    </row>
    <row r="1031" spans="4:6" x14ac:dyDescent="0.2">
      <c r="D1031" s="333"/>
      <c r="E1031" s="333"/>
      <c r="F1031" s="333"/>
    </row>
    <row r="1032" spans="4:6" x14ac:dyDescent="0.2">
      <c r="D1032" s="333"/>
      <c r="E1032" s="333"/>
      <c r="F1032" s="333"/>
    </row>
    <row r="1033" spans="4:6" x14ac:dyDescent="0.2">
      <c r="D1033" s="333"/>
      <c r="E1033" s="333"/>
      <c r="F1033" s="333"/>
    </row>
    <row r="1034" spans="4:6" x14ac:dyDescent="0.2">
      <c r="D1034" s="333"/>
      <c r="E1034" s="333"/>
      <c r="F1034" s="333"/>
    </row>
    <row r="1035" spans="4:6" x14ac:dyDescent="0.2">
      <c r="D1035" s="333"/>
      <c r="E1035" s="333"/>
      <c r="F1035" s="333"/>
    </row>
    <row r="1036" spans="4:6" x14ac:dyDescent="0.2">
      <c r="D1036" s="333"/>
      <c r="E1036" s="333"/>
      <c r="F1036" s="333"/>
    </row>
    <row r="1037" spans="4:6" x14ac:dyDescent="0.2">
      <c r="D1037" s="333"/>
      <c r="E1037" s="333"/>
      <c r="F1037" s="333"/>
    </row>
    <row r="1038" spans="4:6" x14ac:dyDescent="0.2">
      <c r="D1038" s="333"/>
      <c r="E1038" s="333"/>
      <c r="F1038" s="333"/>
    </row>
    <row r="1039" spans="4:6" x14ac:dyDescent="0.2">
      <c r="D1039" s="333"/>
      <c r="E1039" s="333"/>
      <c r="F1039" s="333"/>
    </row>
    <row r="1040" spans="4:6" x14ac:dyDescent="0.2">
      <c r="D1040" s="333"/>
      <c r="E1040" s="333"/>
      <c r="F1040" s="333"/>
    </row>
    <row r="1041" spans="4:6" x14ac:dyDescent="0.2">
      <c r="D1041" s="333"/>
      <c r="E1041" s="333"/>
      <c r="F1041" s="333"/>
    </row>
    <row r="1042" spans="4:6" x14ac:dyDescent="0.2">
      <c r="D1042" s="333"/>
      <c r="E1042" s="333"/>
      <c r="F1042" s="333"/>
    </row>
    <row r="1043" spans="4:6" x14ac:dyDescent="0.2">
      <c r="D1043" s="333"/>
      <c r="E1043" s="333"/>
      <c r="F1043" s="333"/>
    </row>
    <row r="1044" spans="4:6" x14ac:dyDescent="0.2">
      <c r="D1044" s="333"/>
      <c r="E1044" s="333"/>
      <c r="F1044" s="333"/>
    </row>
    <row r="1045" spans="4:6" x14ac:dyDescent="0.2">
      <c r="D1045" s="333"/>
      <c r="E1045" s="333"/>
      <c r="F1045" s="333"/>
    </row>
    <row r="1046" spans="4:6" x14ac:dyDescent="0.2">
      <c r="D1046" s="333"/>
      <c r="E1046" s="333"/>
      <c r="F1046" s="333"/>
    </row>
    <row r="1047" spans="4:6" x14ac:dyDescent="0.2">
      <c r="D1047" s="333"/>
      <c r="E1047" s="333"/>
      <c r="F1047" s="333"/>
    </row>
    <row r="1048" spans="4:6" x14ac:dyDescent="0.2">
      <c r="D1048" s="333"/>
      <c r="E1048" s="333"/>
      <c r="F1048" s="333"/>
    </row>
    <row r="1049" spans="4:6" x14ac:dyDescent="0.2">
      <c r="D1049" s="333"/>
      <c r="E1049" s="333"/>
      <c r="F1049" s="333"/>
    </row>
    <row r="1050" spans="4:6" x14ac:dyDescent="0.2">
      <c r="D1050" s="333"/>
      <c r="E1050" s="333"/>
      <c r="F1050" s="333"/>
    </row>
    <row r="1051" spans="4:6" x14ac:dyDescent="0.2">
      <c r="D1051" s="333"/>
      <c r="E1051" s="333"/>
      <c r="F1051" s="333"/>
    </row>
    <row r="1052" spans="4:6" x14ac:dyDescent="0.2">
      <c r="D1052" s="333"/>
      <c r="E1052" s="333"/>
      <c r="F1052" s="333"/>
    </row>
    <row r="1053" spans="4:6" x14ac:dyDescent="0.2">
      <c r="D1053" s="333"/>
      <c r="E1053" s="333"/>
      <c r="F1053" s="333"/>
    </row>
    <row r="1054" spans="4:6" x14ac:dyDescent="0.2">
      <c r="D1054" s="333"/>
      <c r="E1054" s="333"/>
      <c r="F1054" s="333"/>
    </row>
    <row r="1055" spans="4:6" x14ac:dyDescent="0.2">
      <c r="D1055" s="333"/>
      <c r="E1055" s="333"/>
      <c r="F1055" s="333"/>
    </row>
    <row r="1056" spans="4:6" x14ac:dyDescent="0.2">
      <c r="D1056" s="333"/>
      <c r="E1056" s="333"/>
      <c r="F1056" s="333"/>
    </row>
    <row r="1057" spans="4:6" x14ac:dyDescent="0.2">
      <c r="D1057" s="333"/>
      <c r="E1057" s="333"/>
      <c r="F1057" s="333"/>
    </row>
    <row r="1058" spans="4:6" x14ac:dyDescent="0.2">
      <c r="D1058" s="333"/>
      <c r="E1058" s="333"/>
      <c r="F1058" s="333"/>
    </row>
    <row r="1059" spans="4:6" x14ac:dyDescent="0.2">
      <c r="D1059" s="333"/>
      <c r="E1059" s="333"/>
      <c r="F1059" s="333"/>
    </row>
    <row r="1060" spans="4:6" x14ac:dyDescent="0.2">
      <c r="D1060" s="333"/>
      <c r="E1060" s="333"/>
      <c r="F1060" s="333"/>
    </row>
    <row r="1061" spans="4:6" x14ac:dyDescent="0.2">
      <c r="D1061" s="333"/>
      <c r="E1061" s="333"/>
      <c r="F1061" s="333"/>
    </row>
    <row r="1062" spans="4:6" x14ac:dyDescent="0.2">
      <c r="D1062" s="333"/>
      <c r="E1062" s="333"/>
      <c r="F1062" s="333"/>
    </row>
    <row r="1063" spans="4:6" x14ac:dyDescent="0.2">
      <c r="D1063" s="333"/>
      <c r="E1063" s="333"/>
      <c r="F1063" s="333"/>
    </row>
    <row r="1064" spans="4:6" x14ac:dyDescent="0.2">
      <c r="D1064" s="333"/>
      <c r="E1064" s="333"/>
      <c r="F1064" s="333"/>
    </row>
    <row r="1065" spans="4:6" x14ac:dyDescent="0.2">
      <c r="D1065" s="333"/>
      <c r="E1065" s="333"/>
      <c r="F1065" s="333"/>
    </row>
    <row r="1066" spans="4:6" x14ac:dyDescent="0.2">
      <c r="D1066" s="333"/>
      <c r="E1066" s="333"/>
      <c r="F1066" s="333"/>
    </row>
    <row r="1067" spans="4:6" x14ac:dyDescent="0.2">
      <c r="D1067" s="333"/>
      <c r="E1067" s="333"/>
      <c r="F1067" s="333"/>
    </row>
    <row r="1068" spans="4:6" x14ac:dyDescent="0.2">
      <c r="D1068" s="333"/>
      <c r="E1068" s="333"/>
      <c r="F1068" s="333"/>
    </row>
    <row r="1069" spans="4:6" x14ac:dyDescent="0.2">
      <c r="D1069" s="333"/>
      <c r="E1069" s="333"/>
      <c r="F1069" s="333"/>
    </row>
    <row r="1070" spans="4:6" x14ac:dyDescent="0.2">
      <c r="D1070" s="333"/>
      <c r="E1070" s="333"/>
      <c r="F1070" s="333"/>
    </row>
    <row r="1071" spans="4:6" x14ac:dyDescent="0.2">
      <c r="D1071" s="333"/>
      <c r="E1071" s="333"/>
      <c r="F1071" s="333"/>
    </row>
    <row r="1072" spans="4:6" x14ac:dyDescent="0.2">
      <c r="D1072" s="333"/>
      <c r="E1072" s="333"/>
      <c r="F1072" s="333"/>
    </row>
    <row r="1073" spans="4:6" x14ac:dyDescent="0.2">
      <c r="D1073" s="333"/>
      <c r="E1073" s="333"/>
      <c r="F1073" s="333"/>
    </row>
    <row r="1074" spans="4:6" x14ac:dyDescent="0.2">
      <c r="D1074" s="333"/>
      <c r="E1074" s="333"/>
      <c r="F1074" s="333"/>
    </row>
    <row r="1075" spans="4:6" x14ac:dyDescent="0.2">
      <c r="D1075" s="333"/>
      <c r="E1075" s="333"/>
      <c r="F1075" s="333"/>
    </row>
    <row r="1076" spans="4:6" x14ac:dyDescent="0.2">
      <c r="D1076" s="333"/>
      <c r="E1076" s="333"/>
      <c r="F1076" s="333"/>
    </row>
    <row r="1077" spans="4:6" x14ac:dyDescent="0.2">
      <c r="D1077" s="333"/>
      <c r="E1077" s="333"/>
      <c r="F1077" s="333"/>
    </row>
    <row r="1078" spans="4:6" x14ac:dyDescent="0.2">
      <c r="D1078" s="333"/>
      <c r="E1078" s="333"/>
      <c r="F1078" s="333"/>
    </row>
    <row r="1079" spans="4:6" x14ac:dyDescent="0.2">
      <c r="D1079" s="333"/>
      <c r="E1079" s="333"/>
      <c r="F1079" s="333"/>
    </row>
    <row r="1080" spans="4:6" x14ac:dyDescent="0.2">
      <c r="D1080" s="333"/>
      <c r="E1080" s="333"/>
      <c r="F1080" s="333"/>
    </row>
    <row r="1081" spans="4:6" x14ac:dyDescent="0.2">
      <c r="D1081" s="333"/>
      <c r="E1081" s="333"/>
      <c r="F1081" s="333"/>
    </row>
    <row r="1082" spans="4:6" x14ac:dyDescent="0.2">
      <c r="D1082" s="333"/>
      <c r="E1082" s="333"/>
      <c r="F1082" s="333"/>
    </row>
    <row r="1083" spans="4:6" x14ac:dyDescent="0.2">
      <c r="D1083" s="333"/>
      <c r="E1083" s="333"/>
      <c r="F1083" s="333"/>
    </row>
    <row r="1084" spans="4:6" x14ac:dyDescent="0.2">
      <c r="D1084" s="333"/>
      <c r="E1084" s="333"/>
      <c r="F1084" s="333"/>
    </row>
    <row r="1085" spans="4:6" x14ac:dyDescent="0.2">
      <c r="D1085" s="333"/>
      <c r="E1085" s="333"/>
      <c r="F1085" s="333"/>
    </row>
    <row r="1086" spans="4:6" x14ac:dyDescent="0.2">
      <c r="D1086" s="333"/>
      <c r="E1086" s="333"/>
      <c r="F1086" s="333"/>
    </row>
    <row r="1087" spans="4:6" x14ac:dyDescent="0.2">
      <c r="D1087" s="333"/>
      <c r="E1087" s="333"/>
      <c r="F1087" s="333"/>
    </row>
    <row r="1088" spans="4:6" x14ac:dyDescent="0.2">
      <c r="D1088" s="333"/>
      <c r="E1088" s="333"/>
      <c r="F1088" s="333"/>
    </row>
    <row r="1089" spans="4:6" x14ac:dyDescent="0.2">
      <c r="D1089" s="333"/>
      <c r="E1089" s="333"/>
      <c r="F1089" s="333"/>
    </row>
    <row r="1090" spans="4:6" x14ac:dyDescent="0.2">
      <c r="D1090" s="333"/>
      <c r="E1090" s="333"/>
      <c r="F1090" s="333"/>
    </row>
    <row r="1091" spans="4:6" x14ac:dyDescent="0.2">
      <c r="D1091" s="333"/>
      <c r="E1091" s="333"/>
      <c r="F1091" s="333"/>
    </row>
    <row r="1092" spans="4:6" x14ac:dyDescent="0.2">
      <c r="D1092" s="333"/>
      <c r="E1092" s="333"/>
      <c r="F1092" s="333"/>
    </row>
    <row r="1093" spans="4:6" x14ac:dyDescent="0.2">
      <c r="D1093" s="333"/>
      <c r="E1093" s="333"/>
      <c r="F1093" s="333"/>
    </row>
    <row r="1094" spans="4:6" x14ac:dyDescent="0.2">
      <c r="D1094" s="333"/>
      <c r="E1094" s="333"/>
      <c r="F1094" s="333"/>
    </row>
    <row r="1095" spans="4:6" x14ac:dyDescent="0.2">
      <c r="D1095" s="333"/>
      <c r="E1095" s="333"/>
      <c r="F1095" s="333"/>
    </row>
    <row r="1096" spans="4:6" x14ac:dyDescent="0.2">
      <c r="D1096" s="333"/>
      <c r="E1096" s="333"/>
      <c r="F1096" s="333"/>
    </row>
    <row r="1097" spans="4:6" x14ac:dyDescent="0.2">
      <c r="D1097" s="333"/>
      <c r="E1097" s="333"/>
      <c r="F1097" s="333"/>
    </row>
    <row r="1098" spans="4:6" x14ac:dyDescent="0.2">
      <c r="D1098" s="333"/>
      <c r="E1098" s="333"/>
      <c r="F1098" s="333"/>
    </row>
    <row r="1099" spans="4:6" x14ac:dyDescent="0.2">
      <c r="D1099" s="333"/>
      <c r="E1099" s="333"/>
      <c r="F1099" s="333"/>
    </row>
    <row r="1100" spans="4:6" x14ac:dyDescent="0.2">
      <c r="D1100" s="333"/>
      <c r="E1100" s="333"/>
      <c r="F1100" s="333"/>
    </row>
    <row r="1101" spans="4:6" x14ac:dyDescent="0.2">
      <c r="D1101" s="333"/>
      <c r="E1101" s="333"/>
      <c r="F1101" s="333"/>
    </row>
    <row r="1102" spans="4:6" x14ac:dyDescent="0.2">
      <c r="D1102" s="333"/>
      <c r="E1102" s="333"/>
      <c r="F1102" s="333"/>
    </row>
    <row r="1103" spans="4:6" x14ac:dyDescent="0.2">
      <c r="D1103" s="333"/>
      <c r="E1103" s="333"/>
      <c r="F1103" s="333"/>
    </row>
    <row r="1104" spans="4:6" x14ac:dyDescent="0.2">
      <c r="D1104" s="333"/>
      <c r="E1104" s="333"/>
      <c r="F1104" s="333"/>
    </row>
    <row r="1105" spans="4:6" x14ac:dyDescent="0.2">
      <c r="D1105" s="333"/>
      <c r="E1105" s="333"/>
      <c r="F1105" s="333"/>
    </row>
    <row r="1106" spans="4:6" x14ac:dyDescent="0.2">
      <c r="D1106" s="333"/>
      <c r="E1106" s="333"/>
      <c r="F1106" s="333"/>
    </row>
    <row r="1107" spans="4:6" x14ac:dyDescent="0.2">
      <c r="D1107" s="333"/>
      <c r="E1107" s="333"/>
      <c r="F1107" s="333"/>
    </row>
    <row r="1108" spans="4:6" x14ac:dyDescent="0.2">
      <c r="D1108" s="333"/>
      <c r="E1108" s="333"/>
      <c r="F1108" s="333"/>
    </row>
    <row r="1109" spans="4:6" x14ac:dyDescent="0.2">
      <c r="D1109" s="333"/>
      <c r="E1109" s="333"/>
      <c r="F1109" s="333"/>
    </row>
    <row r="1110" spans="4:6" x14ac:dyDescent="0.2">
      <c r="D1110" s="333"/>
      <c r="E1110" s="333"/>
      <c r="F1110" s="333"/>
    </row>
    <row r="1111" spans="4:6" x14ac:dyDescent="0.2">
      <c r="D1111" s="333"/>
      <c r="E1111" s="333"/>
      <c r="F1111" s="333"/>
    </row>
    <row r="1112" spans="4:6" x14ac:dyDescent="0.2">
      <c r="D1112" s="333"/>
      <c r="E1112" s="333"/>
      <c r="F1112" s="333"/>
    </row>
    <row r="1113" spans="4:6" x14ac:dyDescent="0.2">
      <c r="D1113" s="333"/>
      <c r="E1113" s="333"/>
      <c r="F1113" s="333"/>
    </row>
    <row r="1114" spans="4:6" x14ac:dyDescent="0.2">
      <c r="D1114" s="333"/>
      <c r="E1114" s="333"/>
      <c r="F1114" s="333"/>
    </row>
    <row r="1115" spans="4:6" x14ac:dyDescent="0.2">
      <c r="D1115" s="333"/>
      <c r="E1115" s="333"/>
      <c r="F1115" s="333"/>
    </row>
    <row r="1116" spans="4:6" x14ac:dyDescent="0.2">
      <c r="D1116" s="333"/>
      <c r="E1116" s="333"/>
      <c r="F1116" s="333"/>
    </row>
    <row r="1117" spans="4:6" x14ac:dyDescent="0.2">
      <c r="D1117" s="333"/>
      <c r="E1117" s="333"/>
      <c r="F1117" s="333"/>
    </row>
    <row r="1118" spans="4:6" x14ac:dyDescent="0.2">
      <c r="D1118" s="333"/>
      <c r="E1118" s="333"/>
      <c r="F1118" s="333"/>
    </row>
    <row r="1119" spans="4:6" x14ac:dyDescent="0.2">
      <c r="D1119" s="333"/>
      <c r="E1119" s="333"/>
      <c r="F1119" s="333"/>
    </row>
    <row r="1120" spans="4:6" x14ac:dyDescent="0.2">
      <c r="D1120" s="333"/>
      <c r="E1120" s="333"/>
      <c r="F1120" s="333"/>
    </row>
    <row r="1121" spans="4:6" x14ac:dyDescent="0.2">
      <c r="D1121" s="333"/>
      <c r="E1121" s="333"/>
      <c r="F1121" s="333"/>
    </row>
    <row r="1122" spans="4:6" x14ac:dyDescent="0.2">
      <c r="D1122" s="333"/>
      <c r="E1122" s="333"/>
      <c r="F1122" s="333"/>
    </row>
    <row r="1123" spans="4:6" x14ac:dyDescent="0.2">
      <c r="D1123" s="333"/>
      <c r="E1123" s="333"/>
      <c r="F1123" s="333"/>
    </row>
    <row r="1124" spans="4:6" x14ac:dyDescent="0.2">
      <c r="D1124" s="333"/>
      <c r="E1124" s="333"/>
      <c r="F1124" s="333"/>
    </row>
    <row r="1125" spans="4:6" x14ac:dyDescent="0.2">
      <c r="D1125" s="333"/>
      <c r="E1125" s="333"/>
      <c r="F1125" s="333"/>
    </row>
    <row r="1126" spans="4:6" x14ac:dyDescent="0.2">
      <c r="D1126" s="333"/>
      <c r="E1126" s="333"/>
      <c r="F1126" s="333"/>
    </row>
    <row r="1127" spans="4:6" x14ac:dyDescent="0.2">
      <c r="D1127" s="333"/>
      <c r="E1127" s="333"/>
      <c r="F1127" s="333"/>
    </row>
    <row r="1128" spans="4:6" x14ac:dyDescent="0.2">
      <c r="D1128" s="333"/>
      <c r="E1128" s="333"/>
      <c r="F1128" s="333"/>
    </row>
    <row r="1129" spans="4:6" x14ac:dyDescent="0.2">
      <c r="D1129" s="333"/>
      <c r="E1129" s="333"/>
      <c r="F1129" s="333"/>
    </row>
    <row r="1130" spans="4:6" x14ac:dyDescent="0.2">
      <c r="D1130" s="333"/>
      <c r="E1130" s="333"/>
      <c r="F1130" s="333"/>
    </row>
    <row r="1131" spans="4:6" x14ac:dyDescent="0.2">
      <c r="D1131" s="333"/>
      <c r="E1131" s="333"/>
      <c r="F1131" s="333"/>
    </row>
    <row r="1132" spans="4:6" x14ac:dyDescent="0.2">
      <c r="D1132" s="333"/>
      <c r="E1132" s="333"/>
      <c r="F1132" s="333"/>
    </row>
    <row r="1133" spans="4:6" x14ac:dyDescent="0.2">
      <c r="D1133" s="333"/>
      <c r="E1133" s="333"/>
      <c r="F1133" s="333"/>
    </row>
    <row r="1134" spans="4:6" x14ac:dyDescent="0.2">
      <c r="D1134" s="333"/>
      <c r="E1134" s="333"/>
      <c r="F1134" s="333"/>
    </row>
    <row r="1135" spans="4:6" x14ac:dyDescent="0.2">
      <c r="D1135" s="333"/>
      <c r="E1135" s="333"/>
      <c r="F1135" s="333"/>
    </row>
    <row r="1136" spans="4:6" x14ac:dyDescent="0.2">
      <c r="D1136" s="333"/>
      <c r="E1136" s="333"/>
      <c r="F1136" s="333"/>
    </row>
    <row r="1137" spans="4:6" x14ac:dyDescent="0.2">
      <c r="D1137" s="333"/>
      <c r="E1137" s="333"/>
      <c r="F1137" s="333"/>
    </row>
    <row r="1138" spans="4:6" x14ac:dyDescent="0.2">
      <c r="D1138" s="333"/>
      <c r="E1138" s="333"/>
      <c r="F1138" s="333"/>
    </row>
    <row r="1139" spans="4:6" x14ac:dyDescent="0.2">
      <c r="D1139" s="333"/>
      <c r="E1139" s="333"/>
      <c r="F1139" s="333"/>
    </row>
    <row r="1140" spans="4:6" x14ac:dyDescent="0.2">
      <c r="D1140" s="333"/>
      <c r="E1140" s="333"/>
      <c r="F1140" s="333"/>
    </row>
    <row r="1141" spans="4:6" x14ac:dyDescent="0.2">
      <c r="D1141" s="333"/>
      <c r="E1141" s="333"/>
      <c r="F1141" s="333"/>
    </row>
    <row r="1142" spans="4:6" x14ac:dyDescent="0.2">
      <c r="D1142" s="333"/>
      <c r="E1142" s="333"/>
      <c r="F1142" s="333"/>
    </row>
    <row r="1143" spans="4:6" x14ac:dyDescent="0.2">
      <c r="D1143" s="333"/>
      <c r="E1143" s="333"/>
      <c r="F1143" s="333"/>
    </row>
    <row r="1144" spans="4:6" x14ac:dyDescent="0.2">
      <c r="D1144" s="333"/>
      <c r="E1144" s="333"/>
      <c r="F1144" s="333"/>
    </row>
    <row r="1145" spans="4:6" x14ac:dyDescent="0.2">
      <c r="D1145" s="333"/>
      <c r="E1145" s="333"/>
      <c r="F1145" s="333"/>
    </row>
    <row r="1146" spans="4:6" x14ac:dyDescent="0.2">
      <c r="D1146" s="333"/>
      <c r="E1146" s="333"/>
      <c r="F1146" s="333"/>
    </row>
    <row r="1147" spans="4:6" x14ac:dyDescent="0.2">
      <c r="D1147" s="333"/>
      <c r="E1147" s="333"/>
      <c r="F1147" s="333"/>
    </row>
    <row r="1148" spans="4:6" x14ac:dyDescent="0.2">
      <c r="D1148" s="333"/>
      <c r="E1148" s="333"/>
      <c r="F1148" s="333"/>
    </row>
    <row r="1149" spans="4:6" x14ac:dyDescent="0.2">
      <c r="D1149" s="333"/>
      <c r="E1149" s="333"/>
      <c r="F1149" s="333"/>
    </row>
    <row r="1150" spans="4:6" x14ac:dyDescent="0.2">
      <c r="D1150" s="333"/>
      <c r="E1150" s="333"/>
      <c r="F1150" s="333"/>
    </row>
    <row r="1151" spans="4:6" x14ac:dyDescent="0.2">
      <c r="D1151" s="333"/>
      <c r="E1151" s="333"/>
      <c r="F1151" s="333"/>
    </row>
    <row r="1152" spans="4:6" x14ac:dyDescent="0.2">
      <c r="D1152" s="333"/>
      <c r="E1152" s="333"/>
      <c r="F1152" s="333"/>
    </row>
    <row r="1153" spans="4:6" x14ac:dyDescent="0.2">
      <c r="D1153" s="333"/>
      <c r="E1153" s="333"/>
      <c r="F1153" s="333"/>
    </row>
    <row r="1154" spans="4:6" x14ac:dyDescent="0.2">
      <c r="D1154" s="333"/>
      <c r="E1154" s="333"/>
      <c r="F1154" s="333"/>
    </row>
    <row r="1155" spans="4:6" x14ac:dyDescent="0.2">
      <c r="D1155" s="333"/>
      <c r="E1155" s="333"/>
      <c r="F1155" s="333"/>
    </row>
    <row r="1156" spans="4:6" x14ac:dyDescent="0.2">
      <c r="D1156" s="333"/>
      <c r="E1156" s="333"/>
      <c r="F1156" s="333"/>
    </row>
    <row r="1157" spans="4:6" x14ac:dyDescent="0.2">
      <c r="D1157" s="333"/>
      <c r="E1157" s="333"/>
      <c r="F1157" s="333"/>
    </row>
    <row r="1158" spans="4:6" x14ac:dyDescent="0.2">
      <c r="D1158" s="333"/>
      <c r="E1158" s="333"/>
      <c r="F1158" s="333"/>
    </row>
    <row r="1159" spans="4:6" x14ac:dyDescent="0.2">
      <c r="D1159" s="333"/>
      <c r="E1159" s="333"/>
      <c r="F1159" s="333"/>
    </row>
    <row r="1160" spans="4:6" x14ac:dyDescent="0.2">
      <c r="D1160" s="333"/>
      <c r="E1160" s="333"/>
      <c r="F1160" s="333"/>
    </row>
    <row r="1161" spans="4:6" x14ac:dyDescent="0.2">
      <c r="D1161" s="333"/>
      <c r="E1161" s="333"/>
      <c r="F1161" s="333"/>
    </row>
    <row r="1162" spans="4:6" x14ac:dyDescent="0.2">
      <c r="D1162" s="333"/>
      <c r="E1162" s="333"/>
      <c r="F1162" s="333"/>
    </row>
    <row r="1163" spans="4:6" x14ac:dyDescent="0.2">
      <c r="D1163" s="333"/>
      <c r="E1163" s="333"/>
      <c r="F1163" s="333"/>
    </row>
    <row r="1164" spans="4:6" x14ac:dyDescent="0.2">
      <c r="D1164" s="333"/>
      <c r="E1164" s="333"/>
      <c r="F1164" s="333"/>
    </row>
    <row r="1165" spans="4:6" x14ac:dyDescent="0.2">
      <c r="D1165" s="333"/>
      <c r="E1165" s="333"/>
      <c r="F1165" s="333"/>
    </row>
    <row r="1166" spans="4:6" x14ac:dyDescent="0.2">
      <c r="D1166" s="333"/>
      <c r="E1166" s="333"/>
      <c r="F1166" s="333"/>
    </row>
    <row r="1167" spans="4:6" x14ac:dyDescent="0.2">
      <c r="D1167" s="333"/>
      <c r="E1167" s="333"/>
      <c r="F1167" s="333"/>
    </row>
    <row r="1168" spans="4:6" x14ac:dyDescent="0.2">
      <c r="D1168" s="333"/>
      <c r="E1168" s="333"/>
      <c r="F1168" s="333"/>
    </row>
    <row r="1169" spans="4:6" x14ac:dyDescent="0.2">
      <c r="D1169" s="333"/>
      <c r="E1169" s="333"/>
      <c r="F1169" s="333"/>
    </row>
    <row r="1170" spans="4:6" x14ac:dyDescent="0.2">
      <c r="D1170" s="333"/>
      <c r="E1170" s="333"/>
      <c r="F1170" s="333"/>
    </row>
    <row r="1171" spans="4:6" x14ac:dyDescent="0.2">
      <c r="D1171" s="333"/>
      <c r="E1171" s="333"/>
      <c r="F1171" s="333"/>
    </row>
    <row r="1172" spans="4:6" x14ac:dyDescent="0.2">
      <c r="D1172" s="333"/>
      <c r="E1172" s="333"/>
      <c r="F1172" s="333"/>
    </row>
    <row r="1173" spans="4:6" x14ac:dyDescent="0.2">
      <c r="D1173" s="333"/>
      <c r="E1173" s="333"/>
      <c r="F1173" s="333"/>
    </row>
    <row r="1174" spans="4:6" x14ac:dyDescent="0.2">
      <c r="D1174" s="333"/>
      <c r="E1174" s="333"/>
      <c r="F1174" s="333"/>
    </row>
    <row r="1175" spans="4:6" x14ac:dyDescent="0.2">
      <c r="D1175" s="333"/>
      <c r="E1175" s="333"/>
      <c r="F1175" s="333"/>
    </row>
    <row r="1176" spans="4:6" x14ac:dyDescent="0.2">
      <c r="D1176" s="333"/>
      <c r="E1176" s="333"/>
      <c r="F1176" s="333"/>
    </row>
    <row r="1177" spans="4:6" x14ac:dyDescent="0.2">
      <c r="D1177" s="333"/>
      <c r="E1177" s="333"/>
      <c r="F1177" s="333"/>
    </row>
    <row r="1178" spans="4:6" x14ac:dyDescent="0.2">
      <c r="D1178" s="333"/>
      <c r="E1178" s="333"/>
      <c r="F1178" s="333"/>
    </row>
    <row r="1179" spans="4:6" x14ac:dyDescent="0.2">
      <c r="D1179" s="333"/>
      <c r="E1179" s="333"/>
      <c r="F1179" s="333"/>
    </row>
    <row r="1180" spans="4:6" x14ac:dyDescent="0.2">
      <c r="D1180" s="333"/>
      <c r="E1180" s="333"/>
      <c r="F1180" s="333"/>
    </row>
    <row r="1181" spans="4:6" x14ac:dyDescent="0.2">
      <c r="D1181" s="333"/>
      <c r="E1181" s="333"/>
      <c r="F1181" s="333"/>
    </row>
    <row r="1182" spans="4:6" x14ac:dyDescent="0.2">
      <c r="D1182" s="333"/>
      <c r="E1182" s="333"/>
      <c r="F1182" s="333"/>
    </row>
    <row r="1183" spans="4:6" x14ac:dyDescent="0.2">
      <c r="D1183" s="333"/>
      <c r="E1183" s="333"/>
      <c r="F1183" s="333"/>
    </row>
    <row r="1184" spans="4:6" x14ac:dyDescent="0.2">
      <c r="D1184" s="333"/>
      <c r="E1184" s="333"/>
      <c r="F1184" s="333"/>
    </row>
    <row r="1185" spans="4:6" x14ac:dyDescent="0.2">
      <c r="D1185" s="333"/>
      <c r="E1185" s="333"/>
      <c r="F1185" s="333"/>
    </row>
    <row r="1186" spans="4:6" x14ac:dyDescent="0.2">
      <c r="D1186" s="333"/>
      <c r="E1186" s="333"/>
      <c r="F1186" s="333"/>
    </row>
    <row r="1187" spans="4:6" x14ac:dyDescent="0.2">
      <c r="D1187" s="333"/>
      <c r="E1187" s="333"/>
      <c r="F1187" s="333"/>
    </row>
    <row r="1188" spans="4:6" x14ac:dyDescent="0.2">
      <c r="D1188" s="333"/>
      <c r="E1188" s="333"/>
      <c r="F1188" s="333"/>
    </row>
    <row r="1189" spans="4:6" x14ac:dyDescent="0.2">
      <c r="D1189" s="333"/>
      <c r="E1189" s="333"/>
      <c r="F1189" s="333"/>
    </row>
    <row r="1190" spans="4:6" x14ac:dyDescent="0.2">
      <c r="D1190" s="333"/>
      <c r="E1190" s="333"/>
      <c r="F1190" s="333"/>
    </row>
    <row r="1191" spans="4:6" x14ac:dyDescent="0.2">
      <c r="D1191" s="333"/>
      <c r="E1191" s="333"/>
      <c r="F1191" s="333"/>
    </row>
    <row r="1192" spans="4:6" x14ac:dyDescent="0.2">
      <c r="D1192" s="333"/>
      <c r="E1192" s="333"/>
      <c r="F1192" s="333"/>
    </row>
    <row r="1193" spans="4:6" x14ac:dyDescent="0.2">
      <c r="D1193" s="333"/>
      <c r="E1193" s="333"/>
      <c r="F1193" s="333"/>
    </row>
    <row r="1194" spans="4:6" x14ac:dyDescent="0.2">
      <c r="D1194" s="333"/>
      <c r="E1194" s="333"/>
      <c r="F1194" s="333"/>
    </row>
    <row r="1195" spans="4:6" x14ac:dyDescent="0.2">
      <c r="D1195" s="333"/>
      <c r="E1195" s="333"/>
      <c r="F1195" s="333"/>
    </row>
    <row r="1196" spans="4:6" x14ac:dyDescent="0.2">
      <c r="D1196" s="333"/>
      <c r="E1196" s="333"/>
      <c r="F1196" s="333"/>
    </row>
    <row r="1197" spans="4:6" x14ac:dyDescent="0.2">
      <c r="D1197" s="333"/>
      <c r="E1197" s="333"/>
      <c r="F1197" s="333"/>
    </row>
    <row r="1198" spans="4:6" x14ac:dyDescent="0.2">
      <c r="D1198" s="333"/>
      <c r="E1198" s="333"/>
      <c r="F1198" s="333"/>
    </row>
    <row r="1199" spans="4:6" x14ac:dyDescent="0.2">
      <c r="D1199" s="333"/>
      <c r="E1199" s="333"/>
      <c r="F1199" s="333"/>
    </row>
    <row r="1200" spans="4:6" x14ac:dyDescent="0.2">
      <c r="D1200" s="333"/>
      <c r="E1200" s="333"/>
      <c r="F1200" s="333"/>
    </row>
    <row r="1201" spans="4:6" x14ac:dyDescent="0.2">
      <c r="D1201" s="333"/>
      <c r="E1201" s="333"/>
      <c r="F1201" s="333"/>
    </row>
    <row r="1202" spans="4:6" x14ac:dyDescent="0.2">
      <c r="D1202" s="333"/>
      <c r="E1202" s="333"/>
      <c r="F1202" s="333"/>
    </row>
    <row r="1203" spans="4:6" x14ac:dyDescent="0.2">
      <c r="D1203" s="333"/>
      <c r="E1203" s="333"/>
      <c r="F1203" s="333"/>
    </row>
    <row r="1204" spans="4:6" x14ac:dyDescent="0.2">
      <c r="D1204" s="333"/>
      <c r="E1204" s="333"/>
      <c r="F1204" s="333"/>
    </row>
    <row r="1205" spans="4:6" x14ac:dyDescent="0.2">
      <c r="D1205" s="333"/>
      <c r="E1205" s="333"/>
      <c r="F1205" s="333"/>
    </row>
    <row r="1206" spans="4:6" x14ac:dyDescent="0.2">
      <c r="D1206" s="333"/>
      <c r="E1206" s="333"/>
      <c r="F1206" s="333"/>
    </row>
    <row r="1207" spans="4:6" x14ac:dyDescent="0.2">
      <c r="D1207" s="333"/>
      <c r="E1207" s="333"/>
      <c r="F1207" s="333"/>
    </row>
    <row r="1208" spans="4:6" x14ac:dyDescent="0.2">
      <c r="D1208" s="333"/>
      <c r="E1208" s="333"/>
      <c r="F1208" s="333"/>
    </row>
    <row r="1209" spans="4:6" x14ac:dyDescent="0.2">
      <c r="D1209" s="333"/>
      <c r="E1209" s="333"/>
      <c r="F1209" s="333"/>
    </row>
    <row r="1210" spans="4:6" x14ac:dyDescent="0.2">
      <c r="D1210" s="333"/>
      <c r="E1210" s="333"/>
      <c r="F1210" s="333"/>
    </row>
    <row r="1211" spans="4:6" x14ac:dyDescent="0.2">
      <c r="D1211" s="333"/>
      <c r="E1211" s="333"/>
      <c r="F1211" s="333"/>
    </row>
    <row r="1212" spans="4:6" x14ac:dyDescent="0.2">
      <c r="D1212" s="333"/>
      <c r="E1212" s="333"/>
      <c r="F1212" s="333"/>
    </row>
    <row r="1213" spans="4:6" x14ac:dyDescent="0.2">
      <c r="D1213" s="333"/>
      <c r="E1213" s="333"/>
      <c r="F1213" s="333"/>
    </row>
    <row r="1214" spans="4:6" x14ac:dyDescent="0.2">
      <c r="D1214" s="333"/>
      <c r="E1214" s="333"/>
      <c r="F1214" s="333"/>
    </row>
    <row r="1215" spans="4:6" x14ac:dyDescent="0.2">
      <c r="D1215" s="333"/>
      <c r="E1215" s="333"/>
      <c r="F1215" s="333"/>
    </row>
    <row r="1216" spans="4:6" x14ac:dyDescent="0.2">
      <c r="D1216" s="333"/>
      <c r="E1216" s="333"/>
      <c r="F1216" s="333"/>
    </row>
    <row r="1217" spans="4:6" x14ac:dyDescent="0.2">
      <c r="D1217" s="333"/>
      <c r="E1217" s="333"/>
      <c r="F1217" s="333"/>
    </row>
    <row r="1218" spans="4:6" x14ac:dyDescent="0.2">
      <c r="D1218" s="333"/>
      <c r="E1218" s="333"/>
      <c r="F1218" s="333"/>
    </row>
    <row r="1219" spans="4:6" x14ac:dyDescent="0.2">
      <c r="D1219" s="333"/>
      <c r="E1219" s="333"/>
      <c r="F1219" s="333"/>
    </row>
    <row r="1220" spans="4:6" x14ac:dyDescent="0.2">
      <c r="D1220" s="333"/>
      <c r="E1220" s="333"/>
      <c r="F1220" s="333"/>
    </row>
    <row r="1221" spans="4:6" x14ac:dyDescent="0.2">
      <c r="D1221" s="333"/>
      <c r="E1221" s="333"/>
      <c r="F1221" s="333"/>
    </row>
    <row r="1222" spans="4:6" x14ac:dyDescent="0.2">
      <c r="D1222" s="333"/>
      <c r="E1222" s="333"/>
      <c r="F1222" s="333"/>
    </row>
    <row r="1223" spans="4:6" x14ac:dyDescent="0.2">
      <c r="D1223" s="333"/>
      <c r="E1223" s="333"/>
      <c r="F1223" s="333"/>
    </row>
    <row r="1224" spans="4:6" x14ac:dyDescent="0.2">
      <c r="D1224" s="333"/>
      <c r="E1224" s="333"/>
      <c r="F1224" s="333"/>
    </row>
    <row r="1225" spans="4:6" x14ac:dyDescent="0.2">
      <c r="D1225" s="333"/>
      <c r="E1225" s="333"/>
      <c r="F1225" s="333"/>
    </row>
    <row r="1226" spans="4:6" x14ac:dyDescent="0.2">
      <c r="D1226" s="333"/>
      <c r="E1226" s="333"/>
      <c r="F1226" s="333"/>
    </row>
    <row r="1227" spans="4:6" x14ac:dyDescent="0.2">
      <c r="D1227" s="333"/>
      <c r="E1227" s="333"/>
      <c r="F1227" s="333"/>
    </row>
    <row r="1228" spans="4:6" x14ac:dyDescent="0.2">
      <c r="D1228" s="333"/>
      <c r="E1228" s="333"/>
      <c r="F1228" s="333"/>
    </row>
    <row r="1229" spans="4:6" x14ac:dyDescent="0.2">
      <c r="D1229" s="333"/>
      <c r="E1229" s="333"/>
      <c r="F1229" s="333"/>
    </row>
    <row r="1230" spans="4:6" x14ac:dyDescent="0.2">
      <c r="D1230" s="333"/>
      <c r="E1230" s="333"/>
      <c r="F1230" s="333"/>
    </row>
    <row r="1231" spans="4:6" x14ac:dyDescent="0.2">
      <c r="D1231" s="333"/>
      <c r="E1231" s="333"/>
      <c r="F1231" s="333"/>
    </row>
    <row r="1232" spans="4:6" x14ac:dyDescent="0.2">
      <c r="D1232" s="333"/>
      <c r="E1232" s="333"/>
      <c r="F1232" s="333"/>
    </row>
    <row r="1233" spans="4:6" x14ac:dyDescent="0.2">
      <c r="D1233" s="333"/>
      <c r="E1233" s="333"/>
      <c r="F1233" s="333"/>
    </row>
    <row r="1234" spans="4:6" x14ac:dyDescent="0.2">
      <c r="D1234" s="333"/>
      <c r="E1234" s="333"/>
      <c r="F1234" s="333"/>
    </row>
    <row r="1235" spans="4:6" x14ac:dyDescent="0.2">
      <c r="D1235" s="333"/>
      <c r="E1235" s="333"/>
      <c r="F1235" s="333"/>
    </row>
    <row r="1236" spans="4:6" x14ac:dyDescent="0.2">
      <c r="D1236" s="333"/>
      <c r="E1236" s="333"/>
      <c r="F1236" s="333"/>
    </row>
    <row r="1237" spans="4:6" x14ac:dyDescent="0.2">
      <c r="D1237" s="333"/>
      <c r="E1237" s="333"/>
      <c r="F1237" s="333"/>
    </row>
    <row r="1238" spans="4:6" x14ac:dyDescent="0.2">
      <c r="D1238" s="333"/>
      <c r="E1238" s="333"/>
      <c r="F1238" s="333"/>
    </row>
    <row r="1239" spans="4:6" x14ac:dyDescent="0.2">
      <c r="D1239" s="333"/>
      <c r="E1239" s="333"/>
      <c r="F1239" s="333"/>
    </row>
    <row r="1240" spans="4:6" x14ac:dyDescent="0.2">
      <c r="D1240" s="333"/>
      <c r="E1240" s="333"/>
      <c r="F1240" s="333"/>
    </row>
    <row r="1241" spans="4:6" x14ac:dyDescent="0.2">
      <c r="D1241" s="333"/>
      <c r="E1241" s="333"/>
      <c r="F1241" s="333"/>
    </row>
    <row r="1242" spans="4:6" x14ac:dyDescent="0.2">
      <c r="D1242" s="333"/>
      <c r="E1242" s="333"/>
      <c r="F1242" s="333"/>
    </row>
    <row r="1243" spans="4:6" x14ac:dyDescent="0.2">
      <c r="D1243" s="333"/>
      <c r="E1243" s="333"/>
      <c r="F1243" s="333"/>
    </row>
    <row r="1244" spans="4:6" x14ac:dyDescent="0.2">
      <c r="D1244" s="333"/>
      <c r="E1244" s="333"/>
      <c r="F1244" s="333"/>
    </row>
    <row r="1245" spans="4:6" x14ac:dyDescent="0.2">
      <c r="D1245" s="333"/>
      <c r="E1245" s="333"/>
      <c r="F1245" s="333"/>
    </row>
    <row r="1246" spans="4:6" x14ac:dyDescent="0.2">
      <c r="D1246" s="333"/>
      <c r="E1246" s="333"/>
      <c r="F1246" s="333"/>
    </row>
    <row r="1247" spans="4:6" x14ac:dyDescent="0.2">
      <c r="D1247" s="333"/>
      <c r="E1247" s="333"/>
      <c r="F1247" s="333"/>
    </row>
    <row r="1248" spans="4:6" x14ac:dyDescent="0.2">
      <c r="D1248" s="333"/>
      <c r="E1248" s="333"/>
      <c r="F1248" s="333"/>
    </row>
    <row r="1249" spans="4:6" x14ac:dyDescent="0.2">
      <c r="D1249" s="333"/>
      <c r="E1249" s="333"/>
      <c r="F1249" s="333"/>
    </row>
    <row r="1250" spans="4:6" x14ac:dyDescent="0.2">
      <c r="D1250" s="333"/>
      <c r="E1250" s="333"/>
      <c r="F1250" s="333"/>
    </row>
    <row r="1251" spans="4:6" x14ac:dyDescent="0.2">
      <c r="D1251" s="333"/>
      <c r="E1251" s="333"/>
      <c r="F1251" s="333"/>
    </row>
    <row r="1252" spans="4:6" x14ac:dyDescent="0.2">
      <c r="D1252" s="333"/>
      <c r="E1252" s="333"/>
      <c r="F1252" s="333"/>
    </row>
    <row r="1253" spans="4:6" x14ac:dyDescent="0.2">
      <c r="D1253" s="333"/>
      <c r="E1253" s="333"/>
      <c r="F1253" s="333"/>
    </row>
    <row r="1254" spans="4:6" x14ac:dyDescent="0.2">
      <c r="D1254" s="333"/>
      <c r="E1254" s="333"/>
      <c r="F1254" s="333"/>
    </row>
    <row r="1255" spans="4:6" x14ac:dyDescent="0.2">
      <c r="D1255" s="333"/>
      <c r="E1255" s="333"/>
      <c r="F1255" s="333"/>
    </row>
    <row r="1256" spans="4:6" x14ac:dyDescent="0.2">
      <c r="D1256" s="333"/>
      <c r="E1256" s="333"/>
      <c r="F1256" s="333"/>
    </row>
    <row r="1257" spans="4:6" x14ac:dyDescent="0.2">
      <c r="D1257" s="333"/>
      <c r="E1257" s="333"/>
      <c r="F1257" s="333"/>
    </row>
    <row r="1258" spans="4:6" x14ac:dyDescent="0.2">
      <c r="D1258" s="333"/>
      <c r="E1258" s="333"/>
      <c r="F1258" s="333"/>
    </row>
    <row r="1259" spans="4:6" x14ac:dyDescent="0.2">
      <c r="D1259" s="333"/>
      <c r="E1259" s="333"/>
      <c r="F1259" s="333"/>
    </row>
    <row r="1260" spans="4:6" x14ac:dyDescent="0.2">
      <c r="D1260" s="333"/>
      <c r="E1260" s="333"/>
      <c r="F1260" s="333"/>
    </row>
    <row r="1261" spans="4:6" x14ac:dyDescent="0.2">
      <c r="D1261" s="333"/>
      <c r="E1261" s="333"/>
      <c r="F1261" s="333"/>
    </row>
    <row r="1262" spans="4:6" x14ac:dyDescent="0.2">
      <c r="D1262" s="333"/>
      <c r="E1262" s="333"/>
      <c r="F1262" s="333"/>
    </row>
    <row r="1263" spans="4:6" x14ac:dyDescent="0.2">
      <c r="D1263" s="333"/>
      <c r="E1263" s="333"/>
      <c r="F1263" s="333"/>
    </row>
    <row r="1264" spans="4:6" x14ac:dyDescent="0.2">
      <c r="D1264" s="333"/>
      <c r="E1264" s="333"/>
      <c r="F1264" s="333"/>
    </row>
    <row r="1265" spans="4:6" x14ac:dyDescent="0.2">
      <c r="D1265" s="333"/>
      <c r="E1265" s="333"/>
      <c r="F1265" s="333"/>
    </row>
    <row r="1266" spans="4:6" x14ac:dyDescent="0.2">
      <c r="D1266" s="333"/>
      <c r="E1266" s="333"/>
      <c r="F1266" s="333"/>
    </row>
    <row r="1267" spans="4:6" x14ac:dyDescent="0.2">
      <c r="D1267" s="333"/>
      <c r="E1267" s="333"/>
      <c r="F1267" s="333"/>
    </row>
    <row r="1268" spans="4:6" x14ac:dyDescent="0.2">
      <c r="D1268" s="333"/>
      <c r="E1268" s="333"/>
      <c r="F1268" s="333"/>
    </row>
    <row r="1269" spans="4:6" x14ac:dyDescent="0.2">
      <c r="D1269" s="333"/>
      <c r="E1269" s="333"/>
      <c r="F1269" s="333"/>
    </row>
    <row r="1270" spans="4:6" x14ac:dyDescent="0.2">
      <c r="D1270" s="333"/>
      <c r="E1270" s="333"/>
      <c r="F1270" s="333"/>
    </row>
    <row r="1271" spans="4:6" x14ac:dyDescent="0.2">
      <c r="D1271" s="333"/>
      <c r="E1271" s="333"/>
      <c r="F1271" s="333"/>
    </row>
    <row r="1272" spans="4:6" x14ac:dyDescent="0.2">
      <c r="D1272" s="333"/>
      <c r="E1272" s="333"/>
      <c r="F1272" s="333"/>
    </row>
    <row r="1273" spans="4:6" x14ac:dyDescent="0.2">
      <c r="D1273" s="333"/>
      <c r="E1273" s="333"/>
      <c r="F1273" s="333"/>
    </row>
    <row r="1274" spans="4:6" x14ac:dyDescent="0.2">
      <c r="D1274" s="333"/>
      <c r="E1274" s="333"/>
      <c r="F1274" s="333"/>
    </row>
    <row r="1275" spans="4:6" x14ac:dyDescent="0.2">
      <c r="D1275" s="333"/>
      <c r="E1275" s="333"/>
      <c r="F1275" s="333"/>
    </row>
    <row r="1276" spans="4:6" x14ac:dyDescent="0.2">
      <c r="D1276" s="333"/>
      <c r="E1276" s="333"/>
      <c r="F1276" s="333"/>
    </row>
    <row r="1277" spans="4:6" x14ac:dyDescent="0.2">
      <c r="D1277" s="333"/>
      <c r="E1277" s="333"/>
      <c r="F1277" s="333"/>
    </row>
    <row r="1278" spans="4:6" x14ac:dyDescent="0.2">
      <c r="D1278" s="333"/>
      <c r="E1278" s="333"/>
      <c r="F1278" s="333"/>
    </row>
    <row r="1279" spans="4:6" x14ac:dyDescent="0.2">
      <c r="D1279" s="333"/>
      <c r="E1279" s="333"/>
      <c r="F1279" s="333"/>
    </row>
    <row r="1280" spans="4:6" x14ac:dyDescent="0.2">
      <c r="D1280" s="333"/>
      <c r="E1280" s="333"/>
      <c r="F1280" s="333"/>
    </row>
    <row r="1281" spans="4:6" x14ac:dyDescent="0.2">
      <c r="D1281" s="333"/>
      <c r="E1281" s="333"/>
      <c r="F1281" s="333"/>
    </row>
    <row r="1282" spans="4:6" x14ac:dyDescent="0.2">
      <c r="D1282" s="333"/>
      <c r="E1282" s="333"/>
      <c r="F1282" s="333"/>
    </row>
    <row r="1283" spans="4:6" x14ac:dyDescent="0.2">
      <c r="D1283" s="333"/>
      <c r="E1283" s="333"/>
      <c r="F1283" s="333"/>
    </row>
    <row r="1284" spans="4:6" x14ac:dyDescent="0.2">
      <c r="D1284" s="333"/>
      <c r="E1284" s="333"/>
      <c r="F1284" s="333"/>
    </row>
    <row r="1285" spans="4:6" x14ac:dyDescent="0.2">
      <c r="D1285" s="333"/>
      <c r="E1285" s="333"/>
      <c r="F1285" s="333"/>
    </row>
    <row r="1286" spans="4:6" x14ac:dyDescent="0.2">
      <c r="D1286" s="333"/>
      <c r="E1286" s="333"/>
      <c r="F1286" s="333"/>
    </row>
    <row r="1287" spans="4:6" x14ac:dyDescent="0.2">
      <c r="D1287" s="333"/>
      <c r="E1287" s="333"/>
      <c r="F1287" s="333"/>
    </row>
    <row r="1288" spans="4:6" x14ac:dyDescent="0.2">
      <c r="D1288" s="333"/>
      <c r="E1288" s="333"/>
      <c r="F1288" s="333"/>
    </row>
    <row r="1289" spans="4:6" x14ac:dyDescent="0.2">
      <c r="D1289" s="333"/>
      <c r="E1289" s="333"/>
      <c r="F1289" s="333"/>
    </row>
    <row r="1290" spans="4:6" x14ac:dyDescent="0.2">
      <c r="D1290" s="333"/>
      <c r="E1290" s="333"/>
      <c r="F1290" s="333"/>
    </row>
    <row r="1291" spans="4:6" x14ac:dyDescent="0.2">
      <c r="D1291" s="333"/>
      <c r="E1291" s="333"/>
      <c r="F1291" s="333"/>
    </row>
    <row r="1292" spans="4:6" x14ac:dyDescent="0.2">
      <c r="D1292" s="333"/>
      <c r="E1292" s="333"/>
      <c r="F1292" s="333"/>
    </row>
    <row r="1293" spans="4:6" x14ac:dyDescent="0.2">
      <c r="D1293" s="333"/>
      <c r="E1293" s="333"/>
      <c r="F1293" s="333"/>
    </row>
    <row r="1294" spans="4:6" x14ac:dyDescent="0.2">
      <c r="D1294" s="333"/>
      <c r="E1294" s="333"/>
      <c r="F1294" s="333"/>
    </row>
    <row r="1295" spans="4:6" x14ac:dyDescent="0.2">
      <c r="D1295" s="333"/>
      <c r="E1295" s="333"/>
      <c r="F1295" s="333"/>
    </row>
    <row r="1296" spans="4:6" x14ac:dyDescent="0.2">
      <c r="D1296" s="333"/>
      <c r="E1296" s="333"/>
      <c r="F1296" s="333"/>
    </row>
    <row r="1297" spans="4:6" x14ac:dyDescent="0.2">
      <c r="D1297" s="333"/>
      <c r="E1297" s="333"/>
      <c r="F1297" s="333"/>
    </row>
    <row r="1298" spans="4:6" x14ac:dyDescent="0.2">
      <c r="D1298" s="333"/>
      <c r="E1298" s="333"/>
      <c r="F1298" s="333"/>
    </row>
    <row r="1299" spans="4:6" x14ac:dyDescent="0.2">
      <c r="D1299" s="333"/>
      <c r="E1299" s="333"/>
      <c r="F1299" s="333"/>
    </row>
    <row r="1300" spans="4:6" x14ac:dyDescent="0.2">
      <c r="D1300" s="333"/>
      <c r="E1300" s="333"/>
      <c r="F1300" s="333"/>
    </row>
    <row r="1301" spans="4:6" x14ac:dyDescent="0.2">
      <c r="D1301" s="333"/>
      <c r="E1301" s="333"/>
      <c r="F1301" s="333"/>
    </row>
    <row r="1302" spans="4:6" x14ac:dyDescent="0.2">
      <c r="D1302" s="333"/>
      <c r="E1302" s="333"/>
      <c r="F1302" s="333"/>
    </row>
    <row r="1303" spans="4:6" x14ac:dyDescent="0.2">
      <c r="D1303" s="333"/>
      <c r="E1303" s="333"/>
      <c r="F1303" s="333"/>
    </row>
    <row r="1304" spans="4:6" x14ac:dyDescent="0.2">
      <c r="D1304" s="333"/>
      <c r="E1304" s="333"/>
      <c r="F1304" s="333"/>
    </row>
    <row r="1305" spans="4:6" x14ac:dyDescent="0.2">
      <c r="D1305" s="333"/>
      <c r="E1305" s="333"/>
      <c r="F1305" s="333"/>
    </row>
    <row r="1306" spans="4:6" x14ac:dyDescent="0.2">
      <c r="D1306" s="333"/>
      <c r="E1306" s="333"/>
      <c r="F1306" s="333"/>
    </row>
    <row r="1307" spans="4:6" x14ac:dyDescent="0.2">
      <c r="D1307" s="333"/>
      <c r="E1307" s="333"/>
      <c r="F1307" s="333"/>
    </row>
    <row r="1308" spans="4:6" x14ac:dyDescent="0.2">
      <c r="D1308" s="333"/>
      <c r="E1308" s="333"/>
      <c r="F1308" s="333"/>
    </row>
    <row r="1309" spans="4:6" x14ac:dyDescent="0.2">
      <c r="D1309" s="333"/>
      <c r="E1309" s="333"/>
      <c r="F1309" s="333"/>
    </row>
    <row r="1310" spans="4:6" x14ac:dyDescent="0.2">
      <c r="D1310" s="333"/>
      <c r="E1310" s="333"/>
      <c r="F1310" s="333"/>
    </row>
    <row r="1311" spans="4:6" x14ac:dyDescent="0.2">
      <c r="D1311" s="333"/>
      <c r="E1311" s="333"/>
      <c r="F1311" s="333"/>
    </row>
    <row r="1312" spans="4:6" x14ac:dyDescent="0.2">
      <c r="D1312" s="333"/>
      <c r="E1312" s="333"/>
      <c r="F1312" s="333"/>
    </row>
    <row r="1313" spans="4:6" x14ac:dyDescent="0.2">
      <c r="D1313" s="333"/>
      <c r="E1313" s="333"/>
      <c r="F1313" s="333"/>
    </row>
    <row r="1314" spans="4:6" x14ac:dyDescent="0.2">
      <c r="D1314" s="333"/>
      <c r="E1314" s="333"/>
      <c r="F1314" s="333"/>
    </row>
    <row r="1315" spans="4:6" x14ac:dyDescent="0.2">
      <c r="D1315" s="333"/>
      <c r="E1315" s="333"/>
      <c r="F1315" s="333"/>
    </row>
    <row r="1316" spans="4:6" x14ac:dyDescent="0.2">
      <c r="D1316" s="333"/>
      <c r="E1316" s="333"/>
      <c r="F1316" s="333"/>
    </row>
    <row r="1317" spans="4:6" x14ac:dyDescent="0.2">
      <c r="D1317" s="333"/>
      <c r="E1317" s="333"/>
      <c r="F1317" s="333"/>
    </row>
    <row r="1318" spans="4:6" x14ac:dyDescent="0.2">
      <c r="D1318" s="333"/>
      <c r="E1318" s="333"/>
      <c r="F1318" s="333"/>
    </row>
    <row r="1319" spans="4:6" x14ac:dyDescent="0.2">
      <c r="D1319" s="333"/>
      <c r="E1319" s="333"/>
      <c r="F1319" s="333"/>
    </row>
    <row r="1320" spans="4:6" x14ac:dyDescent="0.2">
      <c r="D1320" s="333"/>
      <c r="E1320" s="333"/>
      <c r="F1320" s="333"/>
    </row>
    <row r="1321" spans="4:6" x14ac:dyDescent="0.2">
      <c r="D1321" s="333"/>
      <c r="E1321" s="333"/>
      <c r="F1321" s="333"/>
    </row>
    <row r="1322" spans="4:6" x14ac:dyDescent="0.2">
      <c r="D1322" s="333"/>
      <c r="E1322" s="333"/>
      <c r="F1322" s="333"/>
    </row>
    <row r="1323" spans="4:6" x14ac:dyDescent="0.2">
      <c r="D1323" s="333"/>
      <c r="E1323" s="333"/>
      <c r="F1323" s="333"/>
    </row>
    <row r="1324" spans="4:6" x14ac:dyDescent="0.2">
      <c r="D1324" s="333"/>
      <c r="E1324" s="333"/>
      <c r="F1324" s="333"/>
    </row>
    <row r="1325" spans="4:6" x14ac:dyDescent="0.2">
      <c r="D1325" s="333"/>
      <c r="E1325" s="333"/>
      <c r="F1325" s="333"/>
    </row>
    <row r="1326" spans="4:6" x14ac:dyDescent="0.2">
      <c r="D1326" s="333"/>
      <c r="E1326" s="333"/>
      <c r="F1326" s="333"/>
    </row>
    <row r="1327" spans="4:6" x14ac:dyDescent="0.2">
      <c r="D1327" s="333"/>
      <c r="E1327" s="333"/>
      <c r="F1327" s="333"/>
    </row>
    <row r="1328" spans="4:6" x14ac:dyDescent="0.2">
      <c r="D1328" s="333"/>
      <c r="E1328" s="333"/>
      <c r="F1328" s="333"/>
    </row>
    <row r="1329" spans="4:6" x14ac:dyDescent="0.2">
      <c r="D1329" s="333"/>
      <c r="E1329" s="333"/>
      <c r="F1329" s="333"/>
    </row>
    <row r="1330" spans="4:6" x14ac:dyDescent="0.2">
      <c r="D1330" s="333"/>
      <c r="E1330" s="333"/>
      <c r="F1330" s="333"/>
    </row>
    <row r="1331" spans="4:6" x14ac:dyDescent="0.2">
      <c r="D1331" s="333"/>
      <c r="E1331" s="333"/>
      <c r="F1331" s="333"/>
    </row>
    <row r="1332" spans="4:6" x14ac:dyDescent="0.2">
      <c r="D1332" s="333"/>
      <c r="E1332" s="333"/>
      <c r="F1332" s="333"/>
    </row>
    <row r="1333" spans="4:6" x14ac:dyDescent="0.2">
      <c r="D1333" s="333"/>
      <c r="E1333" s="333"/>
      <c r="F1333" s="333"/>
    </row>
    <row r="1334" spans="4:6" x14ac:dyDescent="0.2">
      <c r="D1334" s="333"/>
      <c r="E1334" s="333"/>
      <c r="F1334" s="333"/>
    </row>
    <row r="1335" spans="4:6" x14ac:dyDescent="0.2">
      <c r="D1335" s="333"/>
      <c r="E1335" s="333"/>
      <c r="F1335" s="333"/>
    </row>
    <row r="1336" spans="4:6" x14ac:dyDescent="0.2">
      <c r="D1336" s="333"/>
      <c r="E1336" s="333"/>
      <c r="F1336" s="333"/>
    </row>
    <row r="1337" spans="4:6" x14ac:dyDescent="0.2">
      <c r="D1337" s="333"/>
      <c r="E1337" s="333"/>
      <c r="F1337" s="333"/>
    </row>
    <row r="1338" spans="4:6" x14ac:dyDescent="0.2">
      <c r="D1338" s="333"/>
      <c r="E1338" s="333"/>
      <c r="F1338" s="333"/>
    </row>
    <row r="1339" spans="4:6" x14ac:dyDescent="0.2">
      <c r="D1339" s="333"/>
      <c r="E1339" s="333"/>
      <c r="F1339" s="333"/>
    </row>
    <row r="1340" spans="4:6" x14ac:dyDescent="0.2">
      <c r="D1340" s="333"/>
      <c r="E1340" s="333"/>
      <c r="F1340" s="333"/>
    </row>
    <row r="1341" spans="4:6" x14ac:dyDescent="0.2">
      <c r="D1341" s="333"/>
      <c r="E1341" s="333"/>
      <c r="F1341" s="333"/>
    </row>
    <row r="1342" spans="4:6" x14ac:dyDescent="0.2">
      <c r="D1342" s="333"/>
      <c r="E1342" s="333"/>
      <c r="F1342" s="333"/>
    </row>
    <row r="1343" spans="4:6" x14ac:dyDescent="0.2">
      <c r="D1343" s="333"/>
      <c r="E1343" s="333"/>
      <c r="F1343" s="333"/>
    </row>
    <row r="1344" spans="4:6" x14ac:dyDescent="0.2">
      <c r="D1344" s="333"/>
      <c r="E1344" s="333"/>
      <c r="F1344" s="333"/>
    </row>
    <row r="1345" spans="4:6" x14ac:dyDescent="0.2">
      <c r="D1345" s="333"/>
      <c r="E1345" s="333"/>
      <c r="F1345" s="333"/>
    </row>
    <row r="1346" spans="4:6" x14ac:dyDescent="0.2">
      <c r="D1346" s="333"/>
      <c r="E1346" s="333"/>
      <c r="F1346" s="333"/>
    </row>
    <row r="1347" spans="4:6" x14ac:dyDescent="0.2">
      <c r="D1347" s="333"/>
      <c r="E1347" s="333"/>
      <c r="F1347" s="333"/>
    </row>
    <row r="1348" spans="4:6" x14ac:dyDescent="0.2">
      <c r="D1348" s="333"/>
      <c r="E1348" s="333"/>
      <c r="F1348" s="333"/>
    </row>
    <row r="1349" spans="4:6" x14ac:dyDescent="0.2">
      <c r="D1349" s="333"/>
      <c r="E1349" s="333"/>
      <c r="F1349" s="333"/>
    </row>
    <row r="1350" spans="4:6" x14ac:dyDescent="0.2">
      <c r="D1350" s="333"/>
      <c r="E1350" s="333"/>
      <c r="F1350" s="333"/>
    </row>
    <row r="1351" spans="4:6" x14ac:dyDescent="0.2">
      <c r="D1351" s="333"/>
      <c r="E1351" s="333"/>
      <c r="F1351" s="333"/>
    </row>
    <row r="1352" spans="4:6" x14ac:dyDescent="0.2">
      <c r="D1352" s="333"/>
      <c r="E1352" s="333"/>
      <c r="F1352" s="333"/>
    </row>
    <row r="1353" spans="4:6" x14ac:dyDescent="0.2">
      <c r="D1353" s="333"/>
      <c r="E1353" s="333"/>
      <c r="F1353" s="333"/>
    </row>
    <row r="1354" spans="4:6" x14ac:dyDescent="0.2">
      <c r="D1354" s="333"/>
      <c r="E1354" s="333"/>
      <c r="F1354" s="333"/>
    </row>
    <row r="1355" spans="4:6" x14ac:dyDescent="0.2">
      <c r="D1355" s="333"/>
      <c r="E1355" s="333"/>
      <c r="F1355" s="333"/>
    </row>
    <row r="1356" spans="4:6" x14ac:dyDescent="0.2">
      <c r="D1356" s="333"/>
      <c r="E1356" s="333"/>
      <c r="F1356" s="333"/>
    </row>
    <row r="1357" spans="4:6" x14ac:dyDescent="0.2">
      <c r="D1357" s="333"/>
      <c r="E1357" s="333"/>
      <c r="F1357" s="333"/>
    </row>
    <row r="1358" spans="4:6" x14ac:dyDescent="0.2">
      <c r="D1358" s="333"/>
      <c r="E1358" s="333"/>
      <c r="F1358" s="333"/>
    </row>
    <row r="1359" spans="4:6" x14ac:dyDescent="0.2">
      <c r="D1359" s="333"/>
      <c r="E1359" s="333"/>
      <c r="F1359" s="333"/>
    </row>
    <row r="1360" spans="4:6" x14ac:dyDescent="0.2">
      <c r="D1360" s="333"/>
      <c r="E1360" s="333"/>
      <c r="F1360" s="333"/>
    </row>
    <row r="1361" spans="4:6" x14ac:dyDescent="0.2">
      <c r="D1361" s="333"/>
      <c r="E1361" s="333"/>
      <c r="F1361" s="333"/>
    </row>
    <row r="1362" spans="4:6" x14ac:dyDescent="0.2">
      <c r="D1362" s="333"/>
      <c r="E1362" s="333"/>
      <c r="F1362" s="333"/>
    </row>
    <row r="1363" spans="4:6" x14ac:dyDescent="0.2">
      <c r="D1363" s="333"/>
      <c r="E1363" s="333"/>
      <c r="F1363" s="333"/>
    </row>
    <row r="1364" spans="4:6" x14ac:dyDescent="0.2">
      <c r="D1364" s="333"/>
      <c r="E1364" s="333"/>
      <c r="F1364" s="333"/>
    </row>
    <row r="1365" spans="4:6" x14ac:dyDescent="0.2">
      <c r="D1365" s="333"/>
      <c r="E1365" s="333"/>
      <c r="F1365" s="333"/>
    </row>
    <row r="1366" spans="4:6" x14ac:dyDescent="0.2">
      <c r="D1366" s="333"/>
      <c r="E1366" s="333"/>
      <c r="F1366" s="333"/>
    </row>
    <row r="1367" spans="4:6" x14ac:dyDescent="0.2">
      <c r="D1367" s="333"/>
      <c r="E1367" s="333"/>
      <c r="F1367" s="333"/>
    </row>
    <row r="1368" spans="4:6" x14ac:dyDescent="0.2">
      <c r="D1368" s="333"/>
      <c r="E1368" s="333"/>
      <c r="F1368" s="333"/>
    </row>
    <row r="1369" spans="4:6" x14ac:dyDescent="0.2">
      <c r="D1369" s="333"/>
      <c r="E1369" s="333"/>
      <c r="F1369" s="333"/>
    </row>
    <row r="1370" spans="4:6" x14ac:dyDescent="0.2">
      <c r="D1370" s="333"/>
      <c r="E1370" s="333"/>
      <c r="F1370" s="333"/>
    </row>
    <row r="1371" spans="4:6" x14ac:dyDescent="0.2">
      <c r="D1371" s="333"/>
      <c r="E1371" s="333"/>
      <c r="F1371" s="333"/>
    </row>
    <row r="1372" spans="4:6" x14ac:dyDescent="0.2">
      <c r="D1372" s="333"/>
      <c r="E1372" s="333"/>
      <c r="F1372" s="333"/>
    </row>
    <row r="1373" spans="4:6" x14ac:dyDescent="0.2">
      <c r="D1373" s="333"/>
      <c r="E1373" s="333"/>
      <c r="F1373" s="333"/>
    </row>
    <row r="1374" spans="4:6" x14ac:dyDescent="0.2">
      <c r="D1374" s="333"/>
      <c r="E1374" s="333"/>
      <c r="F1374" s="333"/>
    </row>
    <row r="1375" spans="4:6" x14ac:dyDescent="0.2">
      <c r="D1375" s="333"/>
      <c r="E1375" s="333"/>
      <c r="F1375" s="333"/>
    </row>
    <row r="1376" spans="4:6" x14ac:dyDescent="0.2">
      <c r="D1376" s="333"/>
      <c r="E1376" s="333"/>
      <c r="F1376" s="333"/>
    </row>
    <row r="1377" spans="4:6" x14ac:dyDescent="0.2">
      <c r="D1377" s="333"/>
      <c r="E1377" s="333"/>
      <c r="F1377" s="333"/>
    </row>
    <row r="1378" spans="4:6" x14ac:dyDescent="0.2">
      <c r="D1378" s="333"/>
      <c r="E1378" s="333"/>
      <c r="F1378" s="333"/>
    </row>
    <row r="1379" spans="4:6" x14ac:dyDescent="0.2">
      <c r="D1379" s="333"/>
      <c r="E1379" s="333"/>
      <c r="F1379" s="333"/>
    </row>
    <row r="1380" spans="4:6" x14ac:dyDescent="0.2">
      <c r="D1380" s="333"/>
      <c r="E1380" s="333"/>
      <c r="F1380" s="333"/>
    </row>
    <row r="1381" spans="4:6" x14ac:dyDescent="0.2">
      <c r="D1381" s="333"/>
      <c r="E1381" s="333"/>
      <c r="F1381" s="333"/>
    </row>
    <row r="1382" spans="4:6" x14ac:dyDescent="0.2">
      <c r="D1382" s="333"/>
      <c r="E1382" s="333"/>
      <c r="F1382" s="333"/>
    </row>
    <row r="1383" spans="4:6" x14ac:dyDescent="0.2">
      <c r="D1383" s="333"/>
      <c r="E1383" s="333"/>
      <c r="F1383" s="333"/>
    </row>
    <row r="1384" spans="4:6" x14ac:dyDescent="0.2">
      <c r="D1384" s="333"/>
      <c r="E1384" s="333"/>
      <c r="F1384" s="333"/>
    </row>
    <row r="1385" spans="4:6" x14ac:dyDescent="0.2">
      <c r="D1385" s="333"/>
      <c r="E1385" s="333"/>
      <c r="F1385" s="333"/>
    </row>
    <row r="1386" spans="4:6" x14ac:dyDescent="0.2">
      <c r="D1386" s="333"/>
      <c r="E1386" s="333"/>
      <c r="F1386" s="333"/>
    </row>
    <row r="1387" spans="4:6" x14ac:dyDescent="0.2">
      <c r="D1387" s="333"/>
      <c r="E1387" s="333"/>
      <c r="F1387" s="333"/>
    </row>
    <row r="1388" spans="4:6" x14ac:dyDescent="0.2">
      <c r="D1388" s="333"/>
      <c r="E1388" s="333"/>
      <c r="F1388" s="333"/>
    </row>
    <row r="1389" spans="4:6" x14ac:dyDescent="0.2">
      <c r="D1389" s="333"/>
      <c r="E1389" s="333"/>
      <c r="F1389" s="333"/>
    </row>
    <row r="1390" spans="4:6" x14ac:dyDescent="0.2">
      <c r="D1390" s="333"/>
      <c r="E1390" s="333"/>
      <c r="F1390" s="333"/>
    </row>
    <row r="1391" spans="4:6" x14ac:dyDescent="0.2">
      <c r="D1391" s="333"/>
      <c r="E1391" s="333"/>
      <c r="F1391" s="333"/>
    </row>
    <row r="1392" spans="4:6" x14ac:dyDescent="0.2">
      <c r="D1392" s="333"/>
      <c r="E1392" s="333"/>
      <c r="F1392" s="333"/>
    </row>
    <row r="1393" spans="4:6" x14ac:dyDescent="0.2">
      <c r="D1393" s="333"/>
      <c r="E1393" s="333"/>
      <c r="F1393" s="333"/>
    </row>
    <row r="1394" spans="4:6" x14ac:dyDescent="0.2">
      <c r="D1394" s="333"/>
      <c r="E1394" s="333"/>
      <c r="F1394" s="333"/>
    </row>
    <row r="1395" spans="4:6" x14ac:dyDescent="0.2">
      <c r="D1395" s="333"/>
      <c r="E1395" s="333"/>
      <c r="F1395" s="333"/>
    </row>
    <row r="1396" spans="4:6" x14ac:dyDescent="0.2">
      <c r="D1396" s="333"/>
      <c r="E1396" s="333"/>
      <c r="F1396" s="333"/>
    </row>
    <row r="1397" spans="4:6" x14ac:dyDescent="0.2">
      <c r="D1397" s="333"/>
      <c r="E1397" s="333"/>
      <c r="F1397" s="333"/>
    </row>
    <row r="1398" spans="4:6" x14ac:dyDescent="0.2">
      <c r="D1398" s="333"/>
      <c r="E1398" s="333"/>
      <c r="F1398" s="333"/>
    </row>
    <row r="1399" spans="4:6" x14ac:dyDescent="0.2">
      <c r="D1399" s="333"/>
      <c r="E1399" s="333"/>
      <c r="F1399" s="333"/>
    </row>
    <row r="1400" spans="4:6" x14ac:dyDescent="0.2">
      <c r="D1400" s="333"/>
      <c r="E1400" s="333"/>
      <c r="F1400" s="333"/>
    </row>
    <row r="1401" spans="4:6" x14ac:dyDescent="0.2">
      <c r="D1401" s="333"/>
      <c r="E1401" s="333"/>
      <c r="F1401" s="333"/>
    </row>
    <row r="1402" spans="4:6" x14ac:dyDescent="0.2">
      <c r="D1402" s="333"/>
      <c r="E1402" s="333"/>
      <c r="F1402" s="333"/>
    </row>
    <row r="1403" spans="4:6" x14ac:dyDescent="0.2">
      <c r="D1403" s="333"/>
      <c r="E1403" s="333"/>
      <c r="F1403" s="333"/>
    </row>
    <row r="1404" spans="4:6" x14ac:dyDescent="0.2">
      <c r="D1404" s="333"/>
      <c r="E1404" s="333"/>
      <c r="F1404" s="333"/>
    </row>
    <row r="1405" spans="4:6" x14ac:dyDescent="0.2">
      <c r="D1405" s="333"/>
      <c r="E1405" s="333"/>
      <c r="F1405" s="333"/>
    </row>
    <row r="1406" spans="4:6" x14ac:dyDescent="0.2">
      <c r="D1406" s="333"/>
      <c r="E1406" s="333"/>
      <c r="F1406" s="333"/>
    </row>
    <row r="1407" spans="4:6" x14ac:dyDescent="0.2">
      <c r="D1407" s="333"/>
      <c r="E1407" s="333"/>
      <c r="F1407" s="333"/>
    </row>
    <row r="1408" spans="4:6" x14ac:dyDescent="0.2">
      <c r="D1408" s="333"/>
      <c r="E1408" s="333"/>
      <c r="F1408" s="333"/>
    </row>
    <row r="1409" spans="4:6" x14ac:dyDescent="0.2">
      <c r="D1409" s="333"/>
      <c r="E1409" s="333"/>
      <c r="F1409" s="333"/>
    </row>
    <row r="1410" spans="4:6" x14ac:dyDescent="0.2">
      <c r="D1410" s="333"/>
      <c r="E1410" s="333"/>
      <c r="F1410" s="333"/>
    </row>
    <row r="1411" spans="4:6" x14ac:dyDescent="0.2">
      <c r="D1411" s="333"/>
      <c r="E1411" s="333"/>
      <c r="F1411" s="333"/>
    </row>
    <row r="1412" spans="4:6" x14ac:dyDescent="0.2">
      <c r="D1412" s="333"/>
      <c r="E1412" s="333"/>
      <c r="F1412" s="333"/>
    </row>
    <row r="1413" spans="4:6" x14ac:dyDescent="0.2">
      <c r="D1413" s="333"/>
      <c r="E1413" s="333"/>
      <c r="F1413" s="333"/>
    </row>
    <row r="1414" spans="4:6" x14ac:dyDescent="0.2">
      <c r="D1414" s="333"/>
      <c r="E1414" s="333"/>
      <c r="F1414" s="333"/>
    </row>
    <row r="1415" spans="4:6" x14ac:dyDescent="0.2">
      <c r="D1415" s="333"/>
      <c r="E1415" s="333"/>
      <c r="F1415" s="333"/>
    </row>
    <row r="1416" spans="4:6" x14ac:dyDescent="0.2">
      <c r="D1416" s="333"/>
      <c r="E1416" s="333"/>
      <c r="F1416" s="333"/>
    </row>
    <row r="1417" spans="4:6" x14ac:dyDescent="0.2">
      <c r="D1417" s="333"/>
      <c r="E1417" s="333"/>
      <c r="F1417" s="333"/>
    </row>
    <row r="1418" spans="4:6" x14ac:dyDescent="0.2">
      <c r="D1418" s="333"/>
      <c r="E1418" s="333"/>
      <c r="F1418" s="333"/>
    </row>
    <row r="1419" spans="4:6" x14ac:dyDescent="0.2">
      <c r="D1419" s="333"/>
      <c r="E1419" s="333"/>
      <c r="F1419" s="333"/>
    </row>
    <row r="1420" spans="4:6" x14ac:dyDescent="0.2">
      <c r="D1420" s="333"/>
      <c r="E1420" s="333"/>
      <c r="F1420" s="333"/>
    </row>
    <row r="1421" spans="4:6" x14ac:dyDescent="0.2">
      <c r="D1421" s="333"/>
      <c r="E1421" s="333"/>
      <c r="F1421" s="333"/>
    </row>
    <row r="1422" spans="4:6" x14ac:dyDescent="0.2">
      <c r="D1422" s="333"/>
      <c r="E1422" s="333"/>
      <c r="F1422" s="333"/>
    </row>
    <row r="1423" spans="4:6" x14ac:dyDescent="0.2">
      <c r="D1423" s="333"/>
      <c r="E1423" s="333"/>
      <c r="F1423" s="333"/>
    </row>
    <row r="1424" spans="4:6" x14ac:dyDescent="0.2">
      <c r="D1424" s="333"/>
      <c r="E1424" s="333"/>
      <c r="F1424" s="333"/>
    </row>
    <row r="1425" spans="4:6" x14ac:dyDescent="0.2">
      <c r="D1425" s="333"/>
      <c r="E1425" s="333"/>
      <c r="F1425" s="333"/>
    </row>
    <row r="1426" spans="4:6" x14ac:dyDescent="0.2">
      <c r="D1426" s="333"/>
      <c r="E1426" s="333"/>
      <c r="F1426" s="333"/>
    </row>
    <row r="1427" spans="4:6" x14ac:dyDescent="0.2">
      <c r="D1427" s="333"/>
      <c r="E1427" s="333"/>
      <c r="F1427" s="333"/>
    </row>
    <row r="1428" spans="4:6" x14ac:dyDescent="0.2">
      <c r="D1428" s="333"/>
      <c r="E1428" s="333"/>
      <c r="F1428" s="333"/>
    </row>
    <row r="1429" spans="4:6" x14ac:dyDescent="0.2">
      <c r="D1429" s="333"/>
      <c r="E1429" s="333"/>
      <c r="F1429" s="333"/>
    </row>
    <row r="1430" spans="4:6" x14ac:dyDescent="0.2">
      <c r="D1430" s="333"/>
      <c r="E1430" s="333"/>
      <c r="F1430" s="333"/>
    </row>
    <row r="1431" spans="4:6" x14ac:dyDescent="0.2">
      <c r="D1431" s="333"/>
      <c r="E1431" s="333"/>
      <c r="F1431" s="333"/>
    </row>
    <row r="1432" spans="4:6" x14ac:dyDescent="0.2">
      <c r="D1432" s="333"/>
      <c r="E1432" s="333"/>
      <c r="F1432" s="333"/>
    </row>
    <row r="1433" spans="4:6" x14ac:dyDescent="0.2">
      <c r="D1433" s="333"/>
      <c r="E1433" s="333"/>
      <c r="F1433" s="333"/>
    </row>
    <row r="1434" spans="4:6" x14ac:dyDescent="0.2">
      <c r="D1434" s="333"/>
      <c r="E1434" s="333"/>
      <c r="F1434" s="333"/>
    </row>
    <row r="1435" spans="4:6" x14ac:dyDescent="0.2">
      <c r="D1435" s="333"/>
      <c r="E1435" s="333"/>
      <c r="F1435" s="333"/>
    </row>
    <row r="1436" spans="4:6" x14ac:dyDescent="0.2">
      <c r="D1436" s="333"/>
      <c r="E1436" s="333"/>
      <c r="F1436" s="333"/>
    </row>
    <row r="1437" spans="4:6" x14ac:dyDescent="0.2">
      <c r="D1437" s="333"/>
      <c r="E1437" s="333"/>
      <c r="F1437" s="333"/>
    </row>
    <row r="1438" spans="4:6" x14ac:dyDescent="0.2">
      <c r="D1438" s="333"/>
      <c r="E1438" s="333"/>
      <c r="F1438" s="333"/>
    </row>
    <row r="1439" spans="4:6" x14ac:dyDescent="0.2">
      <c r="D1439" s="333"/>
      <c r="E1439" s="333"/>
      <c r="F1439" s="333"/>
    </row>
    <row r="1440" spans="4:6" x14ac:dyDescent="0.2">
      <c r="D1440" s="333"/>
      <c r="E1440" s="333"/>
      <c r="F1440" s="333"/>
    </row>
    <row r="1441" spans="4:6" x14ac:dyDescent="0.2">
      <c r="D1441" s="333"/>
      <c r="E1441" s="333"/>
      <c r="F1441" s="333"/>
    </row>
    <row r="1442" spans="4:6" x14ac:dyDescent="0.2">
      <c r="D1442" s="333"/>
      <c r="E1442" s="333"/>
      <c r="F1442" s="333"/>
    </row>
    <row r="1443" spans="4:6" x14ac:dyDescent="0.2">
      <c r="D1443" s="333"/>
      <c r="E1443" s="333"/>
      <c r="F1443" s="333"/>
    </row>
    <row r="1444" spans="4:6" x14ac:dyDescent="0.2">
      <c r="D1444" s="333"/>
      <c r="E1444" s="333"/>
      <c r="F1444" s="333"/>
    </row>
    <row r="1445" spans="4:6" x14ac:dyDescent="0.2">
      <c r="D1445" s="333"/>
      <c r="E1445" s="333"/>
      <c r="F1445" s="333"/>
    </row>
    <row r="1446" spans="4:6" x14ac:dyDescent="0.2">
      <c r="D1446" s="333"/>
      <c r="E1446" s="333"/>
      <c r="F1446" s="333"/>
    </row>
    <row r="1447" spans="4:6" x14ac:dyDescent="0.2">
      <c r="D1447" s="333"/>
      <c r="E1447" s="333"/>
      <c r="F1447" s="333"/>
    </row>
    <row r="1448" spans="4:6" x14ac:dyDescent="0.2">
      <c r="D1448" s="333"/>
      <c r="E1448" s="333"/>
      <c r="F1448" s="333"/>
    </row>
    <row r="1449" spans="4:6" x14ac:dyDescent="0.2">
      <c r="D1449" s="333"/>
      <c r="E1449" s="333"/>
      <c r="F1449" s="333"/>
    </row>
    <row r="1450" spans="4:6" x14ac:dyDescent="0.2">
      <c r="D1450" s="333"/>
      <c r="E1450" s="333"/>
      <c r="F1450" s="333"/>
    </row>
    <row r="1451" spans="4:6" x14ac:dyDescent="0.2">
      <c r="D1451" s="333"/>
      <c r="E1451" s="333"/>
      <c r="F1451" s="333"/>
    </row>
    <row r="1452" spans="4:6" x14ac:dyDescent="0.2">
      <c r="D1452" s="333"/>
      <c r="E1452" s="333"/>
      <c r="F1452" s="333"/>
    </row>
    <row r="1453" spans="4:6" x14ac:dyDescent="0.2">
      <c r="D1453" s="333"/>
      <c r="E1453" s="333"/>
      <c r="F1453" s="333"/>
    </row>
    <row r="1454" spans="4:6" x14ac:dyDescent="0.2">
      <c r="D1454" s="333"/>
      <c r="E1454" s="333"/>
      <c r="F1454" s="333"/>
    </row>
    <row r="1455" spans="4:6" x14ac:dyDescent="0.2">
      <c r="D1455" s="333"/>
      <c r="E1455" s="333"/>
      <c r="F1455" s="333"/>
    </row>
    <row r="1456" spans="4:6" x14ac:dyDescent="0.2">
      <c r="D1456" s="333"/>
      <c r="E1456" s="333"/>
      <c r="F1456" s="333"/>
    </row>
    <row r="1457" spans="4:6" x14ac:dyDescent="0.2">
      <c r="D1457" s="333"/>
      <c r="E1457" s="333"/>
      <c r="F1457" s="333"/>
    </row>
    <row r="1458" spans="4:6" x14ac:dyDescent="0.2">
      <c r="D1458" s="333"/>
      <c r="E1458" s="333"/>
      <c r="F1458" s="333"/>
    </row>
    <row r="1459" spans="4:6" x14ac:dyDescent="0.2">
      <c r="D1459" s="333"/>
      <c r="E1459" s="333"/>
      <c r="F1459" s="333"/>
    </row>
    <row r="1460" spans="4:6" x14ac:dyDescent="0.2">
      <c r="D1460" s="333"/>
      <c r="E1460" s="333"/>
      <c r="F1460" s="333"/>
    </row>
    <row r="1461" spans="4:6" x14ac:dyDescent="0.2">
      <c r="D1461" s="333"/>
      <c r="E1461" s="333"/>
      <c r="F1461" s="333"/>
    </row>
    <row r="1462" spans="4:6" x14ac:dyDescent="0.2">
      <c r="D1462" s="333"/>
      <c r="E1462" s="333"/>
      <c r="F1462" s="333"/>
    </row>
    <row r="1463" spans="4:6" x14ac:dyDescent="0.2">
      <c r="D1463" s="333"/>
      <c r="E1463" s="333"/>
      <c r="F1463" s="333"/>
    </row>
    <row r="1464" spans="4:6" x14ac:dyDescent="0.2">
      <c r="D1464" s="333"/>
      <c r="E1464" s="333"/>
      <c r="F1464" s="333"/>
    </row>
    <row r="1465" spans="4:6" x14ac:dyDescent="0.2">
      <c r="D1465" s="333"/>
      <c r="E1465" s="333"/>
      <c r="F1465" s="333"/>
    </row>
    <row r="1466" spans="4:6" x14ac:dyDescent="0.2">
      <c r="D1466" s="333"/>
      <c r="E1466" s="333"/>
      <c r="F1466" s="333"/>
    </row>
    <row r="1467" spans="4:6" x14ac:dyDescent="0.2">
      <c r="D1467" s="333"/>
      <c r="E1467" s="333"/>
      <c r="F1467" s="333"/>
    </row>
    <row r="1468" spans="4:6" x14ac:dyDescent="0.2">
      <c r="D1468" s="333"/>
      <c r="E1468" s="333"/>
      <c r="F1468" s="333"/>
    </row>
    <row r="1469" spans="4:6" x14ac:dyDescent="0.2">
      <c r="D1469" s="333"/>
      <c r="E1469" s="333"/>
      <c r="F1469" s="333"/>
    </row>
    <row r="1470" spans="4:6" x14ac:dyDescent="0.2">
      <c r="D1470" s="333"/>
      <c r="E1470" s="333"/>
      <c r="F1470" s="333"/>
    </row>
    <row r="1471" spans="4:6" x14ac:dyDescent="0.2">
      <c r="D1471" s="333"/>
      <c r="E1471" s="333"/>
      <c r="F1471" s="333"/>
    </row>
    <row r="1472" spans="4:6" x14ac:dyDescent="0.2">
      <c r="D1472" s="333"/>
      <c r="E1472" s="333"/>
      <c r="F1472" s="333"/>
    </row>
    <row r="1473" spans="4:6" x14ac:dyDescent="0.2">
      <c r="D1473" s="333"/>
      <c r="E1473" s="333"/>
      <c r="F1473" s="333"/>
    </row>
    <row r="1474" spans="4:6" x14ac:dyDescent="0.2">
      <c r="D1474" s="333"/>
      <c r="E1474" s="333"/>
      <c r="F1474" s="333"/>
    </row>
    <row r="1475" spans="4:6" x14ac:dyDescent="0.2">
      <c r="D1475" s="333"/>
      <c r="E1475" s="333"/>
      <c r="F1475" s="333"/>
    </row>
    <row r="1476" spans="4:6" x14ac:dyDescent="0.2">
      <c r="D1476" s="333"/>
      <c r="E1476" s="333"/>
      <c r="F1476" s="333"/>
    </row>
    <row r="1477" spans="4:6" x14ac:dyDescent="0.2">
      <c r="D1477" s="333"/>
      <c r="E1477" s="333"/>
      <c r="F1477" s="333"/>
    </row>
    <row r="1478" spans="4:6" x14ac:dyDescent="0.2">
      <c r="D1478" s="333"/>
      <c r="E1478" s="333"/>
      <c r="F1478" s="333"/>
    </row>
    <row r="1479" spans="4:6" x14ac:dyDescent="0.2">
      <c r="D1479" s="333"/>
      <c r="E1479" s="333"/>
      <c r="F1479" s="333"/>
    </row>
    <row r="1480" spans="4:6" x14ac:dyDescent="0.2">
      <c r="D1480" s="333"/>
      <c r="E1480" s="333"/>
      <c r="F1480" s="333"/>
    </row>
    <row r="1481" spans="4:6" x14ac:dyDescent="0.2">
      <c r="D1481" s="333"/>
      <c r="E1481" s="333"/>
      <c r="F1481" s="333"/>
    </row>
    <row r="1482" spans="4:6" x14ac:dyDescent="0.2">
      <c r="D1482" s="333"/>
      <c r="E1482" s="333"/>
      <c r="F1482" s="333"/>
    </row>
    <row r="1483" spans="4:6" x14ac:dyDescent="0.2">
      <c r="D1483" s="333"/>
      <c r="E1483" s="333"/>
      <c r="F1483" s="333"/>
    </row>
    <row r="1484" spans="4:6" x14ac:dyDescent="0.2">
      <c r="D1484" s="333"/>
      <c r="E1484" s="333"/>
      <c r="F1484" s="333"/>
    </row>
    <row r="1485" spans="4:6" x14ac:dyDescent="0.2">
      <c r="D1485" s="333"/>
      <c r="E1485" s="333"/>
      <c r="F1485" s="333"/>
    </row>
    <row r="1486" spans="4:6" x14ac:dyDescent="0.2">
      <c r="D1486" s="333"/>
      <c r="E1486" s="333"/>
      <c r="F1486" s="333"/>
    </row>
    <row r="1487" spans="4:6" x14ac:dyDescent="0.2">
      <c r="D1487" s="333"/>
      <c r="E1487" s="333"/>
      <c r="F1487" s="333"/>
    </row>
    <row r="1488" spans="4:6" x14ac:dyDescent="0.2">
      <c r="D1488" s="333"/>
      <c r="E1488" s="333"/>
      <c r="F1488" s="333"/>
    </row>
    <row r="1489" spans="4:6" x14ac:dyDescent="0.2">
      <c r="D1489" s="333"/>
      <c r="E1489" s="333"/>
      <c r="F1489" s="333"/>
    </row>
    <row r="1490" spans="4:6" x14ac:dyDescent="0.2">
      <c r="D1490" s="333"/>
      <c r="E1490" s="333"/>
      <c r="F1490" s="333"/>
    </row>
    <row r="1491" spans="4:6" x14ac:dyDescent="0.2">
      <c r="D1491" s="333"/>
      <c r="E1491" s="333"/>
      <c r="F1491" s="333"/>
    </row>
    <row r="1492" spans="4:6" x14ac:dyDescent="0.2">
      <c r="D1492" s="333"/>
      <c r="E1492" s="333"/>
      <c r="F1492" s="333"/>
    </row>
    <row r="1493" spans="4:6" x14ac:dyDescent="0.2">
      <c r="D1493" s="333"/>
      <c r="E1493" s="333"/>
      <c r="F1493" s="333"/>
    </row>
    <row r="1494" spans="4:6" x14ac:dyDescent="0.2">
      <c r="D1494" s="333"/>
      <c r="E1494" s="333"/>
      <c r="F1494" s="333"/>
    </row>
    <row r="1495" spans="4:6" x14ac:dyDescent="0.2">
      <c r="D1495" s="333"/>
      <c r="E1495" s="333"/>
      <c r="F1495" s="333"/>
    </row>
    <row r="1496" spans="4:6" x14ac:dyDescent="0.2">
      <c r="D1496" s="333"/>
      <c r="E1496" s="333"/>
      <c r="F1496" s="333"/>
    </row>
    <row r="1497" spans="4:6" x14ac:dyDescent="0.2">
      <c r="D1497" s="333"/>
      <c r="E1497" s="333"/>
      <c r="F1497" s="333"/>
    </row>
    <row r="1498" spans="4:6" x14ac:dyDescent="0.2">
      <c r="D1498" s="333"/>
      <c r="E1498" s="333"/>
      <c r="F1498" s="333"/>
    </row>
    <row r="1499" spans="4:6" x14ac:dyDescent="0.2">
      <c r="D1499" s="333"/>
      <c r="E1499" s="333"/>
      <c r="F1499" s="333"/>
    </row>
    <row r="1500" spans="4:6" x14ac:dyDescent="0.2">
      <c r="D1500" s="333"/>
      <c r="E1500" s="333"/>
      <c r="F1500" s="333"/>
    </row>
    <row r="1501" spans="4:6" x14ac:dyDescent="0.2">
      <c r="D1501" s="333"/>
      <c r="E1501" s="333"/>
      <c r="F1501" s="333"/>
    </row>
    <row r="1502" spans="4:6" x14ac:dyDescent="0.2">
      <c r="D1502" s="333"/>
      <c r="E1502" s="333"/>
      <c r="F1502" s="333"/>
    </row>
    <row r="1503" spans="4:6" x14ac:dyDescent="0.2">
      <c r="D1503" s="333"/>
      <c r="E1503" s="333"/>
      <c r="F1503" s="333"/>
    </row>
    <row r="1504" spans="4:6" x14ac:dyDescent="0.2">
      <c r="D1504" s="333"/>
      <c r="E1504" s="333"/>
      <c r="F1504" s="333"/>
    </row>
    <row r="1505" spans="4:6" x14ac:dyDescent="0.2">
      <c r="D1505" s="333"/>
      <c r="E1505" s="333"/>
      <c r="F1505" s="333"/>
    </row>
    <row r="1506" spans="4:6" x14ac:dyDescent="0.2">
      <c r="D1506" s="333"/>
      <c r="E1506" s="333"/>
      <c r="F1506" s="333"/>
    </row>
    <row r="1507" spans="4:6" x14ac:dyDescent="0.2">
      <c r="D1507" s="333"/>
      <c r="E1507" s="333"/>
      <c r="F1507" s="333"/>
    </row>
    <row r="1508" spans="4:6" x14ac:dyDescent="0.2">
      <c r="D1508" s="333"/>
      <c r="E1508" s="333"/>
      <c r="F1508" s="333"/>
    </row>
    <row r="1509" spans="4:6" x14ac:dyDescent="0.2">
      <c r="D1509" s="333"/>
      <c r="E1509" s="333"/>
      <c r="F1509" s="333"/>
    </row>
    <row r="1510" spans="4:6" x14ac:dyDescent="0.2">
      <c r="D1510" s="333"/>
      <c r="E1510" s="333"/>
      <c r="F1510" s="333"/>
    </row>
    <row r="1511" spans="4:6" x14ac:dyDescent="0.2">
      <c r="D1511" s="333"/>
      <c r="E1511" s="333"/>
      <c r="F1511" s="333"/>
    </row>
    <row r="1512" spans="4:6" x14ac:dyDescent="0.2">
      <c r="D1512" s="333"/>
      <c r="E1512" s="333"/>
      <c r="F1512" s="333"/>
    </row>
    <row r="1513" spans="4:6" x14ac:dyDescent="0.2">
      <c r="D1513" s="333"/>
      <c r="E1513" s="333"/>
      <c r="F1513" s="333"/>
    </row>
    <row r="1514" spans="4:6" x14ac:dyDescent="0.2">
      <c r="D1514" s="333"/>
      <c r="E1514" s="333"/>
      <c r="F1514" s="333"/>
    </row>
    <row r="1515" spans="4:6" x14ac:dyDescent="0.2">
      <c r="D1515" s="333"/>
      <c r="E1515" s="333"/>
      <c r="F1515" s="333"/>
    </row>
    <row r="1516" spans="4:6" x14ac:dyDescent="0.2">
      <c r="D1516" s="333"/>
      <c r="E1516" s="333"/>
      <c r="F1516" s="333"/>
    </row>
    <row r="1517" spans="4:6" x14ac:dyDescent="0.2">
      <c r="D1517" s="333"/>
      <c r="E1517" s="333"/>
      <c r="F1517" s="333"/>
    </row>
    <row r="1518" spans="4:6" x14ac:dyDescent="0.2">
      <c r="D1518" s="333"/>
      <c r="E1518" s="333"/>
      <c r="F1518" s="333"/>
    </row>
    <row r="1519" spans="4:6" x14ac:dyDescent="0.2">
      <c r="D1519" s="333"/>
      <c r="E1519" s="333"/>
      <c r="F1519" s="333"/>
    </row>
    <row r="1520" spans="4:6" x14ac:dyDescent="0.2">
      <c r="D1520" s="333"/>
      <c r="E1520" s="333"/>
      <c r="F1520" s="333"/>
    </row>
    <row r="1521" spans="4:6" x14ac:dyDescent="0.2">
      <c r="D1521" s="333"/>
      <c r="E1521" s="333"/>
      <c r="F1521" s="333"/>
    </row>
    <row r="1522" spans="4:6" x14ac:dyDescent="0.2">
      <c r="D1522" s="333"/>
      <c r="E1522" s="333"/>
      <c r="F1522" s="333"/>
    </row>
    <row r="1523" spans="4:6" x14ac:dyDescent="0.2">
      <c r="D1523" s="333"/>
      <c r="E1523" s="333"/>
      <c r="F1523" s="333"/>
    </row>
    <row r="1524" spans="4:6" x14ac:dyDescent="0.2">
      <c r="D1524" s="333"/>
      <c r="E1524" s="333"/>
      <c r="F1524" s="333"/>
    </row>
    <row r="1525" spans="4:6" x14ac:dyDescent="0.2">
      <c r="D1525" s="333"/>
      <c r="E1525" s="333"/>
      <c r="F1525" s="333"/>
    </row>
    <row r="1526" spans="4:6" x14ac:dyDescent="0.2">
      <c r="D1526" s="333"/>
      <c r="E1526" s="333"/>
      <c r="F1526" s="333"/>
    </row>
    <row r="1527" spans="4:6" x14ac:dyDescent="0.2">
      <c r="D1527" s="333"/>
      <c r="E1527" s="333"/>
      <c r="F1527" s="333"/>
    </row>
    <row r="1528" spans="4:6" x14ac:dyDescent="0.2">
      <c r="D1528" s="333"/>
      <c r="E1528" s="333"/>
      <c r="F1528" s="333"/>
    </row>
    <row r="1529" spans="4:6" x14ac:dyDescent="0.2">
      <c r="D1529" s="333"/>
      <c r="E1529" s="333"/>
      <c r="F1529" s="333"/>
    </row>
    <row r="1530" spans="4:6" x14ac:dyDescent="0.2">
      <c r="D1530" s="333"/>
      <c r="E1530" s="333"/>
      <c r="F1530" s="333"/>
    </row>
    <row r="1531" spans="4:6" x14ac:dyDescent="0.2">
      <c r="D1531" s="333"/>
      <c r="E1531" s="333"/>
      <c r="F1531" s="333"/>
    </row>
    <row r="1532" spans="4:6" x14ac:dyDescent="0.2">
      <c r="D1532" s="333"/>
      <c r="E1532" s="333"/>
      <c r="F1532" s="333"/>
    </row>
    <row r="1533" spans="4:6" x14ac:dyDescent="0.2">
      <c r="D1533" s="333"/>
      <c r="E1533" s="333"/>
      <c r="F1533" s="333"/>
    </row>
    <row r="1534" spans="4:6" x14ac:dyDescent="0.2">
      <c r="D1534" s="333"/>
      <c r="E1534" s="333"/>
      <c r="F1534" s="333"/>
    </row>
    <row r="1535" spans="4:6" x14ac:dyDescent="0.2">
      <c r="D1535" s="333"/>
      <c r="E1535" s="333"/>
      <c r="F1535" s="333"/>
    </row>
    <row r="1536" spans="4:6" x14ac:dyDescent="0.2">
      <c r="D1536" s="333"/>
      <c r="E1536" s="333"/>
      <c r="F1536" s="333"/>
    </row>
    <row r="1537" spans="4:6" x14ac:dyDescent="0.2">
      <c r="D1537" s="333"/>
      <c r="E1537" s="333"/>
      <c r="F1537" s="333"/>
    </row>
    <row r="1538" spans="4:6" x14ac:dyDescent="0.2">
      <c r="D1538" s="333"/>
      <c r="E1538" s="333"/>
      <c r="F1538" s="333"/>
    </row>
    <row r="1539" spans="4:6" x14ac:dyDescent="0.2">
      <c r="D1539" s="333"/>
      <c r="E1539" s="333"/>
      <c r="F1539" s="333"/>
    </row>
    <row r="1540" spans="4:6" x14ac:dyDescent="0.2">
      <c r="D1540" s="333"/>
      <c r="E1540" s="333"/>
      <c r="F1540" s="333"/>
    </row>
    <row r="1541" spans="4:6" x14ac:dyDescent="0.2">
      <c r="D1541" s="333"/>
      <c r="E1541" s="333"/>
      <c r="F1541" s="333"/>
    </row>
    <row r="1542" spans="4:6" x14ac:dyDescent="0.2">
      <c r="D1542" s="333"/>
      <c r="E1542" s="333"/>
      <c r="F1542" s="333"/>
    </row>
    <row r="1543" spans="4:6" x14ac:dyDescent="0.2">
      <c r="D1543" s="333"/>
      <c r="E1543" s="333"/>
      <c r="F1543" s="333"/>
    </row>
    <row r="1544" spans="4:6" x14ac:dyDescent="0.2">
      <c r="D1544" s="333"/>
      <c r="E1544" s="333"/>
      <c r="F1544" s="333"/>
    </row>
    <row r="1545" spans="4:6" x14ac:dyDescent="0.2">
      <c r="D1545" s="333"/>
      <c r="E1545" s="333"/>
      <c r="F1545" s="333"/>
    </row>
    <row r="1546" spans="4:6" x14ac:dyDescent="0.2">
      <c r="D1546" s="333"/>
      <c r="E1546" s="333"/>
      <c r="F1546" s="333"/>
    </row>
    <row r="1547" spans="4:6" x14ac:dyDescent="0.2">
      <c r="D1547" s="333"/>
      <c r="E1547" s="333"/>
      <c r="F1547" s="333"/>
    </row>
    <row r="1548" spans="4:6" x14ac:dyDescent="0.2">
      <c r="D1548" s="333"/>
      <c r="E1548" s="333"/>
      <c r="F1548" s="333"/>
    </row>
    <row r="1549" spans="4:6" x14ac:dyDescent="0.2">
      <c r="D1549" s="333"/>
      <c r="E1549" s="333"/>
      <c r="F1549" s="333"/>
    </row>
    <row r="1550" spans="4:6" x14ac:dyDescent="0.2">
      <c r="D1550" s="333"/>
      <c r="E1550" s="333"/>
      <c r="F1550" s="333"/>
    </row>
    <row r="1551" spans="4:6" x14ac:dyDescent="0.2">
      <c r="D1551" s="333"/>
      <c r="E1551" s="333"/>
      <c r="F1551" s="333"/>
    </row>
    <row r="1552" spans="4:6" x14ac:dyDescent="0.2">
      <c r="D1552" s="333"/>
      <c r="E1552" s="333"/>
      <c r="F1552" s="333"/>
    </row>
    <row r="1553" spans="4:6" x14ac:dyDescent="0.2">
      <c r="D1553" s="333"/>
      <c r="E1553" s="333"/>
      <c r="F1553" s="333"/>
    </row>
    <row r="1554" spans="4:6" x14ac:dyDescent="0.2">
      <c r="D1554" s="333"/>
      <c r="E1554" s="333"/>
      <c r="F1554" s="333"/>
    </row>
    <row r="1555" spans="4:6" x14ac:dyDescent="0.2">
      <c r="D1555" s="333"/>
      <c r="E1555" s="333"/>
      <c r="F1555" s="333"/>
    </row>
    <row r="1556" spans="4:6" x14ac:dyDescent="0.2">
      <c r="D1556" s="333"/>
      <c r="E1556" s="333"/>
      <c r="F1556" s="333"/>
    </row>
    <row r="1557" spans="4:6" x14ac:dyDescent="0.2">
      <c r="D1557" s="333"/>
      <c r="E1557" s="333"/>
      <c r="F1557" s="333"/>
    </row>
    <row r="1558" spans="4:6" x14ac:dyDescent="0.2">
      <c r="D1558" s="333"/>
      <c r="E1558" s="333"/>
      <c r="F1558" s="333"/>
    </row>
    <row r="1559" spans="4:6" x14ac:dyDescent="0.2">
      <c r="D1559" s="333"/>
      <c r="E1559" s="333"/>
      <c r="F1559" s="333"/>
    </row>
    <row r="1560" spans="4:6" x14ac:dyDescent="0.2">
      <c r="D1560" s="333"/>
      <c r="E1560" s="333"/>
      <c r="F1560" s="333"/>
    </row>
    <row r="1561" spans="4:6" x14ac:dyDescent="0.2">
      <c r="D1561" s="333"/>
      <c r="E1561" s="333"/>
      <c r="F1561" s="333"/>
    </row>
    <row r="1562" spans="4:6" x14ac:dyDescent="0.2">
      <c r="D1562" s="333"/>
      <c r="E1562" s="333"/>
      <c r="F1562" s="333"/>
    </row>
    <row r="1563" spans="4:6" x14ac:dyDescent="0.2">
      <c r="D1563" s="333"/>
      <c r="E1563" s="333"/>
      <c r="F1563" s="333"/>
    </row>
    <row r="1564" spans="4:6" x14ac:dyDescent="0.2">
      <c r="D1564" s="333"/>
      <c r="E1564" s="333"/>
      <c r="F1564" s="333"/>
    </row>
    <row r="1565" spans="4:6" x14ac:dyDescent="0.2">
      <c r="D1565" s="333"/>
      <c r="E1565" s="333"/>
      <c r="F1565" s="333"/>
    </row>
    <row r="1566" spans="4:6" x14ac:dyDescent="0.2">
      <c r="D1566" s="333"/>
      <c r="E1566" s="333"/>
      <c r="F1566" s="333"/>
    </row>
    <row r="1567" spans="4:6" x14ac:dyDescent="0.2">
      <c r="D1567" s="333"/>
      <c r="E1567" s="333"/>
      <c r="F1567" s="333"/>
    </row>
    <row r="1568" spans="4:6" x14ac:dyDescent="0.2">
      <c r="D1568" s="333"/>
      <c r="E1568" s="333"/>
      <c r="F1568" s="333"/>
    </row>
    <row r="1569" spans="4:6" x14ac:dyDescent="0.2">
      <c r="D1569" s="333"/>
      <c r="E1569" s="333"/>
      <c r="F1569" s="333"/>
    </row>
    <row r="1570" spans="4:6" x14ac:dyDescent="0.2">
      <c r="D1570" s="333"/>
      <c r="E1570" s="333"/>
      <c r="F1570" s="333"/>
    </row>
    <row r="1571" spans="4:6" x14ac:dyDescent="0.2">
      <c r="D1571" s="333"/>
      <c r="E1571" s="333"/>
      <c r="F1571" s="333"/>
    </row>
    <row r="1572" spans="4:6" x14ac:dyDescent="0.2">
      <c r="D1572" s="333"/>
      <c r="E1572" s="333"/>
      <c r="F1572" s="333"/>
    </row>
    <row r="1573" spans="4:6" x14ac:dyDescent="0.2">
      <c r="D1573" s="333"/>
      <c r="E1573" s="333"/>
      <c r="F1573" s="333"/>
    </row>
    <row r="1574" spans="4:6" x14ac:dyDescent="0.2">
      <c r="D1574" s="333"/>
      <c r="E1574" s="333"/>
      <c r="F1574" s="333"/>
    </row>
    <row r="1575" spans="4:6" x14ac:dyDescent="0.2">
      <c r="D1575" s="333"/>
      <c r="E1575" s="333"/>
      <c r="F1575" s="333"/>
    </row>
    <row r="1576" spans="4:6" x14ac:dyDescent="0.2">
      <c r="D1576" s="333"/>
      <c r="E1576" s="333"/>
      <c r="F1576" s="333"/>
    </row>
    <row r="1577" spans="4:6" x14ac:dyDescent="0.2">
      <c r="D1577" s="333"/>
      <c r="E1577" s="333"/>
      <c r="F1577" s="333"/>
    </row>
    <row r="1578" spans="4:6" x14ac:dyDescent="0.2">
      <c r="D1578" s="333"/>
      <c r="E1578" s="333"/>
      <c r="F1578" s="333"/>
    </row>
    <row r="1579" spans="4:6" x14ac:dyDescent="0.2">
      <c r="D1579" s="333"/>
      <c r="E1579" s="333"/>
      <c r="F1579" s="333"/>
    </row>
    <row r="1580" spans="4:6" x14ac:dyDescent="0.2">
      <c r="D1580" s="333"/>
      <c r="E1580" s="333"/>
      <c r="F1580" s="333"/>
    </row>
    <row r="1581" spans="4:6" x14ac:dyDescent="0.2">
      <c r="D1581" s="333"/>
      <c r="E1581" s="333"/>
      <c r="F1581" s="333"/>
    </row>
    <row r="1582" spans="4:6" x14ac:dyDescent="0.2">
      <c r="D1582" s="333"/>
      <c r="E1582" s="333"/>
      <c r="F1582" s="333"/>
    </row>
    <row r="1583" spans="4:6" x14ac:dyDescent="0.2">
      <c r="D1583" s="333"/>
      <c r="E1583" s="333"/>
      <c r="F1583" s="333"/>
    </row>
    <row r="1584" spans="4:6" x14ac:dyDescent="0.2">
      <c r="D1584" s="333"/>
      <c r="E1584" s="333"/>
      <c r="F1584" s="333"/>
    </row>
    <row r="1585" spans="4:6" x14ac:dyDescent="0.2">
      <c r="D1585" s="333"/>
      <c r="E1585" s="333"/>
      <c r="F1585" s="333"/>
    </row>
    <row r="1586" spans="4:6" x14ac:dyDescent="0.2">
      <c r="D1586" s="333"/>
      <c r="E1586" s="333"/>
      <c r="F1586" s="333"/>
    </row>
    <row r="1587" spans="4:6" x14ac:dyDescent="0.2">
      <c r="D1587" s="333"/>
      <c r="E1587" s="333"/>
      <c r="F1587" s="333"/>
    </row>
    <row r="1588" spans="4:6" x14ac:dyDescent="0.2">
      <c r="D1588" s="333"/>
      <c r="E1588" s="333"/>
      <c r="F1588" s="333"/>
    </row>
    <row r="1589" spans="4:6" x14ac:dyDescent="0.2">
      <c r="D1589" s="333"/>
      <c r="E1589" s="333"/>
      <c r="F1589" s="333"/>
    </row>
    <row r="1590" spans="4:6" x14ac:dyDescent="0.2">
      <c r="D1590" s="333"/>
      <c r="E1590" s="333"/>
      <c r="F1590" s="333"/>
    </row>
    <row r="1591" spans="4:6" x14ac:dyDescent="0.2">
      <c r="D1591" s="333"/>
      <c r="E1591" s="333"/>
      <c r="F1591" s="333"/>
    </row>
    <row r="1592" spans="4:6" x14ac:dyDescent="0.2">
      <c r="D1592" s="333"/>
      <c r="E1592" s="333"/>
      <c r="F1592" s="333"/>
    </row>
    <row r="1593" spans="4:6" x14ac:dyDescent="0.2">
      <c r="D1593" s="333"/>
      <c r="E1593" s="333"/>
      <c r="F1593" s="333"/>
    </row>
    <row r="1594" spans="4:6" x14ac:dyDescent="0.2">
      <c r="D1594" s="333"/>
      <c r="E1594" s="333"/>
      <c r="F1594" s="333"/>
    </row>
    <row r="1595" spans="4:6" x14ac:dyDescent="0.2">
      <c r="D1595" s="333"/>
      <c r="E1595" s="333"/>
      <c r="F1595" s="333"/>
    </row>
    <row r="1596" spans="4:6" x14ac:dyDescent="0.2">
      <c r="D1596" s="333"/>
      <c r="E1596" s="333"/>
      <c r="F1596" s="333"/>
    </row>
    <row r="1597" spans="4:6" x14ac:dyDescent="0.2">
      <c r="D1597" s="333"/>
      <c r="E1597" s="333"/>
      <c r="F1597" s="333"/>
    </row>
    <row r="1598" spans="4:6" x14ac:dyDescent="0.2">
      <c r="D1598" s="333"/>
      <c r="E1598" s="333"/>
      <c r="F1598" s="333"/>
    </row>
    <row r="1599" spans="4:6" x14ac:dyDescent="0.2">
      <c r="D1599" s="333"/>
      <c r="E1599" s="333"/>
      <c r="F1599" s="333"/>
    </row>
    <row r="1600" spans="4:6" x14ac:dyDescent="0.2">
      <c r="D1600" s="333"/>
      <c r="E1600" s="333"/>
      <c r="F1600" s="333"/>
    </row>
    <row r="1601" spans="4:6" x14ac:dyDescent="0.2">
      <c r="D1601" s="333"/>
      <c r="E1601" s="333"/>
      <c r="F1601" s="333"/>
    </row>
    <row r="1602" spans="4:6" x14ac:dyDescent="0.2">
      <c r="D1602" s="333"/>
      <c r="E1602" s="333"/>
      <c r="F1602" s="333"/>
    </row>
    <row r="1603" spans="4:6" x14ac:dyDescent="0.2">
      <c r="D1603" s="333"/>
      <c r="E1603" s="333"/>
      <c r="F1603" s="333"/>
    </row>
    <row r="1604" spans="4:6" x14ac:dyDescent="0.2">
      <c r="D1604" s="333"/>
      <c r="E1604" s="333"/>
      <c r="F1604" s="333"/>
    </row>
    <row r="1605" spans="4:6" x14ac:dyDescent="0.2">
      <c r="D1605" s="333"/>
      <c r="E1605" s="333"/>
      <c r="F1605" s="333"/>
    </row>
    <row r="1606" spans="4:6" x14ac:dyDescent="0.2">
      <c r="D1606" s="333"/>
      <c r="E1606" s="333"/>
      <c r="F1606" s="333"/>
    </row>
    <row r="1607" spans="4:6" x14ac:dyDescent="0.2">
      <c r="D1607" s="333"/>
      <c r="E1607" s="333"/>
      <c r="F1607" s="333"/>
    </row>
    <row r="1608" spans="4:6" x14ac:dyDescent="0.2">
      <c r="D1608" s="333"/>
      <c r="E1608" s="333"/>
      <c r="F1608" s="333"/>
    </row>
    <row r="1609" spans="4:6" x14ac:dyDescent="0.2">
      <c r="D1609" s="333"/>
      <c r="E1609" s="333"/>
      <c r="F1609" s="333"/>
    </row>
    <row r="1610" spans="4:6" x14ac:dyDescent="0.2">
      <c r="D1610" s="333"/>
      <c r="E1610" s="333"/>
      <c r="F1610" s="333"/>
    </row>
    <row r="1611" spans="4:6" x14ac:dyDescent="0.2">
      <c r="D1611" s="333"/>
      <c r="E1611" s="333"/>
      <c r="F1611" s="333"/>
    </row>
    <row r="1612" spans="4:6" x14ac:dyDescent="0.2">
      <c r="D1612" s="333"/>
      <c r="E1612" s="333"/>
      <c r="F1612" s="333"/>
    </row>
    <row r="1613" spans="4:6" x14ac:dyDescent="0.2">
      <c r="D1613" s="333"/>
      <c r="E1613" s="333"/>
      <c r="F1613" s="333"/>
    </row>
    <row r="1614" spans="4:6" x14ac:dyDescent="0.2">
      <c r="D1614" s="333"/>
      <c r="E1614" s="333"/>
      <c r="F1614" s="333"/>
    </row>
    <row r="1615" spans="4:6" x14ac:dyDescent="0.2">
      <c r="D1615" s="333"/>
      <c r="E1615" s="333"/>
      <c r="F1615" s="333"/>
    </row>
    <row r="1616" spans="4:6" x14ac:dyDescent="0.2">
      <c r="D1616" s="333"/>
      <c r="E1616" s="333"/>
      <c r="F1616" s="333"/>
    </row>
    <row r="1617" spans="4:6" x14ac:dyDescent="0.2">
      <c r="D1617" s="333"/>
      <c r="E1617" s="333"/>
      <c r="F1617" s="333"/>
    </row>
    <row r="1618" spans="4:6" x14ac:dyDescent="0.2">
      <c r="D1618" s="333"/>
      <c r="E1618" s="333"/>
      <c r="F1618" s="333"/>
    </row>
    <row r="1619" spans="4:6" x14ac:dyDescent="0.2">
      <c r="D1619" s="333"/>
      <c r="E1619" s="333"/>
      <c r="F1619" s="333"/>
    </row>
    <row r="1620" spans="4:6" x14ac:dyDescent="0.2">
      <c r="D1620" s="333"/>
      <c r="E1620" s="333"/>
      <c r="F1620" s="333"/>
    </row>
    <row r="1621" spans="4:6" x14ac:dyDescent="0.2">
      <c r="D1621" s="333"/>
      <c r="E1621" s="333"/>
      <c r="F1621" s="333"/>
    </row>
    <row r="1622" spans="4:6" x14ac:dyDescent="0.2">
      <c r="D1622" s="333"/>
      <c r="E1622" s="333"/>
      <c r="F1622" s="333"/>
    </row>
    <row r="1623" spans="4:6" x14ac:dyDescent="0.2">
      <c r="D1623" s="333"/>
      <c r="E1623" s="333"/>
      <c r="F1623" s="333"/>
    </row>
    <row r="1624" spans="4:6" x14ac:dyDescent="0.2">
      <c r="D1624" s="333"/>
      <c r="E1624" s="333"/>
      <c r="F1624" s="333"/>
    </row>
    <row r="1625" spans="4:6" x14ac:dyDescent="0.2">
      <c r="D1625" s="333"/>
      <c r="E1625" s="333"/>
      <c r="F1625" s="333"/>
    </row>
    <row r="1626" spans="4:6" x14ac:dyDescent="0.2">
      <c r="D1626" s="333"/>
      <c r="E1626" s="333"/>
      <c r="F1626" s="333"/>
    </row>
    <row r="1627" spans="4:6" x14ac:dyDescent="0.2">
      <c r="D1627" s="333"/>
      <c r="E1627" s="333"/>
      <c r="F1627" s="333"/>
    </row>
    <row r="1628" spans="4:6" x14ac:dyDescent="0.2">
      <c r="D1628" s="333"/>
      <c r="E1628" s="333"/>
      <c r="F1628" s="333"/>
    </row>
    <row r="1629" spans="4:6" x14ac:dyDescent="0.2">
      <c r="D1629" s="333"/>
      <c r="E1629" s="333"/>
      <c r="F1629" s="333"/>
    </row>
    <row r="1630" spans="4:6" x14ac:dyDescent="0.2">
      <c r="D1630" s="333"/>
      <c r="E1630" s="333"/>
      <c r="F1630" s="333"/>
    </row>
    <row r="1631" spans="4:6" x14ac:dyDescent="0.2">
      <c r="D1631" s="333"/>
      <c r="E1631" s="333"/>
      <c r="F1631" s="333"/>
    </row>
    <row r="1632" spans="4:6" x14ac:dyDescent="0.2">
      <c r="D1632" s="333"/>
      <c r="E1632" s="333"/>
      <c r="F1632" s="333"/>
    </row>
    <row r="1633" spans="4:6" x14ac:dyDescent="0.2">
      <c r="D1633" s="333"/>
      <c r="E1633" s="333"/>
      <c r="F1633" s="333"/>
    </row>
    <row r="1634" spans="4:6" x14ac:dyDescent="0.2">
      <c r="D1634" s="333"/>
      <c r="E1634" s="333"/>
      <c r="F1634" s="333"/>
    </row>
    <row r="1635" spans="4:6" x14ac:dyDescent="0.2">
      <c r="D1635" s="333"/>
      <c r="E1635" s="333"/>
      <c r="F1635" s="333"/>
    </row>
    <row r="1636" spans="4:6" x14ac:dyDescent="0.2">
      <c r="D1636" s="333"/>
      <c r="E1636" s="333"/>
      <c r="F1636" s="333"/>
    </row>
    <row r="1637" spans="4:6" x14ac:dyDescent="0.2">
      <c r="D1637" s="333"/>
      <c r="E1637" s="333"/>
      <c r="F1637" s="333"/>
    </row>
    <row r="1638" spans="4:6" x14ac:dyDescent="0.2">
      <c r="D1638" s="333"/>
      <c r="E1638" s="333"/>
      <c r="F1638" s="333"/>
    </row>
    <row r="1639" spans="4:6" x14ac:dyDescent="0.2">
      <c r="D1639" s="333"/>
      <c r="E1639" s="333"/>
      <c r="F1639" s="333"/>
    </row>
    <row r="1640" spans="4:6" x14ac:dyDescent="0.2">
      <c r="D1640" s="333"/>
      <c r="E1640" s="333"/>
      <c r="F1640" s="333"/>
    </row>
    <row r="1641" spans="4:6" x14ac:dyDescent="0.2">
      <c r="D1641" s="333"/>
      <c r="E1641" s="333"/>
      <c r="F1641" s="333"/>
    </row>
    <row r="1642" spans="4:6" x14ac:dyDescent="0.2">
      <c r="D1642" s="333"/>
      <c r="E1642" s="333"/>
      <c r="F1642" s="333"/>
    </row>
    <row r="1643" spans="4:6" x14ac:dyDescent="0.2">
      <c r="D1643" s="333"/>
      <c r="E1643" s="333"/>
      <c r="F1643" s="333"/>
    </row>
    <row r="1644" spans="4:6" x14ac:dyDescent="0.2">
      <c r="D1644" s="333"/>
      <c r="E1644" s="333"/>
      <c r="F1644" s="333"/>
    </row>
    <row r="1645" spans="4:6" x14ac:dyDescent="0.2">
      <c r="D1645" s="333"/>
      <c r="E1645" s="333"/>
      <c r="F1645" s="333"/>
    </row>
    <row r="1646" spans="4:6" x14ac:dyDescent="0.2">
      <c r="D1646" s="333"/>
      <c r="E1646" s="333"/>
      <c r="F1646" s="333"/>
    </row>
    <row r="1647" spans="4:6" x14ac:dyDescent="0.2">
      <c r="D1647" s="333"/>
      <c r="E1647" s="333"/>
      <c r="F1647" s="333"/>
    </row>
    <row r="1648" spans="4:6" x14ac:dyDescent="0.2">
      <c r="D1648" s="333"/>
      <c r="E1648" s="333"/>
      <c r="F1648" s="333"/>
    </row>
    <row r="1649" spans="4:6" x14ac:dyDescent="0.2">
      <c r="D1649" s="333"/>
      <c r="E1649" s="333"/>
      <c r="F1649" s="333"/>
    </row>
    <row r="1650" spans="4:6" x14ac:dyDescent="0.2">
      <c r="D1650" s="333"/>
      <c r="E1650" s="333"/>
      <c r="F1650" s="333"/>
    </row>
    <row r="1651" spans="4:6" x14ac:dyDescent="0.2">
      <c r="D1651" s="333"/>
      <c r="E1651" s="333"/>
      <c r="F1651" s="333"/>
    </row>
    <row r="1652" spans="4:6" x14ac:dyDescent="0.2">
      <c r="D1652" s="333"/>
      <c r="E1652" s="333"/>
      <c r="F1652" s="333"/>
    </row>
    <row r="1653" spans="4:6" x14ac:dyDescent="0.2">
      <c r="D1653" s="333"/>
      <c r="E1653" s="333"/>
      <c r="F1653" s="333"/>
    </row>
    <row r="1654" spans="4:6" x14ac:dyDescent="0.2">
      <c r="D1654" s="333"/>
      <c r="E1654" s="333"/>
      <c r="F1654" s="333"/>
    </row>
    <row r="1655" spans="4:6" x14ac:dyDescent="0.2">
      <c r="D1655" s="333"/>
      <c r="E1655" s="333"/>
      <c r="F1655" s="333"/>
    </row>
    <row r="1656" spans="4:6" x14ac:dyDescent="0.2">
      <c r="D1656" s="333"/>
      <c r="E1656" s="333"/>
      <c r="F1656" s="333"/>
    </row>
    <row r="1657" spans="4:6" x14ac:dyDescent="0.2">
      <c r="D1657" s="333"/>
      <c r="E1657" s="333"/>
      <c r="F1657" s="333"/>
    </row>
    <row r="1658" spans="4:6" x14ac:dyDescent="0.2">
      <c r="D1658" s="333"/>
      <c r="E1658" s="333"/>
      <c r="F1658" s="333"/>
    </row>
    <row r="1659" spans="4:6" x14ac:dyDescent="0.2">
      <c r="D1659" s="333"/>
      <c r="E1659" s="333"/>
      <c r="F1659" s="333"/>
    </row>
    <row r="1660" spans="4:6" x14ac:dyDescent="0.2">
      <c r="D1660" s="333"/>
      <c r="E1660" s="333"/>
      <c r="F1660" s="333"/>
    </row>
    <row r="1661" spans="4:6" x14ac:dyDescent="0.2">
      <c r="D1661" s="333"/>
      <c r="E1661" s="333"/>
      <c r="F1661" s="333"/>
    </row>
    <row r="1662" spans="4:6" x14ac:dyDescent="0.2">
      <c r="D1662" s="333"/>
      <c r="E1662" s="333"/>
      <c r="F1662" s="333"/>
    </row>
    <row r="1663" spans="4:6" x14ac:dyDescent="0.2">
      <c r="D1663" s="333"/>
      <c r="E1663" s="333"/>
      <c r="F1663" s="333"/>
    </row>
    <row r="1664" spans="4:6" x14ac:dyDescent="0.2">
      <c r="D1664" s="333"/>
      <c r="E1664" s="333"/>
      <c r="F1664" s="333"/>
    </row>
    <row r="1665" spans="4:6" x14ac:dyDescent="0.2">
      <c r="D1665" s="333"/>
      <c r="E1665" s="333"/>
      <c r="F1665" s="333"/>
    </row>
    <row r="1666" spans="4:6" x14ac:dyDescent="0.2">
      <c r="D1666" s="333"/>
      <c r="E1666" s="333"/>
      <c r="F1666" s="333"/>
    </row>
    <row r="1667" spans="4:6" x14ac:dyDescent="0.2">
      <c r="D1667" s="333"/>
      <c r="E1667" s="333"/>
      <c r="F1667" s="333"/>
    </row>
    <row r="1668" spans="4:6" x14ac:dyDescent="0.2">
      <c r="D1668" s="333"/>
      <c r="E1668" s="333"/>
      <c r="F1668" s="333"/>
    </row>
    <row r="1669" spans="4:6" x14ac:dyDescent="0.2">
      <c r="D1669" s="333"/>
      <c r="E1669" s="333"/>
      <c r="F1669" s="333"/>
    </row>
    <row r="1670" spans="4:6" x14ac:dyDescent="0.2">
      <c r="D1670" s="333"/>
      <c r="E1670" s="333"/>
      <c r="F1670" s="333"/>
    </row>
    <row r="1671" spans="4:6" x14ac:dyDescent="0.2">
      <c r="D1671" s="333"/>
      <c r="E1671" s="333"/>
      <c r="F1671" s="333"/>
    </row>
    <row r="1672" spans="4:6" x14ac:dyDescent="0.2">
      <c r="D1672" s="333"/>
      <c r="E1672" s="333"/>
      <c r="F1672" s="333"/>
    </row>
    <row r="1673" spans="4:6" x14ac:dyDescent="0.2">
      <c r="D1673" s="333"/>
      <c r="E1673" s="333"/>
      <c r="F1673" s="333"/>
    </row>
    <row r="1674" spans="4:6" x14ac:dyDescent="0.2">
      <c r="D1674" s="333"/>
      <c r="E1674" s="333"/>
      <c r="F1674" s="333"/>
    </row>
    <row r="1675" spans="4:6" x14ac:dyDescent="0.2">
      <c r="D1675" s="333"/>
      <c r="E1675" s="333"/>
      <c r="F1675" s="333"/>
    </row>
    <row r="1676" spans="4:6" x14ac:dyDescent="0.2">
      <c r="D1676" s="333"/>
      <c r="E1676" s="333"/>
      <c r="F1676" s="333"/>
    </row>
    <row r="1677" spans="4:6" x14ac:dyDescent="0.2">
      <c r="D1677" s="333"/>
      <c r="E1677" s="333"/>
      <c r="F1677" s="333"/>
    </row>
    <row r="1678" spans="4:6" x14ac:dyDescent="0.2">
      <c r="D1678" s="333"/>
      <c r="E1678" s="333"/>
      <c r="F1678" s="333"/>
    </row>
    <row r="1679" spans="4:6" x14ac:dyDescent="0.2">
      <c r="D1679" s="333"/>
      <c r="E1679" s="333"/>
      <c r="F1679" s="333"/>
    </row>
    <row r="1680" spans="4:6" x14ac:dyDescent="0.2">
      <c r="D1680" s="333"/>
      <c r="E1680" s="333"/>
      <c r="F1680" s="333"/>
    </row>
    <row r="1681" spans="4:6" x14ac:dyDescent="0.2">
      <c r="D1681" s="333"/>
      <c r="E1681" s="333"/>
      <c r="F1681" s="333"/>
    </row>
    <row r="1682" spans="4:6" x14ac:dyDescent="0.2">
      <c r="D1682" s="333"/>
      <c r="E1682" s="333"/>
      <c r="F1682" s="333"/>
    </row>
    <row r="1683" spans="4:6" x14ac:dyDescent="0.2">
      <c r="D1683" s="333"/>
      <c r="E1683" s="333"/>
      <c r="F1683" s="333"/>
    </row>
    <row r="1684" spans="4:6" x14ac:dyDescent="0.2">
      <c r="D1684" s="333"/>
      <c r="E1684" s="333"/>
      <c r="F1684" s="333"/>
    </row>
    <row r="1685" spans="4:6" x14ac:dyDescent="0.2">
      <c r="D1685" s="333"/>
      <c r="E1685" s="333"/>
      <c r="F1685" s="333"/>
    </row>
    <row r="1686" spans="4:6" x14ac:dyDescent="0.2">
      <c r="D1686" s="333"/>
      <c r="E1686" s="333"/>
      <c r="F1686" s="333"/>
    </row>
    <row r="1687" spans="4:6" x14ac:dyDescent="0.2">
      <c r="D1687" s="333"/>
      <c r="E1687" s="333"/>
      <c r="F1687" s="333"/>
    </row>
    <row r="1688" spans="4:6" x14ac:dyDescent="0.2">
      <c r="D1688" s="333"/>
      <c r="E1688" s="333"/>
      <c r="F1688" s="333"/>
    </row>
    <row r="1689" spans="4:6" x14ac:dyDescent="0.2">
      <c r="D1689" s="333"/>
      <c r="E1689" s="333"/>
      <c r="F1689" s="333"/>
    </row>
    <row r="1690" spans="4:6" x14ac:dyDescent="0.2">
      <c r="D1690" s="333"/>
      <c r="E1690" s="333"/>
      <c r="F1690" s="333"/>
    </row>
    <row r="1691" spans="4:6" x14ac:dyDescent="0.2">
      <c r="D1691" s="333"/>
      <c r="E1691" s="333"/>
      <c r="F1691" s="333"/>
    </row>
    <row r="1692" spans="4:6" x14ac:dyDescent="0.2">
      <c r="D1692" s="333"/>
      <c r="E1692" s="333"/>
      <c r="F1692" s="333"/>
    </row>
    <row r="1693" spans="4:6" x14ac:dyDescent="0.2">
      <c r="D1693" s="333"/>
      <c r="E1693" s="333"/>
      <c r="F1693" s="333"/>
    </row>
    <row r="1694" spans="4:6" x14ac:dyDescent="0.2">
      <c r="D1694" s="333"/>
      <c r="E1694" s="333"/>
      <c r="F1694" s="333"/>
    </row>
    <row r="1695" spans="4:6" x14ac:dyDescent="0.2">
      <c r="D1695" s="333"/>
      <c r="E1695" s="333"/>
      <c r="F1695" s="333"/>
    </row>
    <row r="1696" spans="4:6" x14ac:dyDescent="0.2">
      <c r="D1696" s="333"/>
      <c r="E1696" s="333"/>
      <c r="F1696" s="333"/>
    </row>
    <row r="1697" spans="4:6" x14ac:dyDescent="0.2">
      <c r="D1697" s="333"/>
      <c r="E1697" s="333"/>
      <c r="F1697" s="333"/>
    </row>
    <row r="1698" spans="4:6" x14ac:dyDescent="0.2">
      <c r="D1698" s="333"/>
      <c r="E1698" s="333"/>
      <c r="F1698" s="333"/>
    </row>
    <row r="1699" spans="4:6" x14ac:dyDescent="0.2">
      <c r="D1699" s="333"/>
      <c r="E1699" s="333"/>
      <c r="F1699" s="333"/>
    </row>
    <row r="1700" spans="4:6" x14ac:dyDescent="0.2">
      <c r="D1700" s="333"/>
      <c r="E1700" s="333"/>
      <c r="F1700" s="333"/>
    </row>
    <row r="1701" spans="4:6" x14ac:dyDescent="0.2">
      <c r="D1701" s="333"/>
      <c r="E1701" s="333"/>
      <c r="F1701" s="333"/>
    </row>
    <row r="1702" spans="4:6" x14ac:dyDescent="0.2">
      <c r="D1702" s="333"/>
      <c r="E1702" s="333"/>
      <c r="F1702" s="333"/>
    </row>
    <row r="1703" spans="4:6" x14ac:dyDescent="0.2">
      <c r="D1703" s="333"/>
      <c r="E1703" s="333"/>
      <c r="F1703" s="333"/>
    </row>
    <row r="1704" spans="4:6" x14ac:dyDescent="0.2">
      <c r="D1704" s="333"/>
      <c r="E1704" s="333"/>
      <c r="F1704" s="333"/>
    </row>
    <row r="1705" spans="4:6" x14ac:dyDescent="0.2">
      <c r="D1705" s="333"/>
      <c r="E1705" s="333"/>
      <c r="F1705" s="333"/>
    </row>
    <row r="1706" spans="4:6" x14ac:dyDescent="0.2">
      <c r="D1706" s="333"/>
      <c r="E1706" s="333"/>
      <c r="F1706" s="333"/>
    </row>
    <row r="1707" spans="4:6" x14ac:dyDescent="0.2">
      <c r="D1707" s="333"/>
      <c r="E1707" s="333"/>
      <c r="F1707" s="333"/>
    </row>
    <row r="1708" spans="4:6" x14ac:dyDescent="0.2">
      <c r="D1708" s="333"/>
      <c r="E1708" s="333"/>
      <c r="F1708" s="333"/>
    </row>
    <row r="1709" spans="4:6" x14ac:dyDescent="0.2">
      <c r="D1709" s="333"/>
      <c r="E1709" s="333"/>
      <c r="F1709" s="333"/>
    </row>
    <row r="1710" spans="4:6" x14ac:dyDescent="0.2">
      <c r="D1710" s="333"/>
      <c r="E1710" s="333"/>
      <c r="F1710" s="333"/>
    </row>
    <row r="1711" spans="4:6" x14ac:dyDescent="0.2">
      <c r="D1711" s="333"/>
      <c r="E1711" s="333"/>
      <c r="F1711" s="333"/>
    </row>
    <row r="1712" spans="4:6" x14ac:dyDescent="0.2">
      <c r="D1712" s="333"/>
      <c r="E1712" s="333"/>
      <c r="F1712" s="333"/>
    </row>
    <row r="1713" spans="4:6" x14ac:dyDescent="0.2">
      <c r="D1713" s="333"/>
      <c r="E1713" s="333"/>
      <c r="F1713" s="333"/>
    </row>
    <row r="1714" spans="4:6" x14ac:dyDescent="0.2">
      <c r="D1714" s="333"/>
      <c r="E1714" s="333"/>
      <c r="F1714" s="333"/>
    </row>
    <row r="1715" spans="4:6" x14ac:dyDescent="0.2">
      <c r="D1715" s="333"/>
      <c r="E1715" s="333"/>
      <c r="F1715" s="333"/>
    </row>
    <row r="1716" spans="4:6" x14ac:dyDescent="0.2">
      <c r="D1716" s="333"/>
      <c r="E1716" s="333"/>
      <c r="F1716" s="333"/>
    </row>
    <row r="1717" spans="4:6" x14ac:dyDescent="0.2">
      <c r="D1717" s="333"/>
      <c r="E1717" s="333"/>
      <c r="F1717" s="333"/>
    </row>
    <row r="1718" spans="4:6" x14ac:dyDescent="0.2">
      <c r="D1718" s="333"/>
      <c r="E1718" s="333"/>
      <c r="F1718" s="333"/>
    </row>
    <row r="1719" spans="4:6" x14ac:dyDescent="0.2">
      <c r="D1719" s="333"/>
      <c r="E1719" s="333"/>
      <c r="F1719" s="333"/>
    </row>
    <row r="1720" spans="4:6" x14ac:dyDescent="0.2">
      <c r="D1720" s="333"/>
      <c r="E1720" s="333"/>
      <c r="F1720" s="333"/>
    </row>
    <row r="1721" spans="4:6" x14ac:dyDescent="0.2">
      <c r="D1721" s="333"/>
      <c r="E1721" s="333"/>
      <c r="F1721" s="333"/>
    </row>
    <row r="1722" spans="4:6" x14ac:dyDescent="0.2">
      <c r="D1722" s="333"/>
      <c r="E1722" s="333"/>
      <c r="F1722" s="333"/>
    </row>
    <row r="1723" spans="4:6" x14ac:dyDescent="0.2">
      <c r="D1723" s="333"/>
      <c r="E1723" s="333"/>
      <c r="F1723" s="333"/>
    </row>
    <row r="1724" spans="4:6" x14ac:dyDescent="0.2">
      <c r="D1724" s="333"/>
      <c r="E1724" s="333"/>
      <c r="F1724" s="333"/>
    </row>
    <row r="1725" spans="4:6" x14ac:dyDescent="0.2">
      <c r="D1725" s="333"/>
      <c r="E1725" s="333"/>
      <c r="F1725" s="333"/>
    </row>
    <row r="1726" spans="4:6" x14ac:dyDescent="0.2">
      <c r="D1726" s="333"/>
      <c r="E1726" s="333"/>
      <c r="F1726" s="333"/>
    </row>
    <row r="1727" spans="4:6" x14ac:dyDescent="0.2">
      <c r="D1727" s="333"/>
      <c r="E1727" s="333"/>
      <c r="F1727" s="333"/>
    </row>
    <row r="1728" spans="4:6" x14ac:dyDescent="0.2">
      <c r="D1728" s="333"/>
      <c r="E1728" s="333"/>
      <c r="F1728" s="333"/>
    </row>
    <row r="1729" spans="4:6" x14ac:dyDescent="0.2">
      <c r="D1729" s="333"/>
      <c r="E1729" s="333"/>
      <c r="F1729" s="333"/>
    </row>
    <row r="1730" spans="4:6" x14ac:dyDescent="0.2">
      <c r="D1730" s="333"/>
      <c r="E1730" s="333"/>
      <c r="F1730" s="333"/>
    </row>
    <row r="1731" spans="4:6" x14ac:dyDescent="0.2">
      <c r="D1731" s="333"/>
      <c r="E1731" s="333"/>
      <c r="F1731" s="333"/>
    </row>
    <row r="1732" spans="4:6" x14ac:dyDescent="0.2">
      <c r="D1732" s="333"/>
      <c r="E1732" s="333"/>
      <c r="F1732" s="333"/>
    </row>
    <row r="1733" spans="4:6" x14ac:dyDescent="0.2">
      <c r="D1733" s="333"/>
      <c r="E1733" s="333"/>
      <c r="F1733" s="333"/>
    </row>
    <row r="1734" spans="4:6" x14ac:dyDescent="0.2">
      <c r="D1734" s="333"/>
      <c r="E1734" s="333"/>
      <c r="F1734" s="333"/>
    </row>
    <row r="1735" spans="4:6" x14ac:dyDescent="0.2">
      <c r="D1735" s="333"/>
      <c r="E1735" s="333"/>
      <c r="F1735" s="333"/>
    </row>
    <row r="1736" spans="4:6" x14ac:dyDescent="0.2">
      <c r="D1736" s="333"/>
      <c r="E1736" s="333"/>
      <c r="F1736" s="333"/>
    </row>
    <row r="1737" spans="4:6" x14ac:dyDescent="0.2">
      <c r="D1737" s="333"/>
      <c r="E1737" s="333"/>
      <c r="F1737" s="333"/>
    </row>
    <row r="1738" spans="4:6" x14ac:dyDescent="0.2">
      <c r="D1738" s="333"/>
      <c r="E1738" s="333"/>
      <c r="F1738" s="333"/>
    </row>
    <row r="1739" spans="4:6" x14ac:dyDescent="0.2">
      <c r="D1739" s="333"/>
      <c r="E1739" s="333"/>
      <c r="F1739" s="333"/>
    </row>
    <row r="1740" spans="4:6" x14ac:dyDescent="0.2">
      <c r="D1740" s="333"/>
      <c r="E1740" s="333"/>
      <c r="F1740" s="333"/>
    </row>
    <row r="1741" spans="4:6" x14ac:dyDescent="0.2">
      <c r="D1741" s="333"/>
      <c r="E1741" s="333"/>
      <c r="F1741" s="333"/>
    </row>
    <row r="1742" spans="4:6" x14ac:dyDescent="0.2">
      <c r="D1742" s="333"/>
      <c r="E1742" s="333"/>
      <c r="F1742" s="333"/>
    </row>
    <row r="1743" spans="4:6" x14ac:dyDescent="0.2">
      <c r="D1743" s="333"/>
      <c r="E1743" s="333"/>
      <c r="F1743" s="333"/>
    </row>
    <row r="1744" spans="4:6" x14ac:dyDescent="0.2">
      <c r="D1744" s="333"/>
      <c r="E1744" s="333"/>
      <c r="F1744" s="333"/>
    </row>
    <row r="1745" spans="4:6" x14ac:dyDescent="0.2">
      <c r="D1745" s="333"/>
      <c r="E1745" s="333"/>
      <c r="F1745" s="333"/>
    </row>
    <row r="1746" spans="4:6" x14ac:dyDescent="0.2">
      <c r="D1746" s="333"/>
      <c r="E1746" s="333"/>
      <c r="F1746" s="333"/>
    </row>
    <row r="1747" spans="4:6" x14ac:dyDescent="0.2">
      <c r="D1747" s="333"/>
      <c r="E1747" s="333"/>
      <c r="F1747" s="333"/>
    </row>
    <row r="1748" spans="4:6" x14ac:dyDescent="0.2">
      <c r="D1748" s="333"/>
      <c r="E1748" s="333"/>
      <c r="F1748" s="333"/>
    </row>
    <row r="1749" spans="4:6" x14ac:dyDescent="0.2">
      <c r="D1749" s="333"/>
      <c r="E1749" s="333"/>
      <c r="F1749" s="333"/>
    </row>
    <row r="1750" spans="4:6" x14ac:dyDescent="0.2">
      <c r="D1750" s="333"/>
      <c r="E1750" s="333"/>
      <c r="F1750" s="333"/>
    </row>
    <row r="1751" spans="4:6" x14ac:dyDescent="0.2">
      <c r="D1751" s="333"/>
      <c r="E1751" s="333"/>
      <c r="F1751" s="333"/>
    </row>
    <row r="1752" spans="4:6" x14ac:dyDescent="0.2">
      <c r="D1752" s="333"/>
      <c r="E1752" s="333"/>
      <c r="F1752" s="333"/>
    </row>
    <row r="1753" spans="4:6" x14ac:dyDescent="0.2">
      <c r="D1753" s="333"/>
      <c r="E1753" s="333"/>
      <c r="F1753" s="333"/>
    </row>
    <row r="1754" spans="4:6" x14ac:dyDescent="0.2">
      <c r="D1754" s="333"/>
      <c r="E1754" s="333"/>
      <c r="F1754" s="333"/>
    </row>
    <row r="1755" spans="4:6" x14ac:dyDescent="0.2">
      <c r="D1755" s="333"/>
      <c r="E1755" s="333"/>
      <c r="F1755" s="333"/>
    </row>
    <row r="1756" spans="4:6" x14ac:dyDescent="0.2">
      <c r="D1756" s="333"/>
      <c r="E1756" s="333"/>
      <c r="F1756" s="333"/>
    </row>
    <row r="1757" spans="4:6" x14ac:dyDescent="0.2">
      <c r="D1757" s="333"/>
      <c r="E1757" s="333"/>
      <c r="F1757" s="333"/>
    </row>
    <row r="1758" spans="4:6" x14ac:dyDescent="0.2">
      <c r="D1758" s="333"/>
      <c r="E1758" s="333"/>
      <c r="F1758" s="333"/>
    </row>
    <row r="1759" spans="4:6" x14ac:dyDescent="0.2">
      <c r="D1759" s="333"/>
      <c r="E1759" s="333"/>
      <c r="F1759" s="333"/>
    </row>
    <row r="1760" spans="4:6" x14ac:dyDescent="0.2">
      <c r="D1760" s="333"/>
      <c r="E1760" s="333"/>
      <c r="F1760" s="333"/>
    </row>
    <row r="1761" spans="4:6" x14ac:dyDescent="0.2">
      <c r="D1761" s="333"/>
      <c r="E1761" s="333"/>
      <c r="F1761" s="333"/>
    </row>
    <row r="1762" spans="4:6" x14ac:dyDescent="0.2">
      <c r="D1762" s="333"/>
      <c r="E1762" s="333"/>
      <c r="F1762" s="333"/>
    </row>
    <row r="1763" spans="4:6" x14ac:dyDescent="0.2">
      <c r="D1763" s="333"/>
      <c r="E1763" s="333"/>
      <c r="F1763" s="333"/>
    </row>
    <row r="1764" spans="4:6" x14ac:dyDescent="0.2">
      <c r="D1764" s="333"/>
      <c r="E1764" s="333"/>
      <c r="F1764" s="333"/>
    </row>
    <row r="1765" spans="4:6" x14ac:dyDescent="0.2">
      <c r="D1765" s="333"/>
      <c r="E1765" s="333"/>
      <c r="F1765" s="333"/>
    </row>
    <row r="1766" spans="4:6" x14ac:dyDescent="0.2">
      <c r="D1766" s="333"/>
      <c r="E1766" s="333"/>
      <c r="F1766" s="333"/>
    </row>
    <row r="1767" spans="4:6" x14ac:dyDescent="0.2">
      <c r="D1767" s="333"/>
      <c r="E1767" s="333"/>
      <c r="F1767" s="333"/>
    </row>
    <row r="1768" spans="4:6" x14ac:dyDescent="0.2">
      <c r="D1768" s="333"/>
      <c r="E1768" s="333"/>
      <c r="F1768" s="333"/>
    </row>
    <row r="1769" spans="4:6" x14ac:dyDescent="0.2">
      <c r="D1769" s="333"/>
      <c r="E1769" s="333"/>
      <c r="F1769" s="333"/>
    </row>
    <row r="1770" spans="4:6" x14ac:dyDescent="0.2">
      <c r="D1770" s="333"/>
      <c r="E1770" s="333"/>
      <c r="F1770" s="333"/>
    </row>
    <row r="1771" spans="4:6" x14ac:dyDescent="0.2">
      <c r="D1771" s="333"/>
      <c r="E1771" s="333"/>
      <c r="F1771" s="333"/>
    </row>
    <row r="1772" spans="4:6" x14ac:dyDescent="0.2">
      <c r="D1772" s="333"/>
      <c r="E1772" s="333"/>
      <c r="F1772" s="333"/>
    </row>
    <row r="1773" spans="4:6" x14ac:dyDescent="0.2">
      <c r="D1773" s="333"/>
      <c r="E1773" s="333"/>
      <c r="F1773" s="333"/>
    </row>
    <row r="1774" spans="4:6" x14ac:dyDescent="0.2">
      <c r="D1774" s="333"/>
      <c r="E1774" s="333"/>
      <c r="F1774" s="333"/>
    </row>
    <row r="1775" spans="4:6" x14ac:dyDescent="0.2">
      <c r="D1775" s="333"/>
      <c r="E1775" s="333"/>
      <c r="F1775" s="333"/>
    </row>
    <row r="1776" spans="4:6" x14ac:dyDescent="0.2">
      <c r="D1776" s="333"/>
      <c r="E1776" s="333"/>
      <c r="F1776" s="333"/>
    </row>
    <row r="1777" spans="4:6" x14ac:dyDescent="0.2">
      <c r="D1777" s="333"/>
      <c r="E1777" s="333"/>
      <c r="F1777" s="333"/>
    </row>
    <row r="1778" spans="4:6" x14ac:dyDescent="0.2">
      <c r="D1778" s="333"/>
      <c r="E1778" s="333"/>
      <c r="F1778" s="333"/>
    </row>
    <row r="1779" spans="4:6" x14ac:dyDescent="0.2">
      <c r="D1779" s="333"/>
      <c r="E1779" s="333"/>
      <c r="F1779" s="333"/>
    </row>
    <row r="1780" spans="4:6" x14ac:dyDescent="0.2">
      <c r="D1780" s="333"/>
      <c r="E1780" s="333"/>
      <c r="F1780" s="333"/>
    </row>
    <row r="1781" spans="4:6" x14ac:dyDescent="0.2">
      <c r="D1781" s="333"/>
      <c r="E1781" s="333"/>
      <c r="F1781" s="333"/>
    </row>
    <row r="1782" spans="4:6" x14ac:dyDescent="0.2">
      <c r="D1782" s="333"/>
      <c r="E1782" s="333"/>
      <c r="F1782" s="333"/>
    </row>
    <row r="1783" spans="4:6" x14ac:dyDescent="0.2">
      <c r="D1783" s="333"/>
      <c r="E1783" s="333"/>
      <c r="F1783" s="333"/>
    </row>
    <row r="1784" spans="4:6" x14ac:dyDescent="0.2">
      <c r="D1784" s="333"/>
      <c r="E1784" s="333"/>
      <c r="F1784" s="333"/>
    </row>
    <row r="1785" spans="4:6" x14ac:dyDescent="0.2">
      <c r="D1785" s="333"/>
      <c r="E1785" s="333"/>
      <c r="F1785" s="333"/>
    </row>
    <row r="1786" spans="4:6" x14ac:dyDescent="0.2">
      <c r="D1786" s="333"/>
      <c r="E1786" s="333"/>
      <c r="F1786" s="333"/>
    </row>
    <row r="1787" spans="4:6" x14ac:dyDescent="0.2">
      <c r="D1787" s="333"/>
      <c r="E1787" s="333"/>
      <c r="F1787" s="333"/>
    </row>
    <row r="1788" spans="4:6" x14ac:dyDescent="0.2">
      <c r="D1788" s="333"/>
      <c r="E1788" s="333"/>
      <c r="F1788" s="333"/>
    </row>
    <row r="1789" spans="4:6" x14ac:dyDescent="0.2">
      <c r="D1789" s="333"/>
      <c r="E1789" s="333"/>
      <c r="F1789" s="333"/>
    </row>
    <row r="1790" spans="4:6" x14ac:dyDescent="0.2">
      <c r="D1790" s="333"/>
      <c r="E1790" s="333"/>
      <c r="F1790" s="333"/>
    </row>
    <row r="1791" spans="4:6" x14ac:dyDescent="0.2">
      <c r="D1791" s="333"/>
      <c r="E1791" s="333"/>
      <c r="F1791" s="333"/>
    </row>
    <row r="1792" spans="4:6" x14ac:dyDescent="0.2">
      <c r="D1792" s="333"/>
      <c r="E1792" s="333"/>
      <c r="F1792" s="333"/>
    </row>
    <row r="1793" spans="4:6" x14ac:dyDescent="0.2">
      <c r="D1793" s="333"/>
      <c r="E1793" s="333"/>
      <c r="F1793" s="333"/>
    </row>
    <row r="1794" spans="4:6" x14ac:dyDescent="0.2">
      <c r="D1794" s="333"/>
      <c r="E1794" s="333"/>
      <c r="F1794" s="333"/>
    </row>
    <row r="1795" spans="4:6" x14ac:dyDescent="0.2">
      <c r="D1795" s="333"/>
      <c r="E1795" s="333"/>
      <c r="F1795" s="333"/>
    </row>
    <row r="1796" spans="4:6" x14ac:dyDescent="0.2">
      <c r="D1796" s="333"/>
      <c r="E1796" s="333"/>
      <c r="F1796" s="333"/>
    </row>
    <row r="1797" spans="4:6" x14ac:dyDescent="0.2">
      <c r="D1797" s="333"/>
      <c r="E1797" s="333"/>
      <c r="F1797" s="333"/>
    </row>
    <row r="1798" spans="4:6" x14ac:dyDescent="0.2">
      <c r="D1798" s="333"/>
      <c r="E1798" s="333"/>
      <c r="F1798" s="333"/>
    </row>
    <row r="1799" spans="4:6" x14ac:dyDescent="0.2">
      <c r="D1799" s="333"/>
      <c r="E1799" s="333"/>
      <c r="F1799" s="333"/>
    </row>
    <row r="1800" spans="4:6" x14ac:dyDescent="0.2">
      <c r="D1800" s="333"/>
      <c r="E1800" s="333"/>
      <c r="F1800" s="333"/>
    </row>
    <row r="1801" spans="4:6" x14ac:dyDescent="0.2">
      <c r="D1801" s="333"/>
      <c r="E1801" s="333"/>
      <c r="F1801" s="333"/>
    </row>
    <row r="1802" spans="4:6" x14ac:dyDescent="0.2">
      <c r="D1802" s="333"/>
      <c r="E1802" s="333"/>
      <c r="F1802" s="333"/>
    </row>
    <row r="1803" spans="4:6" x14ac:dyDescent="0.2">
      <c r="D1803" s="333"/>
      <c r="E1803" s="333"/>
      <c r="F1803" s="333"/>
    </row>
    <row r="1804" spans="4:6" x14ac:dyDescent="0.2">
      <c r="D1804" s="333"/>
      <c r="E1804" s="333"/>
      <c r="F1804" s="333"/>
    </row>
    <row r="1805" spans="4:6" x14ac:dyDescent="0.2">
      <c r="D1805" s="333"/>
      <c r="E1805" s="333"/>
      <c r="F1805" s="333"/>
    </row>
    <row r="1806" spans="4:6" x14ac:dyDescent="0.2">
      <c r="D1806" s="333"/>
      <c r="E1806" s="333"/>
      <c r="F1806" s="333"/>
    </row>
    <row r="1807" spans="4:6" x14ac:dyDescent="0.2">
      <c r="D1807" s="333"/>
      <c r="E1807" s="333"/>
      <c r="F1807" s="333"/>
    </row>
    <row r="1808" spans="4:6" x14ac:dyDescent="0.2">
      <c r="D1808" s="333"/>
      <c r="E1808" s="333"/>
      <c r="F1808" s="333"/>
    </row>
    <row r="1809" spans="4:6" x14ac:dyDescent="0.2">
      <c r="D1809" s="333"/>
      <c r="E1809" s="333"/>
      <c r="F1809" s="333"/>
    </row>
    <row r="1810" spans="4:6" x14ac:dyDescent="0.2">
      <c r="D1810" s="333"/>
      <c r="E1810" s="333"/>
      <c r="F1810" s="333"/>
    </row>
    <row r="1811" spans="4:6" x14ac:dyDescent="0.2">
      <c r="D1811" s="333"/>
      <c r="E1811" s="333"/>
      <c r="F1811" s="333"/>
    </row>
    <row r="1812" spans="4:6" x14ac:dyDescent="0.2">
      <c r="D1812" s="333"/>
      <c r="E1812" s="333"/>
      <c r="F1812" s="333"/>
    </row>
    <row r="1813" spans="4:6" x14ac:dyDescent="0.2">
      <c r="D1813" s="333"/>
      <c r="E1813" s="333"/>
      <c r="F1813" s="333"/>
    </row>
    <row r="1814" spans="4:6" x14ac:dyDescent="0.2">
      <c r="D1814" s="333"/>
      <c r="E1814" s="333"/>
      <c r="F1814" s="333"/>
    </row>
    <row r="1815" spans="4:6" x14ac:dyDescent="0.2">
      <c r="D1815" s="333"/>
      <c r="E1815" s="333"/>
      <c r="F1815" s="333"/>
    </row>
    <row r="1816" spans="4:6" x14ac:dyDescent="0.2">
      <c r="D1816" s="333"/>
      <c r="E1816" s="333"/>
      <c r="F1816" s="333"/>
    </row>
    <row r="1817" spans="4:6" x14ac:dyDescent="0.2">
      <c r="D1817" s="333"/>
      <c r="E1817" s="333"/>
      <c r="F1817" s="333"/>
    </row>
    <row r="1818" spans="4:6" x14ac:dyDescent="0.2">
      <c r="D1818" s="333"/>
      <c r="E1818" s="333"/>
      <c r="F1818" s="333"/>
    </row>
    <row r="1819" spans="4:6" x14ac:dyDescent="0.2">
      <c r="D1819" s="333"/>
      <c r="E1819" s="333"/>
      <c r="F1819" s="333"/>
    </row>
    <row r="1820" spans="4:6" x14ac:dyDescent="0.2">
      <c r="D1820" s="333"/>
      <c r="E1820" s="333"/>
      <c r="F1820" s="333"/>
    </row>
    <row r="1821" spans="4:6" x14ac:dyDescent="0.2">
      <c r="D1821" s="333"/>
      <c r="E1821" s="333"/>
      <c r="F1821" s="333"/>
    </row>
    <row r="1822" spans="4:6" x14ac:dyDescent="0.2">
      <c r="D1822" s="333"/>
      <c r="E1822" s="333"/>
      <c r="F1822" s="333"/>
    </row>
    <row r="1823" spans="4:6" x14ac:dyDescent="0.2">
      <c r="D1823" s="333"/>
      <c r="E1823" s="333"/>
      <c r="F1823" s="333"/>
    </row>
    <row r="1824" spans="4:6" x14ac:dyDescent="0.2">
      <c r="D1824" s="333"/>
      <c r="E1824" s="333"/>
      <c r="F1824" s="333"/>
    </row>
    <row r="1825" spans="4:6" x14ac:dyDescent="0.2">
      <c r="D1825" s="333"/>
      <c r="E1825" s="333"/>
      <c r="F1825" s="333"/>
    </row>
    <row r="1826" spans="4:6" x14ac:dyDescent="0.2">
      <c r="D1826" s="333"/>
      <c r="E1826" s="333"/>
      <c r="F1826" s="333"/>
    </row>
    <row r="1827" spans="4:6" x14ac:dyDescent="0.2">
      <c r="D1827" s="333"/>
      <c r="E1827" s="333"/>
      <c r="F1827" s="333"/>
    </row>
    <row r="1828" spans="4:6" x14ac:dyDescent="0.2">
      <c r="D1828" s="333"/>
      <c r="E1828" s="333"/>
      <c r="F1828" s="333"/>
    </row>
    <row r="1829" spans="4:6" x14ac:dyDescent="0.2">
      <c r="D1829" s="333"/>
      <c r="E1829" s="333"/>
      <c r="F1829" s="333"/>
    </row>
    <row r="1830" spans="4:6" x14ac:dyDescent="0.2">
      <c r="D1830" s="333"/>
      <c r="E1830" s="333"/>
      <c r="F1830" s="333"/>
    </row>
    <row r="1831" spans="4:6" x14ac:dyDescent="0.2">
      <c r="D1831" s="333"/>
      <c r="E1831" s="333"/>
      <c r="F1831" s="333"/>
    </row>
    <row r="1832" spans="4:6" x14ac:dyDescent="0.2">
      <c r="D1832" s="333"/>
      <c r="E1832" s="333"/>
      <c r="F1832" s="333"/>
    </row>
    <row r="1833" spans="4:6" x14ac:dyDescent="0.2">
      <c r="D1833" s="333"/>
      <c r="E1833" s="333"/>
      <c r="F1833" s="333"/>
    </row>
    <row r="1834" spans="4:6" x14ac:dyDescent="0.2">
      <c r="D1834" s="333"/>
      <c r="E1834" s="333"/>
      <c r="F1834" s="333"/>
    </row>
    <row r="1835" spans="4:6" x14ac:dyDescent="0.2">
      <c r="D1835" s="333"/>
      <c r="E1835" s="333"/>
      <c r="F1835" s="333"/>
    </row>
    <row r="1836" spans="4:6" x14ac:dyDescent="0.2">
      <c r="D1836" s="333"/>
      <c r="E1836" s="333"/>
      <c r="F1836" s="333"/>
    </row>
    <row r="1837" spans="4:6" x14ac:dyDescent="0.2">
      <c r="D1837" s="333"/>
      <c r="E1837" s="333"/>
      <c r="F1837" s="333"/>
    </row>
    <row r="1838" spans="4:6" x14ac:dyDescent="0.2">
      <c r="D1838" s="333"/>
      <c r="E1838" s="333"/>
      <c r="F1838" s="333"/>
    </row>
    <row r="1839" spans="4:6" x14ac:dyDescent="0.2">
      <c r="D1839" s="333"/>
      <c r="E1839" s="333"/>
      <c r="F1839" s="333"/>
    </row>
    <row r="1840" spans="4:6" x14ac:dyDescent="0.2">
      <c r="D1840" s="333"/>
      <c r="E1840" s="333"/>
      <c r="F1840" s="333"/>
    </row>
    <row r="1841" spans="4:6" x14ac:dyDescent="0.2">
      <c r="D1841" s="333"/>
      <c r="E1841" s="333"/>
      <c r="F1841" s="333"/>
    </row>
    <row r="1842" spans="4:6" x14ac:dyDescent="0.2">
      <c r="D1842" s="333"/>
      <c r="E1842" s="333"/>
      <c r="F1842" s="333"/>
    </row>
    <row r="1843" spans="4:6" x14ac:dyDescent="0.2">
      <c r="D1843" s="333"/>
      <c r="E1843" s="333"/>
      <c r="F1843" s="333"/>
    </row>
    <row r="1844" spans="4:6" x14ac:dyDescent="0.2">
      <c r="D1844" s="333"/>
      <c r="E1844" s="333"/>
      <c r="F1844" s="333"/>
    </row>
    <row r="1845" spans="4:6" x14ac:dyDescent="0.2">
      <c r="D1845" s="333"/>
      <c r="E1845" s="333"/>
      <c r="F1845" s="333"/>
    </row>
    <row r="1846" spans="4:6" x14ac:dyDescent="0.2">
      <c r="D1846" s="333"/>
      <c r="E1846" s="333"/>
      <c r="F1846" s="333"/>
    </row>
    <row r="1847" spans="4:6" x14ac:dyDescent="0.2">
      <c r="D1847" s="333"/>
      <c r="E1847" s="333"/>
      <c r="F1847" s="333"/>
    </row>
    <row r="1848" spans="4:6" x14ac:dyDescent="0.2">
      <c r="D1848" s="333"/>
      <c r="E1848" s="333"/>
      <c r="F1848" s="333"/>
    </row>
    <row r="1849" spans="4:6" x14ac:dyDescent="0.2">
      <c r="D1849" s="333"/>
      <c r="E1849" s="333"/>
      <c r="F1849" s="333"/>
    </row>
    <row r="1850" spans="4:6" x14ac:dyDescent="0.2">
      <c r="D1850" s="333"/>
      <c r="E1850" s="333"/>
      <c r="F1850" s="333"/>
    </row>
    <row r="1851" spans="4:6" x14ac:dyDescent="0.2">
      <c r="D1851" s="333"/>
      <c r="E1851" s="333"/>
      <c r="F1851" s="333"/>
    </row>
    <row r="1852" spans="4:6" x14ac:dyDescent="0.2">
      <c r="D1852" s="333"/>
      <c r="E1852" s="333"/>
      <c r="F1852" s="333"/>
    </row>
    <row r="1853" spans="4:6" x14ac:dyDescent="0.2">
      <c r="D1853" s="333"/>
      <c r="E1853" s="333"/>
      <c r="F1853" s="333"/>
    </row>
    <row r="1854" spans="4:6" x14ac:dyDescent="0.2">
      <c r="D1854" s="333"/>
      <c r="E1854" s="333"/>
      <c r="F1854" s="333"/>
    </row>
    <row r="1855" spans="4:6" x14ac:dyDescent="0.2">
      <c r="D1855" s="333"/>
      <c r="E1855" s="333"/>
      <c r="F1855" s="333"/>
    </row>
    <row r="1856" spans="4:6" x14ac:dyDescent="0.2">
      <c r="D1856" s="333"/>
      <c r="E1856" s="333"/>
      <c r="F1856" s="333"/>
    </row>
    <row r="1857" spans="4:6" x14ac:dyDescent="0.2">
      <c r="D1857" s="333"/>
      <c r="E1857" s="333"/>
      <c r="F1857" s="333"/>
    </row>
    <row r="1858" spans="4:6" x14ac:dyDescent="0.2">
      <c r="D1858" s="333"/>
      <c r="E1858" s="333"/>
      <c r="F1858" s="333"/>
    </row>
    <row r="1859" spans="4:6" x14ac:dyDescent="0.2">
      <c r="D1859" s="333"/>
      <c r="E1859" s="333"/>
      <c r="F1859" s="333"/>
    </row>
    <row r="1860" spans="4:6" x14ac:dyDescent="0.2">
      <c r="D1860" s="333"/>
      <c r="E1860" s="333"/>
      <c r="F1860" s="333"/>
    </row>
    <row r="1861" spans="4:6" x14ac:dyDescent="0.2">
      <c r="D1861" s="333"/>
      <c r="E1861" s="333"/>
      <c r="F1861" s="333"/>
    </row>
    <row r="1862" spans="4:6" x14ac:dyDescent="0.2">
      <c r="D1862" s="333"/>
      <c r="E1862" s="333"/>
      <c r="F1862" s="333"/>
    </row>
    <row r="1863" spans="4:6" x14ac:dyDescent="0.2">
      <c r="D1863" s="333"/>
      <c r="E1863" s="333"/>
      <c r="F1863" s="333"/>
    </row>
    <row r="1864" spans="4:6" x14ac:dyDescent="0.2">
      <c r="D1864" s="333"/>
      <c r="E1864" s="333"/>
      <c r="F1864" s="333"/>
    </row>
    <row r="1865" spans="4:6" x14ac:dyDescent="0.2">
      <c r="D1865" s="333"/>
      <c r="E1865" s="333"/>
      <c r="F1865" s="333"/>
    </row>
    <row r="1866" spans="4:6" x14ac:dyDescent="0.2">
      <c r="D1866" s="333"/>
      <c r="E1866" s="333"/>
      <c r="F1866" s="333"/>
    </row>
    <row r="1867" spans="4:6" x14ac:dyDescent="0.2">
      <c r="D1867" s="333"/>
      <c r="E1867" s="333"/>
      <c r="F1867" s="333"/>
    </row>
    <row r="1868" spans="4:6" x14ac:dyDescent="0.2">
      <c r="D1868" s="333"/>
      <c r="E1868" s="333"/>
      <c r="F1868" s="333"/>
    </row>
    <row r="1869" spans="4:6" x14ac:dyDescent="0.2">
      <c r="D1869" s="333"/>
      <c r="E1869" s="333"/>
      <c r="F1869" s="333"/>
    </row>
    <row r="1870" spans="4:6" x14ac:dyDescent="0.2">
      <c r="D1870" s="333"/>
      <c r="E1870" s="333"/>
      <c r="F1870" s="333"/>
    </row>
    <row r="1871" spans="4:6" x14ac:dyDescent="0.2">
      <c r="D1871" s="333"/>
      <c r="E1871" s="333"/>
      <c r="F1871" s="333"/>
    </row>
    <row r="1872" spans="4:6" x14ac:dyDescent="0.2">
      <c r="D1872" s="333"/>
      <c r="E1872" s="333"/>
      <c r="F1872" s="333"/>
    </row>
    <row r="1873" spans="4:6" x14ac:dyDescent="0.2">
      <c r="D1873" s="333"/>
      <c r="E1873" s="333"/>
      <c r="F1873" s="333"/>
    </row>
    <row r="1874" spans="4:6" x14ac:dyDescent="0.2">
      <c r="D1874" s="333"/>
      <c r="E1874" s="333"/>
      <c r="F1874" s="333"/>
    </row>
    <row r="1875" spans="4:6" x14ac:dyDescent="0.2">
      <c r="D1875" s="333"/>
      <c r="E1875" s="333"/>
      <c r="F1875" s="333"/>
    </row>
    <row r="1876" spans="4:6" x14ac:dyDescent="0.2">
      <c r="D1876" s="333"/>
      <c r="E1876" s="333"/>
      <c r="F1876" s="333"/>
    </row>
    <row r="1877" spans="4:6" x14ac:dyDescent="0.2">
      <c r="D1877" s="333"/>
      <c r="E1877" s="333"/>
      <c r="F1877" s="333"/>
    </row>
    <row r="1878" spans="4:6" x14ac:dyDescent="0.2">
      <c r="D1878" s="333"/>
      <c r="E1878" s="333"/>
      <c r="F1878" s="333"/>
    </row>
    <row r="1879" spans="4:6" x14ac:dyDescent="0.2">
      <c r="D1879" s="333"/>
      <c r="E1879" s="333"/>
      <c r="F1879" s="333"/>
    </row>
    <row r="1880" spans="4:6" x14ac:dyDescent="0.2">
      <c r="D1880" s="333"/>
      <c r="E1880" s="333"/>
      <c r="F1880" s="333"/>
    </row>
    <row r="1881" spans="4:6" x14ac:dyDescent="0.2">
      <c r="D1881" s="333"/>
      <c r="E1881" s="333"/>
      <c r="F1881" s="333"/>
    </row>
    <row r="1882" spans="4:6" x14ac:dyDescent="0.2">
      <c r="D1882" s="333"/>
      <c r="E1882" s="333"/>
      <c r="F1882" s="333"/>
    </row>
    <row r="1883" spans="4:6" x14ac:dyDescent="0.2">
      <c r="D1883" s="333"/>
      <c r="E1883" s="333"/>
      <c r="F1883" s="333"/>
    </row>
    <row r="1884" spans="4:6" x14ac:dyDescent="0.2">
      <c r="D1884" s="333"/>
      <c r="E1884" s="333"/>
      <c r="F1884" s="333"/>
    </row>
    <row r="1885" spans="4:6" x14ac:dyDescent="0.2">
      <c r="D1885" s="333"/>
      <c r="E1885" s="333"/>
      <c r="F1885" s="333"/>
    </row>
    <row r="1886" spans="4:6" x14ac:dyDescent="0.2">
      <c r="D1886" s="333"/>
      <c r="E1886" s="333"/>
      <c r="F1886" s="333"/>
    </row>
    <row r="1887" spans="4:6" x14ac:dyDescent="0.2">
      <c r="D1887" s="333"/>
      <c r="E1887" s="333"/>
      <c r="F1887" s="333"/>
    </row>
    <row r="1888" spans="4:6" x14ac:dyDescent="0.2">
      <c r="D1888" s="333"/>
      <c r="E1888" s="333"/>
      <c r="F1888" s="333"/>
    </row>
    <row r="1889" spans="4:6" x14ac:dyDescent="0.2">
      <c r="D1889" s="333"/>
      <c r="E1889" s="333"/>
      <c r="F1889" s="333"/>
    </row>
    <row r="1890" spans="4:6" x14ac:dyDescent="0.2">
      <c r="D1890" s="333"/>
      <c r="E1890" s="333"/>
      <c r="F1890" s="333"/>
    </row>
    <row r="1891" spans="4:6" x14ac:dyDescent="0.2">
      <c r="D1891" s="333"/>
      <c r="E1891" s="333"/>
      <c r="F1891" s="333"/>
    </row>
    <row r="1892" spans="4:6" x14ac:dyDescent="0.2">
      <c r="D1892" s="333"/>
      <c r="E1892" s="333"/>
      <c r="F1892" s="333"/>
    </row>
    <row r="1893" spans="4:6" x14ac:dyDescent="0.2">
      <c r="D1893" s="333"/>
      <c r="E1893" s="333"/>
      <c r="F1893" s="333"/>
    </row>
    <row r="1894" spans="4:6" x14ac:dyDescent="0.2">
      <c r="D1894" s="333"/>
      <c r="E1894" s="333"/>
      <c r="F1894" s="333"/>
    </row>
    <row r="1895" spans="4:6" x14ac:dyDescent="0.2">
      <c r="D1895" s="333"/>
      <c r="E1895" s="333"/>
      <c r="F1895" s="333"/>
    </row>
    <row r="1896" spans="4:6" x14ac:dyDescent="0.2">
      <c r="D1896" s="333"/>
      <c r="E1896" s="333"/>
      <c r="F1896" s="333"/>
    </row>
    <row r="1897" spans="4:6" x14ac:dyDescent="0.2">
      <c r="D1897" s="333"/>
      <c r="E1897" s="333"/>
      <c r="F1897" s="333"/>
    </row>
    <row r="1898" spans="4:6" x14ac:dyDescent="0.2">
      <c r="D1898" s="333"/>
      <c r="E1898" s="333"/>
      <c r="F1898" s="333"/>
    </row>
    <row r="1899" spans="4:6" x14ac:dyDescent="0.2">
      <c r="D1899" s="333"/>
      <c r="E1899" s="333"/>
      <c r="F1899" s="333"/>
    </row>
    <row r="1900" spans="4:6" x14ac:dyDescent="0.2">
      <c r="D1900" s="333"/>
      <c r="E1900" s="333"/>
      <c r="F1900" s="333"/>
    </row>
    <row r="1901" spans="4:6" x14ac:dyDescent="0.2">
      <c r="D1901" s="333"/>
      <c r="E1901" s="333"/>
      <c r="F1901" s="333"/>
    </row>
    <row r="1902" spans="4:6" x14ac:dyDescent="0.2">
      <c r="D1902" s="333"/>
      <c r="E1902" s="333"/>
      <c r="F1902" s="333"/>
    </row>
    <row r="1903" spans="4:6" x14ac:dyDescent="0.2">
      <c r="D1903" s="333"/>
      <c r="E1903" s="333"/>
      <c r="F1903" s="333"/>
    </row>
    <row r="1904" spans="4:6" x14ac:dyDescent="0.2">
      <c r="D1904" s="333"/>
      <c r="E1904" s="333"/>
      <c r="F1904" s="333"/>
    </row>
    <row r="1905" spans="4:6" x14ac:dyDescent="0.2">
      <c r="D1905" s="333"/>
      <c r="E1905" s="333"/>
      <c r="F1905" s="333"/>
    </row>
    <row r="1906" spans="4:6" x14ac:dyDescent="0.2">
      <c r="D1906" s="333"/>
      <c r="E1906" s="333"/>
      <c r="F1906" s="333"/>
    </row>
    <row r="1907" spans="4:6" x14ac:dyDescent="0.2">
      <c r="D1907" s="333"/>
      <c r="E1907" s="333"/>
      <c r="F1907" s="333"/>
    </row>
    <row r="1908" spans="4:6" x14ac:dyDescent="0.2">
      <c r="D1908" s="333"/>
      <c r="E1908" s="333"/>
      <c r="F1908" s="333"/>
    </row>
    <row r="1909" spans="4:6" x14ac:dyDescent="0.2">
      <c r="D1909" s="333"/>
      <c r="E1909" s="333"/>
      <c r="F1909" s="333"/>
    </row>
    <row r="1910" spans="4:6" x14ac:dyDescent="0.2">
      <c r="D1910" s="333"/>
      <c r="E1910" s="333"/>
      <c r="F1910" s="333"/>
    </row>
    <row r="1911" spans="4:6" x14ac:dyDescent="0.2">
      <c r="D1911" s="333"/>
      <c r="E1911" s="333"/>
      <c r="F1911" s="333"/>
    </row>
    <row r="1912" spans="4:6" x14ac:dyDescent="0.2">
      <c r="D1912" s="333"/>
      <c r="E1912" s="333"/>
      <c r="F1912" s="333"/>
    </row>
    <row r="1913" spans="4:6" x14ac:dyDescent="0.2">
      <c r="D1913" s="333"/>
      <c r="E1913" s="333"/>
      <c r="F1913" s="333"/>
    </row>
    <row r="1914" spans="4:6" x14ac:dyDescent="0.2">
      <c r="D1914" s="333"/>
      <c r="E1914" s="333"/>
      <c r="F1914" s="333"/>
    </row>
    <row r="1915" spans="4:6" x14ac:dyDescent="0.2">
      <c r="D1915" s="333"/>
      <c r="E1915" s="333"/>
      <c r="F1915" s="333"/>
    </row>
    <row r="1916" spans="4:6" x14ac:dyDescent="0.2">
      <c r="D1916" s="333"/>
      <c r="E1916" s="333"/>
      <c r="F1916" s="333"/>
    </row>
    <row r="1917" spans="4:6" x14ac:dyDescent="0.2">
      <c r="D1917" s="333"/>
      <c r="E1917" s="333"/>
      <c r="F1917" s="333"/>
    </row>
    <row r="1918" spans="4:6" x14ac:dyDescent="0.2">
      <c r="D1918" s="333"/>
      <c r="E1918" s="333"/>
      <c r="F1918" s="333"/>
    </row>
    <row r="1919" spans="4:6" x14ac:dyDescent="0.2">
      <c r="D1919" s="333"/>
      <c r="E1919" s="333"/>
      <c r="F1919" s="333"/>
    </row>
    <row r="1920" spans="4:6" x14ac:dyDescent="0.2">
      <c r="D1920" s="333"/>
      <c r="E1920" s="333"/>
      <c r="F1920" s="333"/>
    </row>
    <row r="1921" spans="4:6" x14ac:dyDescent="0.2">
      <c r="D1921" s="333"/>
      <c r="E1921" s="333"/>
      <c r="F1921" s="333"/>
    </row>
    <row r="1922" spans="4:6" x14ac:dyDescent="0.2">
      <c r="D1922" s="333"/>
      <c r="E1922" s="333"/>
      <c r="F1922" s="333"/>
    </row>
    <row r="1923" spans="4:6" x14ac:dyDescent="0.2">
      <c r="D1923" s="333"/>
      <c r="E1923" s="333"/>
      <c r="F1923" s="333"/>
    </row>
    <row r="1924" spans="4:6" x14ac:dyDescent="0.2">
      <c r="D1924" s="333"/>
      <c r="E1924" s="333"/>
      <c r="F1924" s="333"/>
    </row>
    <row r="1925" spans="4:6" x14ac:dyDescent="0.2">
      <c r="D1925" s="333"/>
      <c r="E1925" s="333"/>
      <c r="F1925" s="333"/>
    </row>
    <row r="1926" spans="4:6" x14ac:dyDescent="0.2">
      <c r="D1926" s="333"/>
      <c r="E1926" s="333"/>
      <c r="F1926" s="333"/>
    </row>
    <row r="1927" spans="4:6" x14ac:dyDescent="0.2">
      <c r="D1927" s="333"/>
      <c r="E1927" s="333"/>
      <c r="F1927" s="333"/>
    </row>
    <row r="1928" spans="4:6" x14ac:dyDescent="0.2">
      <c r="D1928" s="333"/>
      <c r="E1928" s="333"/>
      <c r="F1928" s="333"/>
    </row>
    <row r="1929" spans="4:6" x14ac:dyDescent="0.2">
      <c r="D1929" s="333"/>
      <c r="E1929" s="333"/>
      <c r="F1929" s="333"/>
    </row>
    <row r="1930" spans="4:6" x14ac:dyDescent="0.2">
      <c r="D1930" s="333"/>
      <c r="E1930" s="333"/>
      <c r="F1930" s="333"/>
    </row>
    <row r="1931" spans="4:6" x14ac:dyDescent="0.2">
      <c r="D1931" s="333"/>
      <c r="E1931" s="333"/>
      <c r="F1931" s="333"/>
    </row>
    <row r="1932" spans="4:6" x14ac:dyDescent="0.2">
      <c r="D1932" s="333"/>
      <c r="E1932" s="333"/>
      <c r="F1932" s="333"/>
    </row>
    <row r="1933" spans="4:6" x14ac:dyDescent="0.2">
      <c r="D1933" s="333"/>
      <c r="E1933" s="333"/>
      <c r="F1933" s="333"/>
    </row>
    <row r="1934" spans="4:6" x14ac:dyDescent="0.2">
      <c r="D1934" s="333"/>
      <c r="E1934" s="333"/>
      <c r="F1934" s="333"/>
    </row>
    <row r="1935" spans="4:6" x14ac:dyDescent="0.2">
      <c r="D1935" s="333"/>
      <c r="E1935" s="333"/>
      <c r="F1935" s="333"/>
    </row>
    <row r="1936" spans="4:6" x14ac:dyDescent="0.2">
      <c r="D1936" s="333"/>
      <c r="E1936" s="333"/>
      <c r="F1936" s="333"/>
    </row>
    <row r="1937" spans="4:6" x14ac:dyDescent="0.2">
      <c r="D1937" s="333"/>
      <c r="E1937" s="333"/>
      <c r="F1937" s="333"/>
    </row>
    <row r="1938" spans="4:6" x14ac:dyDescent="0.2">
      <c r="D1938" s="333"/>
      <c r="E1938" s="333"/>
      <c r="F1938" s="333"/>
    </row>
    <row r="1939" spans="4:6" x14ac:dyDescent="0.2">
      <c r="D1939" s="333"/>
      <c r="E1939" s="333"/>
      <c r="F1939" s="333"/>
    </row>
    <row r="1940" spans="4:6" x14ac:dyDescent="0.2">
      <c r="D1940" s="333"/>
      <c r="E1940" s="333"/>
      <c r="F1940" s="333"/>
    </row>
    <row r="1941" spans="4:6" x14ac:dyDescent="0.2">
      <c r="D1941" s="333"/>
      <c r="E1941" s="333"/>
      <c r="F1941" s="333"/>
    </row>
    <row r="1942" spans="4:6" x14ac:dyDescent="0.2">
      <c r="D1942" s="333"/>
      <c r="E1942" s="333"/>
      <c r="F1942" s="333"/>
    </row>
    <row r="1943" spans="4:6" x14ac:dyDescent="0.2">
      <c r="D1943" s="333"/>
      <c r="E1943" s="333"/>
      <c r="F1943" s="333"/>
    </row>
    <row r="1944" spans="4:6" x14ac:dyDescent="0.2">
      <c r="D1944" s="333"/>
      <c r="E1944" s="333"/>
      <c r="F1944" s="333"/>
    </row>
    <row r="1945" spans="4:6" x14ac:dyDescent="0.2">
      <c r="D1945" s="333"/>
      <c r="E1945" s="333"/>
      <c r="F1945" s="333"/>
    </row>
    <row r="1946" spans="4:6" x14ac:dyDescent="0.2">
      <c r="D1946" s="333"/>
      <c r="E1946" s="333"/>
      <c r="F1946" s="333"/>
    </row>
    <row r="1947" spans="4:6" x14ac:dyDescent="0.2">
      <c r="D1947" s="333"/>
      <c r="E1947" s="333"/>
      <c r="F1947" s="333"/>
    </row>
    <row r="1948" spans="4:6" x14ac:dyDescent="0.2">
      <c r="D1948" s="333"/>
      <c r="E1948" s="333"/>
      <c r="F1948" s="333"/>
    </row>
    <row r="1949" spans="4:6" x14ac:dyDescent="0.2">
      <c r="D1949" s="333"/>
      <c r="E1949" s="333"/>
      <c r="F1949" s="333"/>
    </row>
    <row r="1950" spans="4:6" x14ac:dyDescent="0.2">
      <c r="D1950" s="333"/>
      <c r="E1950" s="333"/>
      <c r="F1950" s="333"/>
    </row>
    <row r="1951" spans="4:6" x14ac:dyDescent="0.2">
      <c r="D1951" s="333"/>
      <c r="E1951" s="333"/>
      <c r="F1951" s="333"/>
    </row>
    <row r="1952" spans="4:6" x14ac:dyDescent="0.2">
      <c r="D1952" s="333"/>
      <c r="E1952" s="333"/>
      <c r="F1952" s="333"/>
    </row>
    <row r="1953" spans="4:6" x14ac:dyDescent="0.2">
      <c r="D1953" s="333"/>
      <c r="E1953" s="333"/>
      <c r="F1953" s="333"/>
    </row>
    <row r="1954" spans="4:6" x14ac:dyDescent="0.2">
      <c r="D1954" s="333"/>
      <c r="E1954" s="333"/>
      <c r="F1954" s="333"/>
    </row>
    <row r="1955" spans="4:6" x14ac:dyDescent="0.2">
      <c r="D1955" s="333"/>
      <c r="E1955" s="333"/>
      <c r="F1955" s="333"/>
    </row>
    <row r="1956" spans="4:6" x14ac:dyDescent="0.2">
      <c r="D1956" s="333"/>
      <c r="E1956" s="333"/>
      <c r="F1956" s="333"/>
    </row>
    <row r="1957" spans="4:6" x14ac:dyDescent="0.2">
      <c r="D1957" s="333"/>
      <c r="E1957" s="333"/>
      <c r="F1957" s="333"/>
    </row>
    <row r="1958" spans="4:6" x14ac:dyDescent="0.2">
      <c r="D1958" s="333"/>
      <c r="E1958" s="333"/>
      <c r="F1958" s="333"/>
    </row>
    <row r="1959" spans="4:6" x14ac:dyDescent="0.2">
      <c r="D1959" s="333"/>
      <c r="E1959" s="333"/>
      <c r="F1959" s="333"/>
    </row>
    <row r="1960" spans="4:6" x14ac:dyDescent="0.2">
      <c r="D1960" s="333"/>
      <c r="E1960" s="333"/>
      <c r="F1960" s="333"/>
    </row>
    <row r="1961" spans="4:6" x14ac:dyDescent="0.2">
      <c r="D1961" s="333"/>
      <c r="E1961" s="333"/>
      <c r="F1961" s="333"/>
    </row>
    <row r="1962" spans="4:6" x14ac:dyDescent="0.2">
      <c r="D1962" s="333"/>
      <c r="E1962" s="333"/>
      <c r="F1962" s="333"/>
    </row>
    <row r="1963" spans="4:6" x14ac:dyDescent="0.2">
      <c r="D1963" s="333"/>
      <c r="E1963" s="333"/>
      <c r="F1963" s="333"/>
    </row>
    <row r="1964" spans="4:6" x14ac:dyDescent="0.2">
      <c r="D1964" s="333"/>
      <c r="E1964" s="333"/>
      <c r="F1964" s="333"/>
    </row>
    <row r="1965" spans="4:6" x14ac:dyDescent="0.2">
      <c r="D1965" s="333"/>
      <c r="E1965" s="333"/>
      <c r="F1965" s="333"/>
    </row>
    <row r="1966" spans="4:6" x14ac:dyDescent="0.2">
      <c r="D1966" s="333"/>
      <c r="E1966" s="333"/>
      <c r="F1966" s="333"/>
    </row>
    <row r="1967" spans="4:6" x14ac:dyDescent="0.2">
      <c r="D1967" s="333"/>
      <c r="E1967" s="333"/>
      <c r="F1967" s="333"/>
    </row>
    <row r="1968" spans="4:6" x14ac:dyDescent="0.2">
      <c r="D1968" s="333"/>
      <c r="E1968" s="333"/>
      <c r="F1968" s="333"/>
    </row>
    <row r="1969" spans="4:6" x14ac:dyDescent="0.2">
      <c r="D1969" s="333"/>
      <c r="E1969" s="333"/>
      <c r="F1969" s="333"/>
    </row>
    <row r="1970" spans="4:6" x14ac:dyDescent="0.2">
      <c r="D1970" s="333"/>
      <c r="E1970" s="333"/>
      <c r="F1970" s="333"/>
    </row>
    <row r="1971" spans="4:6" x14ac:dyDescent="0.2">
      <c r="D1971" s="333"/>
      <c r="E1971" s="333"/>
      <c r="F1971" s="333"/>
    </row>
    <row r="1972" spans="4:6" x14ac:dyDescent="0.2">
      <c r="D1972" s="333"/>
      <c r="E1972" s="333"/>
      <c r="F1972" s="333"/>
    </row>
    <row r="1973" spans="4:6" x14ac:dyDescent="0.2">
      <c r="D1973" s="333"/>
      <c r="E1973" s="333"/>
      <c r="F1973" s="333"/>
    </row>
    <row r="1974" spans="4:6" x14ac:dyDescent="0.2">
      <c r="D1974" s="333"/>
      <c r="E1974" s="333"/>
      <c r="F1974" s="333"/>
    </row>
    <row r="1975" spans="4:6" x14ac:dyDescent="0.2">
      <c r="D1975" s="333"/>
      <c r="E1975" s="333"/>
      <c r="F1975" s="333"/>
    </row>
    <row r="1976" spans="4:6" x14ac:dyDescent="0.2">
      <c r="D1976" s="333"/>
      <c r="E1976" s="333"/>
      <c r="F1976" s="333"/>
    </row>
    <row r="1977" spans="4:6" x14ac:dyDescent="0.2">
      <c r="D1977" s="333"/>
      <c r="E1977" s="333"/>
      <c r="F1977" s="333"/>
    </row>
    <row r="1978" spans="4:6" x14ac:dyDescent="0.2">
      <c r="D1978" s="333"/>
      <c r="E1978" s="333"/>
      <c r="F1978" s="333"/>
    </row>
    <row r="1979" spans="4:6" x14ac:dyDescent="0.2">
      <c r="D1979" s="333"/>
      <c r="E1979" s="333"/>
      <c r="F1979" s="333"/>
    </row>
    <row r="1980" spans="4:6" x14ac:dyDescent="0.2">
      <c r="D1980" s="333"/>
      <c r="E1980" s="333"/>
      <c r="F1980" s="333"/>
    </row>
    <row r="1981" spans="4:6" x14ac:dyDescent="0.2">
      <c r="D1981" s="333"/>
      <c r="E1981" s="333"/>
      <c r="F1981" s="333"/>
    </row>
    <row r="1982" spans="4:6" x14ac:dyDescent="0.2">
      <c r="D1982" s="333"/>
      <c r="E1982" s="333"/>
      <c r="F1982" s="333"/>
    </row>
    <row r="1983" spans="4:6" x14ac:dyDescent="0.2">
      <c r="D1983" s="333"/>
      <c r="E1983" s="333"/>
      <c r="F1983" s="333"/>
    </row>
    <row r="1984" spans="4:6" x14ac:dyDescent="0.2">
      <c r="D1984" s="333"/>
      <c r="E1984" s="333"/>
      <c r="F1984" s="333"/>
    </row>
    <row r="1985" spans="4:6" x14ac:dyDescent="0.2">
      <c r="D1985" s="333"/>
      <c r="E1985" s="333"/>
      <c r="F1985" s="333"/>
    </row>
    <row r="1986" spans="4:6" x14ac:dyDescent="0.2">
      <c r="D1986" s="333"/>
      <c r="E1986" s="333"/>
      <c r="F1986" s="333"/>
    </row>
    <row r="1987" spans="4:6" x14ac:dyDescent="0.2">
      <c r="D1987" s="333"/>
      <c r="E1987" s="333"/>
      <c r="F1987" s="333"/>
    </row>
    <row r="1988" spans="4:6" x14ac:dyDescent="0.2">
      <c r="D1988" s="333"/>
      <c r="E1988" s="333"/>
      <c r="F1988" s="333"/>
    </row>
    <row r="1989" spans="4:6" x14ac:dyDescent="0.2">
      <c r="D1989" s="333"/>
      <c r="E1989" s="333"/>
      <c r="F1989" s="333"/>
    </row>
    <row r="1990" spans="4:6" x14ac:dyDescent="0.2">
      <c r="D1990" s="333"/>
      <c r="E1990" s="333"/>
      <c r="F1990" s="333"/>
    </row>
    <row r="1991" spans="4:6" x14ac:dyDescent="0.2">
      <c r="D1991" s="333"/>
      <c r="E1991" s="333"/>
      <c r="F1991" s="333"/>
    </row>
    <row r="1992" spans="4:6" x14ac:dyDescent="0.2">
      <c r="D1992" s="333"/>
      <c r="E1992" s="333"/>
      <c r="F1992" s="333"/>
    </row>
    <row r="1993" spans="4:6" x14ac:dyDescent="0.2">
      <c r="D1993" s="333"/>
      <c r="E1993" s="333"/>
      <c r="F1993" s="333"/>
    </row>
    <row r="1994" spans="4:6" x14ac:dyDescent="0.2">
      <c r="D1994" s="333"/>
      <c r="E1994" s="333"/>
      <c r="F1994" s="333"/>
    </row>
    <row r="1995" spans="4:6" x14ac:dyDescent="0.2">
      <c r="D1995" s="333"/>
      <c r="E1995" s="333"/>
      <c r="F1995" s="333"/>
    </row>
    <row r="1996" spans="4:6" x14ac:dyDescent="0.2">
      <c r="D1996" s="333"/>
      <c r="E1996" s="333"/>
      <c r="F1996" s="333"/>
    </row>
    <row r="1997" spans="4:6" x14ac:dyDescent="0.2">
      <c r="D1997" s="333"/>
      <c r="E1997" s="333"/>
      <c r="F1997" s="333"/>
    </row>
    <row r="1998" spans="4:6" x14ac:dyDescent="0.2">
      <c r="D1998" s="333"/>
      <c r="E1998" s="333"/>
      <c r="F1998" s="333"/>
    </row>
    <row r="1999" spans="4:6" x14ac:dyDescent="0.2">
      <c r="D1999" s="333"/>
      <c r="E1999" s="333"/>
      <c r="F1999" s="333"/>
    </row>
    <row r="2000" spans="4:6" x14ac:dyDescent="0.2">
      <c r="D2000" s="333"/>
      <c r="E2000" s="333"/>
      <c r="F2000" s="333"/>
    </row>
    <row r="2001" spans="4:6" x14ac:dyDescent="0.2">
      <c r="D2001" s="333"/>
      <c r="E2001" s="333"/>
      <c r="F2001" s="333"/>
    </row>
    <row r="2002" spans="4:6" x14ac:dyDescent="0.2">
      <c r="D2002" s="333"/>
      <c r="E2002" s="333"/>
      <c r="F2002" s="333"/>
    </row>
    <row r="2003" spans="4:6" x14ac:dyDescent="0.2">
      <c r="D2003" s="333"/>
      <c r="E2003" s="333"/>
      <c r="F2003" s="333"/>
    </row>
    <row r="2004" spans="4:6" x14ac:dyDescent="0.2">
      <c r="D2004" s="333"/>
      <c r="E2004" s="333"/>
      <c r="F2004" s="333"/>
    </row>
    <row r="2005" spans="4:6" x14ac:dyDescent="0.2">
      <c r="D2005" s="333"/>
      <c r="E2005" s="333"/>
      <c r="F2005" s="333"/>
    </row>
    <row r="2006" spans="4:6" x14ac:dyDescent="0.2">
      <c r="D2006" s="333"/>
      <c r="E2006" s="333"/>
      <c r="F2006" s="333"/>
    </row>
    <row r="2007" spans="4:6" x14ac:dyDescent="0.2">
      <c r="D2007" s="333"/>
      <c r="E2007" s="333"/>
      <c r="F2007" s="333"/>
    </row>
    <row r="2008" spans="4:6" x14ac:dyDescent="0.2">
      <c r="D2008" s="333"/>
      <c r="E2008" s="333"/>
      <c r="F2008" s="333"/>
    </row>
    <row r="2009" spans="4:6" x14ac:dyDescent="0.2">
      <c r="D2009" s="333"/>
      <c r="E2009" s="333"/>
      <c r="F2009" s="333"/>
    </row>
    <row r="2010" spans="4:6" x14ac:dyDescent="0.2">
      <c r="D2010" s="333"/>
      <c r="E2010" s="333"/>
      <c r="F2010" s="333"/>
    </row>
    <row r="2011" spans="4:6" x14ac:dyDescent="0.2">
      <c r="D2011" s="333"/>
      <c r="E2011" s="333"/>
      <c r="F2011" s="333"/>
    </row>
    <row r="2012" spans="4:6" x14ac:dyDescent="0.2">
      <c r="D2012" s="333"/>
      <c r="E2012" s="333"/>
      <c r="F2012" s="333"/>
    </row>
    <row r="2013" spans="4:6" x14ac:dyDescent="0.2">
      <c r="D2013" s="333"/>
      <c r="E2013" s="333"/>
      <c r="F2013" s="333"/>
    </row>
    <row r="2014" spans="4:6" x14ac:dyDescent="0.2">
      <c r="D2014" s="333"/>
      <c r="E2014" s="333"/>
      <c r="F2014" s="333"/>
    </row>
    <row r="2015" spans="4:6" x14ac:dyDescent="0.2">
      <c r="D2015" s="333"/>
      <c r="E2015" s="333"/>
      <c r="F2015" s="333"/>
    </row>
    <row r="2016" spans="4:6" x14ac:dyDescent="0.2">
      <c r="D2016" s="333"/>
      <c r="E2016" s="333"/>
      <c r="F2016" s="333"/>
    </row>
    <row r="2017" spans="4:6" x14ac:dyDescent="0.2">
      <c r="D2017" s="333"/>
      <c r="E2017" s="333"/>
      <c r="F2017" s="333"/>
    </row>
    <row r="2018" spans="4:6" x14ac:dyDescent="0.2">
      <c r="D2018" s="333"/>
      <c r="E2018" s="333"/>
      <c r="F2018" s="333"/>
    </row>
    <row r="2019" spans="4:6" x14ac:dyDescent="0.2">
      <c r="D2019" s="333"/>
      <c r="E2019" s="333"/>
      <c r="F2019" s="333"/>
    </row>
    <row r="2020" spans="4:6" x14ac:dyDescent="0.2">
      <c r="D2020" s="333"/>
      <c r="E2020" s="333"/>
      <c r="F2020" s="333"/>
    </row>
    <row r="2021" spans="4:6" x14ac:dyDescent="0.2">
      <c r="D2021" s="333"/>
      <c r="E2021" s="333"/>
      <c r="F2021" s="333"/>
    </row>
    <row r="2022" spans="4:6" x14ac:dyDescent="0.2">
      <c r="D2022" s="333"/>
      <c r="E2022" s="333"/>
      <c r="F2022" s="333"/>
    </row>
    <row r="2023" spans="4:6" x14ac:dyDescent="0.2">
      <c r="D2023" s="333"/>
      <c r="E2023" s="333"/>
      <c r="F2023" s="333"/>
    </row>
    <row r="2024" spans="4:6" x14ac:dyDescent="0.2">
      <c r="D2024" s="333"/>
      <c r="E2024" s="333"/>
      <c r="F2024" s="333"/>
    </row>
    <row r="2025" spans="4:6" x14ac:dyDescent="0.2">
      <c r="D2025" s="333"/>
      <c r="E2025" s="333"/>
      <c r="F2025" s="333"/>
    </row>
    <row r="2026" spans="4:6" x14ac:dyDescent="0.2">
      <c r="D2026" s="333"/>
      <c r="E2026" s="333"/>
      <c r="F2026" s="333"/>
    </row>
    <row r="2027" spans="4:6" x14ac:dyDescent="0.2">
      <c r="D2027" s="333"/>
      <c r="E2027" s="333"/>
      <c r="F2027" s="333"/>
    </row>
    <row r="2028" spans="4:6" x14ac:dyDescent="0.2">
      <c r="D2028" s="333"/>
      <c r="E2028" s="333"/>
      <c r="F2028" s="333"/>
    </row>
    <row r="2029" spans="4:6" x14ac:dyDescent="0.2">
      <c r="D2029" s="333"/>
      <c r="E2029" s="333"/>
      <c r="F2029" s="333"/>
    </row>
    <row r="2030" spans="4:6" x14ac:dyDescent="0.2">
      <c r="D2030" s="333"/>
      <c r="E2030" s="333"/>
      <c r="F2030" s="333"/>
    </row>
    <row r="2031" spans="4:6" x14ac:dyDescent="0.2">
      <c r="D2031" s="333"/>
      <c r="E2031" s="333"/>
      <c r="F2031" s="333"/>
    </row>
    <row r="2032" spans="4:6" x14ac:dyDescent="0.2">
      <c r="D2032" s="333"/>
      <c r="E2032" s="333"/>
      <c r="F2032" s="333"/>
    </row>
    <row r="2033" spans="4:6" x14ac:dyDescent="0.2">
      <c r="D2033" s="333"/>
      <c r="E2033" s="333"/>
      <c r="F2033" s="333"/>
    </row>
    <row r="2034" spans="4:6" x14ac:dyDescent="0.2">
      <c r="D2034" s="333"/>
      <c r="E2034" s="333"/>
      <c r="F2034" s="333"/>
    </row>
    <row r="2035" spans="4:6" x14ac:dyDescent="0.2">
      <c r="D2035" s="333"/>
      <c r="E2035" s="333"/>
      <c r="F2035" s="333"/>
    </row>
    <row r="2036" spans="4:6" x14ac:dyDescent="0.2">
      <c r="D2036" s="333"/>
      <c r="E2036" s="333"/>
      <c r="F2036" s="333"/>
    </row>
    <row r="2037" spans="4:6" x14ac:dyDescent="0.2">
      <c r="D2037" s="333"/>
      <c r="E2037" s="333"/>
      <c r="F2037" s="333"/>
    </row>
    <row r="2038" spans="4:6" x14ac:dyDescent="0.2">
      <c r="D2038" s="333"/>
      <c r="E2038" s="333"/>
      <c r="F2038" s="333"/>
    </row>
    <row r="2039" spans="4:6" x14ac:dyDescent="0.2">
      <c r="D2039" s="333"/>
      <c r="E2039" s="333"/>
      <c r="F2039" s="333"/>
    </row>
    <row r="2040" spans="4:6" x14ac:dyDescent="0.2">
      <c r="D2040" s="333"/>
      <c r="E2040" s="333"/>
      <c r="F2040" s="333"/>
    </row>
    <row r="2041" spans="4:6" x14ac:dyDescent="0.2">
      <c r="D2041" s="333"/>
      <c r="E2041" s="333"/>
      <c r="F2041" s="333"/>
    </row>
    <row r="2042" spans="4:6" x14ac:dyDescent="0.2">
      <c r="D2042" s="333"/>
      <c r="E2042" s="333"/>
      <c r="F2042" s="333"/>
    </row>
    <row r="2043" spans="4:6" x14ac:dyDescent="0.2">
      <c r="D2043" s="333"/>
      <c r="E2043" s="333"/>
      <c r="F2043" s="333"/>
    </row>
    <row r="2044" spans="4:6" x14ac:dyDescent="0.2">
      <c r="D2044" s="333"/>
      <c r="E2044" s="333"/>
      <c r="F2044" s="333"/>
    </row>
    <row r="2045" spans="4:6" x14ac:dyDescent="0.2">
      <c r="D2045" s="333"/>
      <c r="E2045" s="333"/>
      <c r="F2045" s="333"/>
    </row>
    <row r="2046" spans="4:6" x14ac:dyDescent="0.2">
      <c r="D2046" s="333"/>
      <c r="E2046" s="333"/>
      <c r="F2046" s="333"/>
    </row>
    <row r="2047" spans="4:6" x14ac:dyDescent="0.2">
      <c r="D2047" s="333"/>
      <c r="E2047" s="333"/>
      <c r="F2047" s="333"/>
    </row>
    <row r="2048" spans="4:6" x14ac:dyDescent="0.2">
      <c r="D2048" s="333"/>
      <c r="E2048" s="333"/>
      <c r="F2048" s="333"/>
    </row>
    <row r="2049" spans="4:6" x14ac:dyDescent="0.2">
      <c r="D2049" s="333"/>
      <c r="E2049" s="333"/>
      <c r="F2049" s="333"/>
    </row>
    <row r="2050" spans="4:6" x14ac:dyDescent="0.2">
      <c r="D2050" s="333"/>
      <c r="E2050" s="333"/>
      <c r="F2050" s="333"/>
    </row>
    <row r="2051" spans="4:6" x14ac:dyDescent="0.2">
      <c r="D2051" s="333"/>
      <c r="E2051" s="333"/>
      <c r="F2051" s="333"/>
    </row>
    <row r="2052" spans="4:6" x14ac:dyDescent="0.2">
      <c r="D2052" s="333"/>
      <c r="E2052" s="333"/>
      <c r="F2052" s="333"/>
    </row>
    <row r="2053" spans="4:6" x14ac:dyDescent="0.2">
      <c r="D2053" s="333"/>
      <c r="E2053" s="333"/>
      <c r="F2053" s="333"/>
    </row>
    <row r="2054" spans="4:6" x14ac:dyDescent="0.2">
      <c r="D2054" s="333"/>
      <c r="E2054" s="333"/>
      <c r="F2054" s="333"/>
    </row>
    <row r="2055" spans="4:6" x14ac:dyDescent="0.2">
      <c r="D2055" s="333"/>
      <c r="E2055" s="333"/>
      <c r="F2055" s="333"/>
    </row>
    <row r="2056" spans="4:6" x14ac:dyDescent="0.2">
      <c r="D2056" s="333"/>
      <c r="E2056" s="333"/>
      <c r="F2056" s="333"/>
    </row>
    <row r="2057" spans="4:6" x14ac:dyDescent="0.2">
      <c r="D2057" s="333"/>
      <c r="E2057" s="333"/>
      <c r="F2057" s="333"/>
    </row>
    <row r="2058" spans="4:6" x14ac:dyDescent="0.2">
      <c r="D2058" s="333"/>
      <c r="E2058" s="333"/>
      <c r="F2058" s="333"/>
    </row>
    <row r="2059" spans="4:6" x14ac:dyDescent="0.2">
      <c r="D2059" s="333"/>
      <c r="E2059" s="333"/>
      <c r="F2059" s="333"/>
    </row>
    <row r="2060" spans="4:6" x14ac:dyDescent="0.2">
      <c r="D2060" s="333"/>
      <c r="E2060" s="333"/>
      <c r="F2060" s="333"/>
    </row>
    <row r="2061" spans="4:6" x14ac:dyDescent="0.2">
      <c r="D2061" s="333"/>
      <c r="E2061" s="333"/>
      <c r="F2061" s="333"/>
    </row>
    <row r="2062" spans="4:6" x14ac:dyDescent="0.2">
      <c r="D2062" s="333"/>
      <c r="E2062" s="333"/>
      <c r="F2062" s="333"/>
    </row>
    <row r="2063" spans="4:6" x14ac:dyDescent="0.2">
      <c r="D2063" s="333"/>
      <c r="E2063" s="333"/>
      <c r="F2063" s="333"/>
    </row>
    <row r="2064" spans="4:6" x14ac:dyDescent="0.2">
      <c r="D2064" s="333"/>
      <c r="E2064" s="333"/>
      <c r="F2064" s="333"/>
    </row>
    <row r="2065" spans="4:6" x14ac:dyDescent="0.2">
      <c r="D2065" s="333"/>
      <c r="E2065" s="333"/>
      <c r="F2065" s="333"/>
    </row>
    <row r="2066" spans="4:6" x14ac:dyDescent="0.2">
      <c r="D2066" s="333"/>
      <c r="E2066" s="333"/>
      <c r="F2066" s="333"/>
    </row>
    <row r="2067" spans="4:6" x14ac:dyDescent="0.2">
      <c r="D2067" s="333"/>
      <c r="E2067" s="333"/>
      <c r="F2067" s="333"/>
    </row>
    <row r="2068" spans="4:6" x14ac:dyDescent="0.2">
      <c r="D2068" s="333"/>
      <c r="E2068" s="333"/>
      <c r="F2068" s="333"/>
    </row>
    <row r="2069" spans="4:6" x14ac:dyDescent="0.2">
      <c r="D2069" s="333"/>
      <c r="E2069" s="333"/>
      <c r="F2069" s="333"/>
    </row>
    <row r="2070" spans="4:6" x14ac:dyDescent="0.2">
      <c r="D2070" s="333"/>
      <c r="E2070" s="333"/>
      <c r="F2070" s="333"/>
    </row>
    <row r="2071" spans="4:6" x14ac:dyDescent="0.2">
      <c r="D2071" s="333"/>
      <c r="E2071" s="333"/>
      <c r="F2071" s="333"/>
    </row>
    <row r="2072" spans="4:6" x14ac:dyDescent="0.2">
      <c r="D2072" s="333"/>
      <c r="E2072" s="333"/>
      <c r="F2072" s="333"/>
    </row>
    <row r="2073" spans="4:6" x14ac:dyDescent="0.2">
      <c r="D2073" s="333"/>
      <c r="E2073" s="333"/>
      <c r="F2073" s="333"/>
    </row>
    <row r="2074" spans="4:6" x14ac:dyDescent="0.2">
      <c r="D2074" s="333"/>
      <c r="E2074" s="333"/>
      <c r="F2074" s="333"/>
    </row>
    <row r="2075" spans="4:6" x14ac:dyDescent="0.2">
      <c r="D2075" s="333"/>
      <c r="E2075" s="333"/>
      <c r="F2075" s="333"/>
    </row>
    <row r="2076" spans="4:6" x14ac:dyDescent="0.2">
      <c r="D2076" s="333"/>
      <c r="E2076" s="333"/>
      <c r="F2076" s="333"/>
    </row>
    <row r="2077" spans="4:6" x14ac:dyDescent="0.2">
      <c r="D2077" s="333"/>
      <c r="E2077" s="333"/>
      <c r="F2077" s="333"/>
    </row>
    <row r="2078" spans="4:6" x14ac:dyDescent="0.2">
      <c r="D2078" s="333"/>
      <c r="E2078" s="333"/>
      <c r="F2078" s="333"/>
    </row>
    <row r="2079" spans="4:6" x14ac:dyDescent="0.2">
      <c r="D2079" s="333"/>
      <c r="E2079" s="333"/>
      <c r="F2079" s="333"/>
    </row>
    <row r="2080" spans="4:6" x14ac:dyDescent="0.2">
      <c r="D2080" s="333"/>
      <c r="E2080" s="333"/>
      <c r="F2080" s="333"/>
    </row>
    <row r="2081" spans="4:6" x14ac:dyDescent="0.2">
      <c r="D2081" s="333"/>
      <c r="E2081" s="333"/>
      <c r="F2081" s="333"/>
    </row>
    <row r="2082" spans="4:6" x14ac:dyDescent="0.2">
      <c r="D2082" s="333"/>
      <c r="E2082" s="333"/>
      <c r="F2082" s="333"/>
    </row>
    <row r="2083" spans="4:6" x14ac:dyDescent="0.2">
      <c r="D2083" s="333"/>
      <c r="E2083" s="333"/>
      <c r="F2083" s="333"/>
    </row>
    <row r="2084" spans="4:6" x14ac:dyDescent="0.2">
      <c r="D2084" s="333"/>
      <c r="E2084" s="333"/>
      <c r="F2084" s="333"/>
    </row>
    <row r="2085" spans="4:6" x14ac:dyDescent="0.2">
      <c r="D2085" s="333"/>
      <c r="E2085" s="333"/>
      <c r="F2085" s="333"/>
    </row>
    <row r="2086" spans="4:6" x14ac:dyDescent="0.2">
      <c r="D2086" s="333"/>
      <c r="E2086" s="333"/>
      <c r="F2086" s="333"/>
    </row>
    <row r="2087" spans="4:6" x14ac:dyDescent="0.2">
      <c r="D2087" s="333"/>
      <c r="E2087" s="333"/>
      <c r="F2087" s="333"/>
    </row>
    <row r="2088" spans="4:6" x14ac:dyDescent="0.2">
      <c r="D2088" s="333"/>
      <c r="E2088" s="333"/>
      <c r="F2088" s="333"/>
    </row>
    <row r="2089" spans="4:6" x14ac:dyDescent="0.2">
      <c r="D2089" s="333"/>
      <c r="E2089" s="333"/>
      <c r="F2089" s="333"/>
    </row>
    <row r="2090" spans="4:6" x14ac:dyDescent="0.2">
      <c r="D2090" s="333"/>
      <c r="E2090" s="333"/>
      <c r="F2090" s="333"/>
    </row>
    <row r="2091" spans="4:6" x14ac:dyDescent="0.2">
      <c r="D2091" s="333"/>
      <c r="E2091" s="333"/>
      <c r="F2091" s="333"/>
    </row>
    <row r="2092" spans="4:6" x14ac:dyDescent="0.2">
      <c r="D2092" s="333"/>
      <c r="E2092" s="333"/>
      <c r="F2092" s="333"/>
    </row>
    <row r="2093" spans="4:6" x14ac:dyDescent="0.2">
      <c r="D2093" s="333"/>
      <c r="E2093" s="333"/>
      <c r="F2093" s="333"/>
    </row>
    <row r="2094" spans="4:6" x14ac:dyDescent="0.2">
      <c r="D2094" s="333"/>
      <c r="E2094" s="333"/>
      <c r="F2094" s="333"/>
    </row>
    <row r="2095" spans="4:6" x14ac:dyDescent="0.2">
      <c r="D2095" s="333"/>
      <c r="E2095" s="333"/>
      <c r="F2095" s="333"/>
    </row>
    <row r="2096" spans="4:6" x14ac:dyDescent="0.2">
      <c r="D2096" s="333"/>
      <c r="E2096" s="333"/>
      <c r="F2096" s="333"/>
    </row>
    <row r="2097" spans="4:6" x14ac:dyDescent="0.2">
      <c r="D2097" s="333"/>
      <c r="E2097" s="333"/>
      <c r="F2097" s="333"/>
    </row>
    <row r="2098" spans="4:6" x14ac:dyDescent="0.2">
      <c r="D2098" s="333"/>
      <c r="E2098" s="333"/>
      <c r="F2098" s="333"/>
    </row>
    <row r="2099" spans="4:6" x14ac:dyDescent="0.2">
      <c r="D2099" s="333"/>
      <c r="E2099" s="333"/>
      <c r="F2099" s="333"/>
    </row>
    <row r="2100" spans="4:6" x14ac:dyDescent="0.2">
      <c r="D2100" s="333"/>
      <c r="E2100" s="333"/>
      <c r="F2100" s="333"/>
    </row>
    <row r="2101" spans="4:6" x14ac:dyDescent="0.2">
      <c r="D2101" s="333"/>
      <c r="E2101" s="333"/>
      <c r="F2101" s="333"/>
    </row>
    <row r="2102" spans="4:6" x14ac:dyDescent="0.2">
      <c r="D2102" s="333"/>
      <c r="E2102" s="333"/>
      <c r="F2102" s="333"/>
    </row>
    <row r="2103" spans="4:6" x14ac:dyDescent="0.2">
      <c r="D2103" s="333"/>
      <c r="E2103" s="333"/>
      <c r="F2103" s="333"/>
    </row>
    <row r="2104" spans="4:6" x14ac:dyDescent="0.2">
      <c r="D2104" s="333"/>
      <c r="E2104" s="333"/>
      <c r="F2104" s="333"/>
    </row>
    <row r="2105" spans="4:6" x14ac:dyDescent="0.2">
      <c r="D2105" s="333"/>
      <c r="E2105" s="333"/>
      <c r="F2105" s="333"/>
    </row>
    <row r="2106" spans="4:6" x14ac:dyDescent="0.2">
      <c r="D2106" s="333"/>
      <c r="E2106" s="333"/>
      <c r="F2106" s="333"/>
    </row>
    <row r="2107" spans="4:6" x14ac:dyDescent="0.2">
      <c r="D2107" s="333"/>
      <c r="E2107" s="333"/>
      <c r="F2107" s="333"/>
    </row>
    <row r="2108" spans="4:6" x14ac:dyDescent="0.2">
      <c r="D2108" s="333"/>
      <c r="E2108" s="333"/>
      <c r="F2108" s="333"/>
    </row>
    <row r="2109" spans="4:6" x14ac:dyDescent="0.2">
      <c r="D2109" s="333"/>
      <c r="E2109" s="333"/>
      <c r="F2109" s="333"/>
    </row>
    <row r="2110" spans="4:6" x14ac:dyDescent="0.2">
      <c r="D2110" s="333"/>
      <c r="E2110" s="333"/>
      <c r="F2110" s="333"/>
    </row>
    <row r="2111" spans="4:6" x14ac:dyDescent="0.2">
      <c r="D2111" s="333"/>
      <c r="E2111" s="333"/>
      <c r="F2111" s="333"/>
    </row>
    <row r="2112" spans="4:6" x14ac:dyDescent="0.2">
      <c r="D2112" s="333"/>
      <c r="E2112" s="333"/>
      <c r="F2112" s="333"/>
    </row>
    <row r="2113" spans="4:6" x14ac:dyDescent="0.2">
      <c r="D2113" s="333"/>
      <c r="E2113" s="333"/>
      <c r="F2113" s="333"/>
    </row>
    <row r="2114" spans="4:6" x14ac:dyDescent="0.2">
      <c r="D2114" s="333"/>
      <c r="E2114" s="333"/>
      <c r="F2114" s="333"/>
    </row>
    <row r="2115" spans="4:6" x14ac:dyDescent="0.2">
      <c r="D2115" s="333"/>
      <c r="E2115" s="333"/>
      <c r="F2115" s="333"/>
    </row>
    <row r="2116" spans="4:6" x14ac:dyDescent="0.2">
      <c r="D2116" s="333"/>
      <c r="E2116" s="333"/>
      <c r="F2116" s="333"/>
    </row>
    <row r="2117" spans="4:6" x14ac:dyDescent="0.2">
      <c r="D2117" s="333"/>
      <c r="E2117" s="333"/>
      <c r="F2117" s="333"/>
    </row>
    <row r="2118" spans="4:6" x14ac:dyDescent="0.2">
      <c r="D2118" s="333"/>
      <c r="E2118" s="333"/>
      <c r="F2118" s="333"/>
    </row>
    <row r="2119" spans="4:6" x14ac:dyDescent="0.2">
      <c r="D2119" s="333"/>
      <c r="E2119" s="333"/>
      <c r="F2119" s="333"/>
    </row>
    <row r="2120" spans="4:6" x14ac:dyDescent="0.2">
      <c r="D2120" s="333"/>
      <c r="E2120" s="333"/>
      <c r="F2120" s="333"/>
    </row>
    <row r="2121" spans="4:6" x14ac:dyDescent="0.2">
      <c r="D2121" s="333"/>
      <c r="E2121" s="333"/>
      <c r="F2121" s="333"/>
    </row>
    <row r="2122" spans="4:6" x14ac:dyDescent="0.2">
      <c r="D2122" s="333"/>
      <c r="E2122" s="333"/>
      <c r="F2122" s="333"/>
    </row>
    <row r="2123" spans="4:6" x14ac:dyDescent="0.2">
      <c r="D2123" s="333"/>
      <c r="E2123" s="333"/>
      <c r="F2123" s="333"/>
    </row>
    <row r="2124" spans="4:6" x14ac:dyDescent="0.2">
      <c r="D2124" s="333"/>
      <c r="E2124" s="333"/>
      <c r="F2124" s="333"/>
    </row>
    <row r="2125" spans="4:6" x14ac:dyDescent="0.2">
      <c r="D2125" s="333"/>
      <c r="E2125" s="333"/>
      <c r="F2125" s="333"/>
    </row>
    <row r="2126" spans="4:6" x14ac:dyDescent="0.2">
      <c r="D2126" s="333"/>
      <c r="E2126" s="333"/>
      <c r="F2126" s="333"/>
    </row>
    <row r="2127" spans="4:6" x14ac:dyDescent="0.2">
      <c r="D2127" s="333"/>
      <c r="E2127" s="333"/>
      <c r="F2127" s="333"/>
    </row>
    <row r="2128" spans="4:6" x14ac:dyDescent="0.2">
      <c r="D2128" s="333"/>
      <c r="E2128" s="333"/>
      <c r="F2128" s="333"/>
    </row>
    <row r="2129" spans="4:6" x14ac:dyDescent="0.2">
      <c r="D2129" s="333"/>
      <c r="E2129" s="333"/>
      <c r="F2129" s="333"/>
    </row>
    <row r="2130" spans="4:6" x14ac:dyDescent="0.2">
      <c r="D2130" s="333"/>
      <c r="E2130" s="333"/>
      <c r="F2130" s="333"/>
    </row>
    <row r="2131" spans="4:6" x14ac:dyDescent="0.2">
      <c r="D2131" s="333"/>
      <c r="E2131" s="333"/>
      <c r="F2131" s="333"/>
    </row>
    <row r="2132" spans="4:6" x14ac:dyDescent="0.2">
      <c r="D2132" s="333"/>
      <c r="E2132" s="333"/>
      <c r="F2132" s="333"/>
    </row>
    <row r="2133" spans="4:6" x14ac:dyDescent="0.2">
      <c r="D2133" s="333"/>
      <c r="E2133" s="333"/>
      <c r="F2133" s="333"/>
    </row>
    <row r="2134" spans="4:6" x14ac:dyDescent="0.2">
      <c r="D2134" s="333"/>
      <c r="E2134" s="333"/>
      <c r="F2134" s="333"/>
    </row>
    <row r="2135" spans="4:6" x14ac:dyDescent="0.2">
      <c r="D2135" s="333"/>
      <c r="E2135" s="333"/>
      <c r="F2135" s="333"/>
    </row>
    <row r="2136" spans="4:6" x14ac:dyDescent="0.2">
      <c r="D2136" s="333"/>
      <c r="E2136" s="333"/>
      <c r="F2136" s="333"/>
    </row>
    <row r="2137" spans="4:6" x14ac:dyDescent="0.2">
      <c r="D2137" s="333"/>
      <c r="E2137" s="333"/>
      <c r="F2137" s="333"/>
    </row>
    <row r="2138" spans="4:6" x14ac:dyDescent="0.2">
      <c r="D2138" s="333"/>
      <c r="E2138" s="333"/>
      <c r="F2138" s="333"/>
    </row>
    <row r="2139" spans="4:6" x14ac:dyDescent="0.2">
      <c r="D2139" s="333"/>
      <c r="E2139" s="333"/>
      <c r="F2139" s="333"/>
    </row>
    <row r="2140" spans="4:6" x14ac:dyDescent="0.2">
      <c r="D2140" s="333"/>
      <c r="E2140" s="333"/>
      <c r="F2140" s="333"/>
    </row>
    <row r="2141" spans="4:6" x14ac:dyDescent="0.2">
      <c r="D2141" s="333"/>
      <c r="E2141" s="333"/>
      <c r="F2141" s="333"/>
    </row>
    <row r="2142" spans="4:6" x14ac:dyDescent="0.2">
      <c r="D2142" s="333"/>
      <c r="E2142" s="333"/>
      <c r="F2142" s="333"/>
    </row>
    <row r="2143" spans="4:6" x14ac:dyDescent="0.2">
      <c r="D2143" s="333"/>
      <c r="E2143" s="333"/>
      <c r="F2143" s="333"/>
    </row>
    <row r="2144" spans="4:6" x14ac:dyDescent="0.2">
      <c r="D2144" s="333"/>
      <c r="E2144" s="333"/>
      <c r="F2144" s="333"/>
    </row>
    <row r="2145" spans="4:6" x14ac:dyDescent="0.2">
      <c r="D2145" s="333"/>
      <c r="E2145" s="333"/>
      <c r="F2145" s="333"/>
    </row>
    <row r="2146" spans="4:6" x14ac:dyDescent="0.2">
      <c r="D2146" s="333"/>
      <c r="E2146" s="333"/>
      <c r="F2146" s="333"/>
    </row>
    <row r="2147" spans="4:6" x14ac:dyDescent="0.2">
      <c r="D2147" s="333"/>
      <c r="E2147" s="333"/>
      <c r="F2147" s="333"/>
    </row>
    <row r="2148" spans="4:6" x14ac:dyDescent="0.2">
      <c r="D2148" s="333"/>
      <c r="E2148" s="333"/>
      <c r="F2148" s="333"/>
    </row>
    <row r="2149" spans="4:6" x14ac:dyDescent="0.2">
      <c r="D2149" s="333"/>
      <c r="E2149" s="333"/>
      <c r="F2149" s="333"/>
    </row>
    <row r="2150" spans="4:6" x14ac:dyDescent="0.2">
      <c r="D2150" s="333"/>
      <c r="E2150" s="333"/>
      <c r="F2150" s="333"/>
    </row>
    <row r="2151" spans="4:6" x14ac:dyDescent="0.2">
      <c r="D2151" s="333"/>
      <c r="E2151" s="333"/>
      <c r="F2151" s="333"/>
    </row>
    <row r="2152" spans="4:6" x14ac:dyDescent="0.2">
      <c r="D2152" s="333"/>
      <c r="E2152" s="333"/>
      <c r="F2152" s="333"/>
    </row>
    <row r="2153" spans="4:6" x14ac:dyDescent="0.2">
      <c r="D2153" s="333"/>
      <c r="E2153" s="333"/>
      <c r="F2153" s="333"/>
    </row>
    <row r="2154" spans="4:6" x14ac:dyDescent="0.2">
      <c r="D2154" s="333"/>
      <c r="E2154" s="333"/>
      <c r="F2154" s="333"/>
    </row>
    <row r="2155" spans="4:6" x14ac:dyDescent="0.2">
      <c r="D2155" s="333"/>
      <c r="E2155" s="333"/>
      <c r="F2155" s="333"/>
    </row>
    <row r="2156" spans="4:6" x14ac:dyDescent="0.2">
      <c r="D2156" s="333"/>
      <c r="E2156" s="333"/>
      <c r="F2156" s="333"/>
    </row>
    <row r="2157" spans="4:6" x14ac:dyDescent="0.2">
      <c r="D2157" s="333"/>
      <c r="E2157" s="333"/>
      <c r="F2157" s="333"/>
    </row>
    <row r="2158" spans="4:6" x14ac:dyDescent="0.2">
      <c r="D2158" s="333"/>
      <c r="E2158" s="333"/>
      <c r="F2158" s="333"/>
    </row>
    <row r="2159" spans="4:6" x14ac:dyDescent="0.2">
      <c r="D2159" s="333"/>
      <c r="E2159" s="333"/>
      <c r="F2159" s="333"/>
    </row>
    <row r="2160" spans="4:6" x14ac:dyDescent="0.2">
      <c r="D2160" s="333"/>
      <c r="E2160" s="333"/>
      <c r="F2160" s="333"/>
    </row>
    <row r="2161" spans="4:6" x14ac:dyDescent="0.2">
      <c r="D2161" s="333"/>
      <c r="E2161" s="333"/>
      <c r="F2161" s="333"/>
    </row>
    <row r="2162" spans="4:6" x14ac:dyDescent="0.2">
      <c r="D2162" s="333"/>
      <c r="E2162" s="333"/>
      <c r="F2162" s="333"/>
    </row>
    <row r="2163" spans="4:6" x14ac:dyDescent="0.2">
      <c r="D2163" s="333"/>
      <c r="E2163" s="333"/>
      <c r="F2163" s="333"/>
    </row>
    <row r="2164" spans="4:6" x14ac:dyDescent="0.2">
      <c r="D2164" s="333"/>
      <c r="E2164" s="333"/>
      <c r="F2164" s="333"/>
    </row>
    <row r="2165" spans="4:6" x14ac:dyDescent="0.2">
      <c r="D2165" s="333"/>
      <c r="E2165" s="333"/>
      <c r="F2165" s="333"/>
    </row>
    <row r="2166" spans="4:6" x14ac:dyDescent="0.2">
      <c r="D2166" s="333"/>
      <c r="E2166" s="333"/>
      <c r="F2166" s="333"/>
    </row>
    <row r="2167" spans="4:6" x14ac:dyDescent="0.2">
      <c r="D2167" s="333"/>
      <c r="E2167" s="333"/>
      <c r="F2167" s="333"/>
    </row>
    <row r="2168" spans="4:6" x14ac:dyDescent="0.2">
      <c r="D2168" s="333"/>
      <c r="E2168" s="333"/>
      <c r="F2168" s="333"/>
    </row>
    <row r="2169" spans="4:6" x14ac:dyDescent="0.2">
      <c r="D2169" s="333"/>
      <c r="E2169" s="333"/>
      <c r="F2169" s="333"/>
    </row>
    <row r="2170" spans="4:6" x14ac:dyDescent="0.2">
      <c r="D2170" s="333"/>
      <c r="E2170" s="333"/>
      <c r="F2170" s="333"/>
    </row>
    <row r="2171" spans="4:6" x14ac:dyDescent="0.2">
      <c r="D2171" s="333"/>
      <c r="E2171" s="333"/>
      <c r="F2171" s="333"/>
    </row>
    <row r="2172" spans="4:6" x14ac:dyDescent="0.2">
      <c r="D2172" s="333"/>
      <c r="E2172" s="333"/>
      <c r="F2172" s="333"/>
    </row>
    <row r="2173" spans="4:6" x14ac:dyDescent="0.2">
      <c r="D2173" s="333"/>
      <c r="E2173" s="333"/>
      <c r="F2173" s="333"/>
    </row>
    <row r="2174" spans="4:6" x14ac:dyDescent="0.2">
      <c r="D2174" s="333"/>
      <c r="E2174" s="333"/>
      <c r="F2174" s="333"/>
    </row>
    <row r="2175" spans="4:6" x14ac:dyDescent="0.2">
      <c r="D2175" s="333"/>
      <c r="E2175" s="333"/>
      <c r="F2175" s="333"/>
    </row>
    <row r="2176" spans="4:6" x14ac:dyDescent="0.2">
      <c r="D2176" s="333"/>
      <c r="E2176" s="333"/>
      <c r="F2176" s="333"/>
    </row>
    <row r="2177" spans="4:6" x14ac:dyDescent="0.2">
      <c r="D2177" s="333"/>
      <c r="E2177" s="333"/>
      <c r="F2177" s="333"/>
    </row>
    <row r="2178" spans="4:6" x14ac:dyDescent="0.2">
      <c r="D2178" s="333"/>
      <c r="E2178" s="333"/>
      <c r="F2178" s="333"/>
    </row>
    <row r="2179" spans="4:6" x14ac:dyDescent="0.2">
      <c r="D2179" s="333"/>
      <c r="E2179" s="333"/>
      <c r="F2179" s="333"/>
    </row>
    <row r="2180" spans="4:6" x14ac:dyDescent="0.2">
      <c r="D2180" s="333"/>
      <c r="E2180" s="333"/>
      <c r="F2180" s="333"/>
    </row>
    <row r="2181" spans="4:6" x14ac:dyDescent="0.2">
      <c r="D2181" s="333"/>
      <c r="E2181" s="333"/>
      <c r="F2181" s="333"/>
    </row>
    <row r="2182" spans="4:6" x14ac:dyDescent="0.2">
      <c r="D2182" s="333"/>
      <c r="E2182" s="333"/>
      <c r="F2182" s="333"/>
    </row>
    <row r="2183" spans="4:6" x14ac:dyDescent="0.2">
      <c r="D2183" s="333"/>
      <c r="E2183" s="333"/>
      <c r="F2183" s="333"/>
    </row>
    <row r="2184" spans="4:6" x14ac:dyDescent="0.2">
      <c r="D2184" s="333"/>
      <c r="E2184" s="333"/>
      <c r="F2184" s="333"/>
    </row>
    <row r="2185" spans="4:6" x14ac:dyDescent="0.2">
      <c r="D2185" s="333"/>
      <c r="E2185" s="333"/>
      <c r="F2185" s="333"/>
    </row>
    <row r="2186" spans="4:6" x14ac:dyDescent="0.2">
      <c r="D2186" s="333"/>
      <c r="E2186" s="333"/>
      <c r="F2186" s="333"/>
    </row>
    <row r="2187" spans="4:6" x14ac:dyDescent="0.2">
      <c r="D2187" s="333"/>
      <c r="E2187" s="333"/>
      <c r="F2187" s="333"/>
    </row>
    <row r="2188" spans="4:6" x14ac:dyDescent="0.2">
      <c r="D2188" s="333"/>
      <c r="E2188" s="333"/>
      <c r="F2188" s="333"/>
    </row>
    <row r="2189" spans="4:6" x14ac:dyDescent="0.2">
      <c r="D2189" s="333"/>
      <c r="E2189" s="333"/>
      <c r="F2189" s="333"/>
    </row>
    <row r="2190" spans="4:6" x14ac:dyDescent="0.2">
      <c r="D2190" s="333"/>
      <c r="E2190" s="333"/>
      <c r="F2190" s="333"/>
    </row>
    <row r="2191" spans="4:6" x14ac:dyDescent="0.2">
      <c r="D2191" s="333"/>
      <c r="E2191" s="333"/>
      <c r="F2191" s="333"/>
    </row>
    <row r="2192" spans="4:6" x14ac:dyDescent="0.2">
      <c r="D2192" s="333"/>
      <c r="E2192" s="333"/>
      <c r="F2192" s="333"/>
    </row>
    <row r="2193" spans="4:6" x14ac:dyDescent="0.2">
      <c r="D2193" s="333"/>
      <c r="E2193" s="333"/>
      <c r="F2193" s="333"/>
    </row>
    <row r="2194" spans="4:6" x14ac:dyDescent="0.2">
      <c r="D2194" s="333"/>
      <c r="E2194" s="333"/>
      <c r="F2194" s="333"/>
    </row>
    <row r="2195" spans="4:6" x14ac:dyDescent="0.2">
      <c r="D2195" s="333"/>
      <c r="E2195" s="333"/>
      <c r="F2195" s="333"/>
    </row>
    <row r="2196" spans="4:6" x14ac:dyDescent="0.2">
      <c r="D2196" s="333"/>
      <c r="E2196" s="333"/>
      <c r="F2196" s="333"/>
    </row>
    <row r="2197" spans="4:6" x14ac:dyDescent="0.2">
      <c r="D2197" s="333"/>
      <c r="E2197" s="333"/>
      <c r="F2197" s="333"/>
    </row>
    <row r="2198" spans="4:6" x14ac:dyDescent="0.2">
      <c r="D2198" s="333"/>
      <c r="E2198" s="333"/>
      <c r="F2198" s="333"/>
    </row>
    <row r="2199" spans="4:6" x14ac:dyDescent="0.2">
      <c r="D2199" s="333"/>
      <c r="E2199" s="333"/>
      <c r="F2199" s="333"/>
    </row>
    <row r="2200" spans="4:6" x14ac:dyDescent="0.2">
      <c r="D2200" s="333"/>
      <c r="E2200" s="333"/>
      <c r="F2200" s="333"/>
    </row>
    <row r="2201" spans="4:6" x14ac:dyDescent="0.2">
      <c r="D2201" s="333"/>
      <c r="E2201" s="333"/>
      <c r="F2201" s="333"/>
    </row>
    <row r="2202" spans="4:6" x14ac:dyDescent="0.2">
      <c r="D2202" s="333"/>
      <c r="E2202" s="333"/>
      <c r="F2202" s="333"/>
    </row>
    <row r="2203" spans="4:6" x14ac:dyDescent="0.2">
      <c r="D2203" s="333"/>
      <c r="E2203" s="333"/>
      <c r="F2203" s="333"/>
    </row>
    <row r="2204" spans="4:6" x14ac:dyDescent="0.2">
      <c r="D2204" s="333"/>
      <c r="E2204" s="333"/>
      <c r="F2204" s="333"/>
    </row>
    <row r="2205" spans="4:6" x14ac:dyDescent="0.2">
      <c r="D2205" s="333"/>
      <c r="E2205" s="333"/>
      <c r="F2205" s="333"/>
    </row>
    <row r="2206" spans="4:6" x14ac:dyDescent="0.2">
      <c r="D2206" s="333"/>
      <c r="E2206" s="333"/>
      <c r="F2206" s="333"/>
    </row>
    <row r="2207" spans="4:6" x14ac:dyDescent="0.2">
      <c r="D2207" s="333"/>
      <c r="E2207" s="333"/>
      <c r="F2207" s="333"/>
    </row>
    <row r="2208" spans="4:6" x14ac:dyDescent="0.2">
      <c r="D2208" s="333"/>
      <c r="E2208" s="333"/>
      <c r="F2208" s="333"/>
    </row>
    <row r="2209" spans="4:6" x14ac:dyDescent="0.2">
      <c r="D2209" s="333"/>
      <c r="E2209" s="333"/>
      <c r="F2209" s="333"/>
    </row>
    <row r="2210" spans="4:6" x14ac:dyDescent="0.2">
      <c r="D2210" s="333"/>
      <c r="E2210" s="333"/>
      <c r="F2210" s="333"/>
    </row>
    <row r="2211" spans="4:6" x14ac:dyDescent="0.2">
      <c r="D2211" s="333"/>
      <c r="E2211" s="333"/>
      <c r="F2211" s="333"/>
    </row>
    <row r="2212" spans="4:6" x14ac:dyDescent="0.2">
      <c r="D2212" s="333"/>
      <c r="E2212" s="333"/>
      <c r="F2212" s="333"/>
    </row>
    <row r="2213" spans="4:6" x14ac:dyDescent="0.2">
      <c r="D2213" s="333"/>
      <c r="E2213" s="333"/>
      <c r="F2213" s="333"/>
    </row>
    <row r="2214" spans="4:6" x14ac:dyDescent="0.2">
      <c r="D2214" s="333"/>
      <c r="E2214" s="333"/>
      <c r="F2214" s="333"/>
    </row>
    <row r="2215" spans="4:6" x14ac:dyDescent="0.2">
      <c r="D2215" s="333"/>
      <c r="E2215" s="333"/>
      <c r="F2215" s="333"/>
    </row>
    <row r="2216" spans="4:6" x14ac:dyDescent="0.2">
      <c r="D2216" s="333"/>
      <c r="E2216" s="333"/>
      <c r="F2216" s="333"/>
    </row>
    <row r="2217" spans="4:6" x14ac:dyDescent="0.2">
      <c r="D2217" s="333"/>
      <c r="E2217" s="333"/>
      <c r="F2217" s="333"/>
    </row>
    <row r="2218" spans="4:6" x14ac:dyDescent="0.2">
      <c r="D2218" s="333"/>
      <c r="E2218" s="333"/>
      <c r="F2218" s="333"/>
    </row>
    <row r="2219" spans="4:6" x14ac:dyDescent="0.2">
      <c r="D2219" s="333"/>
      <c r="E2219" s="333"/>
      <c r="F2219" s="333"/>
    </row>
    <row r="2220" spans="4:6" x14ac:dyDescent="0.2">
      <c r="D2220" s="333"/>
      <c r="E2220" s="333"/>
      <c r="F2220" s="333"/>
    </row>
    <row r="2221" spans="4:6" x14ac:dyDescent="0.2">
      <c r="D2221" s="333"/>
      <c r="E2221" s="333"/>
      <c r="F2221" s="333"/>
    </row>
    <row r="2222" spans="4:6" x14ac:dyDescent="0.2">
      <c r="D2222" s="333"/>
      <c r="E2222" s="333"/>
      <c r="F2222" s="333"/>
    </row>
    <row r="2223" spans="4:6" x14ac:dyDescent="0.2">
      <c r="D2223" s="333"/>
      <c r="E2223" s="333"/>
      <c r="F2223" s="333"/>
    </row>
    <row r="2224" spans="4:6" x14ac:dyDescent="0.2">
      <c r="D2224" s="333"/>
      <c r="E2224" s="333"/>
      <c r="F2224" s="333"/>
    </row>
    <row r="2225" spans="4:6" x14ac:dyDescent="0.2">
      <c r="D2225" s="333"/>
      <c r="E2225" s="333"/>
      <c r="F2225" s="333"/>
    </row>
    <row r="2226" spans="4:6" x14ac:dyDescent="0.2">
      <c r="D2226" s="333"/>
      <c r="E2226" s="333"/>
      <c r="F2226" s="333"/>
    </row>
    <row r="2227" spans="4:6" x14ac:dyDescent="0.2">
      <c r="D2227" s="333"/>
      <c r="E2227" s="333"/>
      <c r="F2227" s="333"/>
    </row>
    <row r="2228" spans="4:6" x14ac:dyDescent="0.2">
      <c r="D2228" s="333"/>
      <c r="E2228" s="333"/>
      <c r="F2228" s="333"/>
    </row>
    <row r="2229" spans="4:6" x14ac:dyDescent="0.2">
      <c r="D2229" s="333"/>
      <c r="E2229" s="333"/>
      <c r="F2229" s="333"/>
    </row>
    <row r="2230" spans="4:6" x14ac:dyDescent="0.2">
      <c r="D2230" s="333"/>
      <c r="E2230" s="333"/>
      <c r="F2230" s="333"/>
    </row>
    <row r="2231" spans="4:6" x14ac:dyDescent="0.2">
      <c r="D2231" s="333"/>
      <c r="E2231" s="333"/>
      <c r="F2231" s="333"/>
    </row>
    <row r="2232" spans="4:6" x14ac:dyDescent="0.2">
      <c r="D2232" s="333"/>
      <c r="E2232" s="333"/>
      <c r="F2232" s="333"/>
    </row>
    <row r="2233" spans="4:6" x14ac:dyDescent="0.2">
      <c r="D2233" s="333"/>
      <c r="E2233" s="333"/>
      <c r="F2233" s="333"/>
    </row>
    <row r="2234" spans="4:6" x14ac:dyDescent="0.2">
      <c r="D2234" s="333"/>
      <c r="E2234" s="333"/>
      <c r="F2234" s="333"/>
    </row>
    <row r="2235" spans="4:6" x14ac:dyDescent="0.2">
      <c r="D2235" s="333"/>
      <c r="E2235" s="333"/>
      <c r="F2235" s="333"/>
    </row>
    <row r="2236" spans="4:6" x14ac:dyDescent="0.2">
      <c r="D2236" s="333"/>
      <c r="E2236" s="333"/>
      <c r="F2236" s="333"/>
    </row>
    <row r="2237" spans="4:6" x14ac:dyDescent="0.2">
      <c r="D2237" s="333"/>
      <c r="E2237" s="333"/>
      <c r="F2237" s="333"/>
    </row>
    <row r="2238" spans="4:6" x14ac:dyDescent="0.2">
      <c r="D2238" s="333"/>
      <c r="E2238" s="333"/>
      <c r="F2238" s="333"/>
    </row>
    <row r="2239" spans="4:6" x14ac:dyDescent="0.2">
      <c r="D2239" s="333"/>
      <c r="E2239" s="333"/>
      <c r="F2239" s="333"/>
    </row>
    <row r="2240" spans="4:6" x14ac:dyDescent="0.2">
      <c r="D2240" s="333"/>
      <c r="E2240" s="333"/>
      <c r="F2240" s="333"/>
    </row>
    <row r="2241" spans="4:6" x14ac:dyDescent="0.2">
      <c r="D2241" s="333"/>
      <c r="E2241" s="333"/>
      <c r="F2241" s="333"/>
    </row>
    <row r="2242" spans="4:6" x14ac:dyDescent="0.2">
      <c r="D2242" s="333"/>
      <c r="E2242" s="333"/>
      <c r="F2242" s="333"/>
    </row>
    <row r="2243" spans="4:6" x14ac:dyDescent="0.2">
      <c r="D2243" s="333"/>
      <c r="E2243" s="333"/>
      <c r="F2243" s="333"/>
    </row>
    <row r="2244" spans="4:6" x14ac:dyDescent="0.2">
      <c r="D2244" s="333"/>
      <c r="E2244" s="333"/>
      <c r="F2244" s="333"/>
    </row>
    <row r="2245" spans="4:6" x14ac:dyDescent="0.2">
      <c r="D2245" s="333"/>
      <c r="E2245" s="333"/>
      <c r="F2245" s="333"/>
    </row>
    <row r="2246" spans="4:6" x14ac:dyDescent="0.2">
      <c r="D2246" s="333"/>
      <c r="E2246" s="333"/>
      <c r="F2246" s="333"/>
    </row>
    <row r="2247" spans="4:6" x14ac:dyDescent="0.2">
      <c r="D2247" s="333"/>
      <c r="E2247" s="333"/>
      <c r="F2247" s="333"/>
    </row>
    <row r="2248" spans="4:6" x14ac:dyDescent="0.2">
      <c r="D2248" s="333"/>
      <c r="E2248" s="333"/>
      <c r="F2248" s="333"/>
    </row>
    <row r="2249" spans="4:6" x14ac:dyDescent="0.2">
      <c r="D2249" s="333"/>
      <c r="E2249" s="333"/>
      <c r="F2249" s="333"/>
    </row>
    <row r="2250" spans="4:6" x14ac:dyDescent="0.2">
      <c r="D2250" s="333"/>
      <c r="E2250" s="333"/>
      <c r="F2250" s="333"/>
    </row>
    <row r="2251" spans="4:6" x14ac:dyDescent="0.2">
      <c r="D2251" s="333"/>
      <c r="E2251" s="333"/>
      <c r="F2251" s="333"/>
    </row>
    <row r="2252" spans="4:6" x14ac:dyDescent="0.2">
      <c r="D2252" s="333"/>
      <c r="E2252" s="333"/>
      <c r="F2252" s="333"/>
    </row>
    <row r="2253" spans="4:6" x14ac:dyDescent="0.2">
      <c r="D2253" s="333"/>
      <c r="E2253" s="333"/>
      <c r="F2253" s="333"/>
    </row>
    <row r="2254" spans="4:6" x14ac:dyDescent="0.2">
      <c r="D2254" s="333"/>
      <c r="E2254" s="333"/>
      <c r="F2254" s="333"/>
    </row>
    <row r="2255" spans="4:6" x14ac:dyDescent="0.2">
      <c r="D2255" s="333"/>
      <c r="E2255" s="333"/>
      <c r="F2255" s="333"/>
    </row>
    <row r="2256" spans="4:6" x14ac:dyDescent="0.2">
      <c r="D2256" s="333"/>
      <c r="E2256" s="333"/>
      <c r="F2256" s="333"/>
    </row>
    <row r="2257" spans="4:6" x14ac:dyDescent="0.2">
      <c r="D2257" s="333"/>
      <c r="E2257" s="333"/>
      <c r="F2257" s="333"/>
    </row>
    <row r="2258" spans="4:6" x14ac:dyDescent="0.2">
      <c r="D2258" s="333"/>
      <c r="E2258" s="333"/>
      <c r="F2258" s="333"/>
    </row>
    <row r="2259" spans="4:6" x14ac:dyDescent="0.2">
      <c r="D2259" s="333"/>
      <c r="E2259" s="333"/>
      <c r="F2259" s="333"/>
    </row>
    <row r="2260" spans="4:6" x14ac:dyDescent="0.2">
      <c r="D2260" s="333"/>
      <c r="E2260" s="333"/>
      <c r="F2260" s="333"/>
    </row>
    <row r="2261" spans="4:6" x14ac:dyDescent="0.2">
      <c r="D2261" s="333"/>
      <c r="E2261" s="333"/>
      <c r="F2261" s="333"/>
    </row>
    <row r="2262" spans="4:6" x14ac:dyDescent="0.2">
      <c r="D2262" s="333"/>
      <c r="E2262" s="333"/>
      <c r="F2262" s="333"/>
    </row>
    <row r="2263" spans="4:6" x14ac:dyDescent="0.2">
      <c r="D2263" s="333"/>
      <c r="E2263" s="333"/>
      <c r="F2263" s="333"/>
    </row>
    <row r="2264" spans="4:6" x14ac:dyDescent="0.2">
      <c r="D2264" s="333"/>
      <c r="E2264" s="333"/>
      <c r="F2264" s="333"/>
    </row>
    <row r="2265" spans="4:6" x14ac:dyDescent="0.2">
      <c r="D2265" s="333"/>
      <c r="E2265" s="333"/>
      <c r="F2265" s="333"/>
    </row>
    <row r="2266" spans="4:6" x14ac:dyDescent="0.2">
      <c r="D2266" s="333"/>
      <c r="E2266" s="333"/>
      <c r="F2266" s="333"/>
    </row>
    <row r="2267" spans="4:6" x14ac:dyDescent="0.2">
      <c r="D2267" s="333"/>
      <c r="E2267" s="333"/>
      <c r="F2267" s="333"/>
    </row>
    <row r="2268" spans="4:6" x14ac:dyDescent="0.2">
      <c r="D2268" s="333"/>
      <c r="E2268" s="333"/>
      <c r="F2268" s="333"/>
    </row>
    <row r="2269" spans="4:6" x14ac:dyDescent="0.2">
      <c r="D2269" s="333"/>
      <c r="E2269" s="333"/>
      <c r="F2269" s="333"/>
    </row>
    <row r="2270" spans="4:6" x14ac:dyDescent="0.2">
      <c r="D2270" s="333"/>
      <c r="E2270" s="333"/>
      <c r="F2270" s="333"/>
    </row>
    <row r="2271" spans="4:6" x14ac:dyDescent="0.2">
      <c r="D2271" s="333"/>
      <c r="E2271" s="333"/>
      <c r="F2271" s="333"/>
    </row>
    <row r="2272" spans="4:6" x14ac:dyDescent="0.2">
      <c r="D2272" s="333"/>
      <c r="E2272" s="333"/>
      <c r="F2272" s="333"/>
    </row>
    <row r="2273" spans="4:6" x14ac:dyDescent="0.2">
      <c r="D2273" s="333"/>
      <c r="E2273" s="333"/>
      <c r="F2273" s="333"/>
    </row>
    <row r="2274" spans="4:6" x14ac:dyDescent="0.2">
      <c r="D2274" s="333"/>
      <c r="E2274" s="333"/>
      <c r="F2274" s="333"/>
    </row>
    <row r="2275" spans="4:6" x14ac:dyDescent="0.2">
      <c r="D2275" s="333"/>
      <c r="E2275" s="333"/>
      <c r="F2275" s="333"/>
    </row>
    <row r="2276" spans="4:6" x14ac:dyDescent="0.2">
      <c r="D2276" s="333"/>
      <c r="E2276" s="333"/>
      <c r="F2276" s="333"/>
    </row>
    <row r="2277" spans="4:6" x14ac:dyDescent="0.2">
      <c r="D2277" s="333"/>
      <c r="E2277" s="333"/>
      <c r="F2277" s="333"/>
    </row>
    <row r="2278" spans="4:6" x14ac:dyDescent="0.2">
      <c r="D2278" s="333"/>
      <c r="E2278" s="333"/>
      <c r="F2278" s="333"/>
    </row>
    <row r="2279" spans="4:6" x14ac:dyDescent="0.2">
      <c r="D2279" s="333"/>
      <c r="E2279" s="333"/>
      <c r="F2279" s="333"/>
    </row>
    <row r="2280" spans="4:6" x14ac:dyDescent="0.2">
      <c r="D2280" s="333"/>
      <c r="E2280" s="333"/>
      <c r="F2280" s="333"/>
    </row>
    <row r="2281" spans="4:6" x14ac:dyDescent="0.2">
      <c r="D2281" s="333"/>
      <c r="E2281" s="333"/>
      <c r="F2281" s="333"/>
    </row>
    <row r="2282" spans="4:6" x14ac:dyDescent="0.2">
      <c r="D2282" s="333"/>
      <c r="E2282" s="333"/>
      <c r="F2282" s="333"/>
    </row>
    <row r="2283" spans="4:6" x14ac:dyDescent="0.2">
      <c r="D2283" s="333"/>
      <c r="E2283" s="333"/>
      <c r="F2283" s="333"/>
    </row>
    <row r="2284" spans="4:6" x14ac:dyDescent="0.2">
      <c r="D2284" s="333"/>
      <c r="E2284" s="333"/>
      <c r="F2284" s="333"/>
    </row>
    <row r="2285" spans="4:6" x14ac:dyDescent="0.2">
      <c r="D2285" s="333"/>
      <c r="E2285" s="333"/>
      <c r="F2285" s="333"/>
    </row>
    <row r="2286" spans="4:6" x14ac:dyDescent="0.2">
      <c r="D2286" s="333"/>
      <c r="E2286" s="333"/>
      <c r="F2286" s="333"/>
    </row>
    <row r="2287" spans="4:6" x14ac:dyDescent="0.2">
      <c r="D2287" s="333"/>
      <c r="E2287" s="333"/>
      <c r="F2287" s="333"/>
    </row>
    <row r="2288" spans="4:6" x14ac:dyDescent="0.2">
      <c r="D2288" s="333"/>
      <c r="E2288" s="333"/>
      <c r="F2288" s="333"/>
    </row>
    <row r="2289" spans="4:6" x14ac:dyDescent="0.2">
      <c r="D2289" s="333"/>
      <c r="E2289" s="333"/>
      <c r="F2289" s="333"/>
    </row>
    <row r="2290" spans="4:6" x14ac:dyDescent="0.2">
      <c r="D2290" s="333"/>
      <c r="E2290" s="333"/>
      <c r="F2290" s="333"/>
    </row>
    <row r="2291" spans="4:6" x14ac:dyDescent="0.2">
      <c r="D2291" s="333"/>
      <c r="E2291" s="333"/>
      <c r="F2291" s="333"/>
    </row>
    <row r="2292" spans="4:6" x14ac:dyDescent="0.2">
      <c r="D2292" s="333"/>
      <c r="E2292" s="333"/>
      <c r="F2292" s="333"/>
    </row>
    <row r="2293" spans="4:6" x14ac:dyDescent="0.2">
      <c r="D2293" s="333"/>
      <c r="E2293" s="333"/>
      <c r="F2293" s="333"/>
    </row>
    <row r="2294" spans="4:6" x14ac:dyDescent="0.2">
      <c r="D2294" s="333"/>
      <c r="E2294" s="333"/>
      <c r="F2294" s="333"/>
    </row>
    <row r="2295" spans="4:6" x14ac:dyDescent="0.2">
      <c r="D2295" s="333"/>
      <c r="E2295" s="333"/>
      <c r="F2295" s="333"/>
    </row>
    <row r="2296" spans="4:6" x14ac:dyDescent="0.2">
      <c r="D2296" s="333"/>
      <c r="E2296" s="333"/>
      <c r="F2296" s="333"/>
    </row>
    <row r="2297" spans="4:6" x14ac:dyDescent="0.2">
      <c r="D2297" s="333"/>
      <c r="E2297" s="333"/>
      <c r="F2297" s="333"/>
    </row>
    <row r="2298" spans="4:6" x14ac:dyDescent="0.2">
      <c r="D2298" s="333"/>
      <c r="E2298" s="333"/>
      <c r="F2298" s="333"/>
    </row>
    <row r="2299" spans="4:6" x14ac:dyDescent="0.2">
      <c r="D2299" s="333"/>
      <c r="E2299" s="333"/>
      <c r="F2299" s="333"/>
    </row>
    <row r="2300" spans="4:6" x14ac:dyDescent="0.2">
      <c r="D2300" s="333"/>
      <c r="E2300" s="333"/>
      <c r="F2300" s="333"/>
    </row>
    <row r="2301" spans="4:6" x14ac:dyDescent="0.2">
      <c r="D2301" s="333"/>
      <c r="E2301" s="333"/>
      <c r="F2301" s="333"/>
    </row>
    <row r="2302" spans="4:6" x14ac:dyDescent="0.2">
      <c r="D2302" s="333"/>
      <c r="E2302" s="333"/>
      <c r="F2302" s="333"/>
    </row>
    <row r="2303" spans="4:6" x14ac:dyDescent="0.2">
      <c r="D2303" s="333"/>
      <c r="E2303" s="333"/>
      <c r="F2303" s="333"/>
    </row>
    <row r="2304" spans="4:6" x14ac:dyDescent="0.2">
      <c r="D2304" s="333"/>
      <c r="E2304" s="333"/>
      <c r="F2304" s="333"/>
    </row>
    <row r="2305" spans="4:6" x14ac:dyDescent="0.2">
      <c r="D2305" s="333"/>
      <c r="E2305" s="333"/>
      <c r="F2305" s="333"/>
    </row>
    <row r="2306" spans="4:6" x14ac:dyDescent="0.2">
      <c r="D2306" s="333"/>
      <c r="E2306" s="333"/>
      <c r="F2306" s="333"/>
    </row>
    <row r="2307" spans="4:6" x14ac:dyDescent="0.2">
      <c r="D2307" s="333"/>
      <c r="E2307" s="333"/>
      <c r="F2307" s="333"/>
    </row>
    <row r="2308" spans="4:6" x14ac:dyDescent="0.2">
      <c r="D2308" s="333"/>
      <c r="E2308" s="333"/>
      <c r="F2308" s="333"/>
    </row>
    <row r="2309" spans="4:6" x14ac:dyDescent="0.2">
      <c r="D2309" s="333"/>
      <c r="E2309" s="333"/>
      <c r="F2309" s="333"/>
    </row>
    <row r="2310" spans="4:6" x14ac:dyDescent="0.2">
      <c r="D2310" s="333"/>
      <c r="E2310" s="333"/>
      <c r="F2310" s="333"/>
    </row>
    <row r="2311" spans="4:6" x14ac:dyDescent="0.2">
      <c r="D2311" s="333"/>
      <c r="E2311" s="333"/>
      <c r="F2311" s="333"/>
    </row>
    <row r="2312" spans="4:6" x14ac:dyDescent="0.2">
      <c r="D2312" s="333"/>
      <c r="E2312" s="333"/>
      <c r="F2312" s="333"/>
    </row>
    <row r="2313" spans="4:6" x14ac:dyDescent="0.2">
      <c r="D2313" s="333"/>
      <c r="E2313" s="333"/>
      <c r="F2313" s="333"/>
    </row>
    <row r="2314" spans="4:6" x14ac:dyDescent="0.2">
      <c r="D2314" s="333"/>
      <c r="E2314" s="333"/>
      <c r="F2314" s="333"/>
    </row>
    <row r="2315" spans="4:6" x14ac:dyDescent="0.2">
      <c r="D2315" s="333"/>
      <c r="E2315" s="333"/>
      <c r="F2315" s="333"/>
    </row>
    <row r="2316" spans="4:6" x14ac:dyDescent="0.2">
      <c r="D2316" s="333"/>
      <c r="E2316" s="333"/>
      <c r="F2316" s="333"/>
    </row>
    <row r="2317" spans="4:6" x14ac:dyDescent="0.2">
      <c r="D2317" s="333"/>
      <c r="E2317" s="333"/>
      <c r="F2317" s="333"/>
    </row>
    <row r="2318" spans="4:6" x14ac:dyDescent="0.2">
      <c r="D2318" s="333"/>
      <c r="E2318" s="333"/>
      <c r="F2318" s="333"/>
    </row>
    <row r="2319" spans="4:6" x14ac:dyDescent="0.2">
      <c r="D2319" s="333"/>
      <c r="E2319" s="333"/>
      <c r="F2319" s="333"/>
    </row>
    <row r="2320" spans="4:6" x14ac:dyDescent="0.2">
      <c r="D2320" s="333"/>
      <c r="E2320" s="333"/>
      <c r="F2320" s="333"/>
    </row>
    <row r="2321" spans="4:6" x14ac:dyDescent="0.2">
      <c r="D2321" s="333"/>
      <c r="E2321" s="333"/>
      <c r="F2321" s="333"/>
    </row>
    <row r="2322" spans="4:6" x14ac:dyDescent="0.2">
      <c r="D2322" s="333"/>
      <c r="E2322" s="333"/>
      <c r="F2322" s="333"/>
    </row>
    <row r="2323" spans="4:6" x14ac:dyDescent="0.2">
      <c r="D2323" s="333"/>
      <c r="E2323" s="333"/>
      <c r="F2323" s="333"/>
    </row>
    <row r="2324" spans="4:6" x14ac:dyDescent="0.2">
      <c r="D2324" s="333"/>
      <c r="E2324" s="333"/>
      <c r="F2324" s="333"/>
    </row>
    <row r="2325" spans="4:6" x14ac:dyDescent="0.2">
      <c r="D2325" s="333"/>
      <c r="E2325" s="333"/>
      <c r="F2325" s="333"/>
    </row>
    <row r="2326" spans="4:6" x14ac:dyDescent="0.2">
      <c r="D2326" s="333"/>
      <c r="E2326" s="333"/>
      <c r="F2326" s="333"/>
    </row>
    <row r="2327" spans="4:6" x14ac:dyDescent="0.2">
      <c r="D2327" s="333"/>
      <c r="E2327" s="333"/>
      <c r="F2327" s="333"/>
    </row>
    <row r="2328" spans="4:6" x14ac:dyDescent="0.2">
      <c r="D2328" s="333"/>
      <c r="E2328" s="333"/>
      <c r="F2328" s="333"/>
    </row>
    <row r="2329" spans="4:6" x14ac:dyDescent="0.2">
      <c r="D2329" s="333"/>
      <c r="E2329" s="333"/>
      <c r="F2329" s="333"/>
    </row>
    <row r="2330" spans="4:6" x14ac:dyDescent="0.2">
      <c r="D2330" s="333"/>
      <c r="E2330" s="333"/>
      <c r="F2330" s="333"/>
    </row>
    <row r="2331" spans="4:6" x14ac:dyDescent="0.2">
      <c r="D2331" s="333"/>
      <c r="E2331" s="333"/>
      <c r="F2331" s="333"/>
    </row>
    <row r="2332" spans="4:6" x14ac:dyDescent="0.2">
      <c r="D2332" s="333"/>
      <c r="E2332" s="333"/>
      <c r="F2332" s="333"/>
    </row>
    <row r="2333" spans="4:6" x14ac:dyDescent="0.2">
      <c r="D2333" s="333"/>
      <c r="E2333" s="333"/>
      <c r="F2333" s="333"/>
    </row>
    <row r="2334" spans="4:6" x14ac:dyDescent="0.2">
      <c r="D2334" s="333"/>
      <c r="E2334" s="333"/>
      <c r="F2334" s="333"/>
    </row>
    <row r="2335" spans="4:6" x14ac:dyDescent="0.2">
      <c r="D2335" s="333"/>
      <c r="E2335" s="333"/>
      <c r="F2335" s="333"/>
    </row>
    <row r="2336" spans="4:6" x14ac:dyDescent="0.2">
      <c r="D2336" s="333"/>
      <c r="E2336" s="333"/>
      <c r="F2336" s="333"/>
    </row>
    <row r="2337" spans="4:6" x14ac:dyDescent="0.2">
      <c r="D2337" s="333"/>
      <c r="E2337" s="333"/>
      <c r="F2337" s="333"/>
    </row>
    <row r="2338" spans="4:6" x14ac:dyDescent="0.2">
      <c r="D2338" s="333"/>
      <c r="E2338" s="333"/>
      <c r="F2338" s="333"/>
    </row>
    <row r="2339" spans="4:6" x14ac:dyDescent="0.2">
      <c r="D2339" s="333"/>
      <c r="E2339" s="333"/>
      <c r="F2339" s="333"/>
    </row>
    <row r="2340" spans="4:6" x14ac:dyDescent="0.2">
      <c r="D2340" s="333"/>
      <c r="E2340" s="333"/>
      <c r="F2340" s="333"/>
    </row>
    <row r="2341" spans="4:6" x14ac:dyDescent="0.2">
      <c r="D2341" s="333"/>
      <c r="E2341" s="333"/>
      <c r="F2341" s="333"/>
    </row>
    <row r="2342" spans="4:6" x14ac:dyDescent="0.2">
      <c r="D2342" s="333"/>
      <c r="E2342" s="333"/>
      <c r="F2342" s="333"/>
    </row>
    <row r="2343" spans="4:6" x14ac:dyDescent="0.2">
      <c r="D2343" s="333"/>
      <c r="E2343" s="333"/>
      <c r="F2343" s="333"/>
    </row>
    <row r="2344" spans="4:6" x14ac:dyDescent="0.2">
      <c r="D2344" s="333"/>
      <c r="E2344" s="333"/>
      <c r="F2344" s="333"/>
    </row>
    <row r="2345" spans="4:6" x14ac:dyDescent="0.2">
      <c r="D2345" s="333"/>
      <c r="E2345" s="333"/>
      <c r="F2345" s="333"/>
    </row>
    <row r="2346" spans="4:6" x14ac:dyDescent="0.2">
      <c r="D2346" s="333"/>
      <c r="E2346" s="333"/>
      <c r="F2346" s="333"/>
    </row>
    <row r="2347" spans="4:6" x14ac:dyDescent="0.2">
      <c r="D2347" s="333"/>
      <c r="E2347" s="333"/>
      <c r="F2347" s="333"/>
    </row>
    <row r="2348" spans="4:6" x14ac:dyDescent="0.2">
      <c r="D2348" s="333"/>
      <c r="E2348" s="333"/>
      <c r="F2348" s="333"/>
    </row>
    <row r="2349" spans="4:6" x14ac:dyDescent="0.2">
      <c r="D2349" s="333"/>
      <c r="E2349" s="333"/>
      <c r="F2349" s="333"/>
    </row>
    <row r="2350" spans="4:6" x14ac:dyDescent="0.2">
      <c r="D2350" s="333"/>
      <c r="E2350" s="333"/>
      <c r="F2350" s="333"/>
    </row>
    <row r="2351" spans="4:6" x14ac:dyDescent="0.2">
      <c r="D2351" s="333"/>
      <c r="E2351" s="333"/>
      <c r="F2351" s="333"/>
    </row>
    <row r="2352" spans="4:6" x14ac:dyDescent="0.2">
      <c r="D2352" s="333"/>
      <c r="E2352" s="333"/>
      <c r="F2352" s="333"/>
    </row>
    <row r="2353" spans="4:6" x14ac:dyDescent="0.2">
      <c r="D2353" s="333"/>
      <c r="E2353" s="333"/>
      <c r="F2353" s="333"/>
    </row>
    <row r="2354" spans="4:6" x14ac:dyDescent="0.2">
      <c r="D2354" s="333"/>
      <c r="E2354" s="333"/>
      <c r="F2354" s="333"/>
    </row>
    <row r="2355" spans="4:6" x14ac:dyDescent="0.2">
      <c r="D2355" s="333"/>
      <c r="E2355" s="333"/>
      <c r="F2355" s="333"/>
    </row>
    <row r="2356" spans="4:6" x14ac:dyDescent="0.2">
      <c r="D2356" s="333"/>
      <c r="E2356" s="333"/>
      <c r="F2356" s="333"/>
    </row>
    <row r="2357" spans="4:6" x14ac:dyDescent="0.2">
      <c r="D2357" s="333"/>
      <c r="E2357" s="333"/>
      <c r="F2357" s="333"/>
    </row>
    <row r="2358" spans="4:6" x14ac:dyDescent="0.2">
      <c r="D2358" s="333"/>
      <c r="E2358" s="333"/>
      <c r="F2358" s="333"/>
    </row>
    <row r="2359" spans="4:6" x14ac:dyDescent="0.2">
      <c r="D2359" s="333"/>
      <c r="E2359" s="333"/>
      <c r="F2359" s="333"/>
    </row>
    <row r="2360" spans="4:6" x14ac:dyDescent="0.2">
      <c r="D2360" s="333"/>
      <c r="E2360" s="333"/>
      <c r="F2360" s="333"/>
    </row>
    <row r="2361" spans="4:6" x14ac:dyDescent="0.2">
      <c r="D2361" s="333"/>
      <c r="E2361" s="333"/>
      <c r="F2361" s="333"/>
    </row>
    <row r="2362" spans="4:6" x14ac:dyDescent="0.2">
      <c r="D2362" s="333"/>
      <c r="E2362" s="333"/>
      <c r="F2362" s="333"/>
    </row>
    <row r="2363" spans="4:6" x14ac:dyDescent="0.2">
      <c r="D2363" s="333"/>
      <c r="E2363" s="333"/>
      <c r="F2363" s="333"/>
    </row>
    <row r="2364" spans="4:6" x14ac:dyDescent="0.2">
      <c r="D2364" s="333"/>
      <c r="E2364" s="333"/>
      <c r="F2364" s="333"/>
    </row>
    <row r="2365" spans="4:6" x14ac:dyDescent="0.2">
      <c r="D2365" s="333"/>
      <c r="E2365" s="333"/>
      <c r="F2365" s="333"/>
    </row>
    <row r="2366" spans="4:6" x14ac:dyDescent="0.2">
      <c r="D2366" s="333"/>
      <c r="E2366" s="333"/>
      <c r="F2366" s="333"/>
    </row>
    <row r="2367" spans="4:6" x14ac:dyDescent="0.2">
      <c r="D2367" s="333"/>
      <c r="E2367" s="333"/>
      <c r="F2367" s="333"/>
    </row>
    <row r="2368" spans="4:6" x14ac:dyDescent="0.2">
      <c r="D2368" s="333"/>
      <c r="E2368" s="333"/>
      <c r="F2368" s="333"/>
    </row>
    <row r="2369" spans="4:6" x14ac:dyDescent="0.2">
      <c r="D2369" s="333"/>
      <c r="E2369" s="333"/>
      <c r="F2369" s="333"/>
    </row>
    <row r="2370" spans="4:6" x14ac:dyDescent="0.2">
      <c r="D2370" s="333"/>
      <c r="E2370" s="333"/>
      <c r="F2370" s="333"/>
    </row>
    <row r="2371" spans="4:6" x14ac:dyDescent="0.2">
      <c r="D2371" s="333"/>
      <c r="E2371" s="333"/>
      <c r="F2371" s="333"/>
    </row>
    <row r="2372" spans="4:6" x14ac:dyDescent="0.2">
      <c r="D2372" s="333"/>
      <c r="E2372" s="333"/>
      <c r="F2372" s="333"/>
    </row>
    <row r="2373" spans="4:6" x14ac:dyDescent="0.2">
      <c r="D2373" s="333"/>
      <c r="E2373" s="333"/>
      <c r="F2373" s="333"/>
    </row>
    <row r="2374" spans="4:6" x14ac:dyDescent="0.2">
      <c r="D2374" s="333"/>
      <c r="E2374" s="333"/>
      <c r="F2374" s="333"/>
    </row>
    <row r="2375" spans="4:6" x14ac:dyDescent="0.2">
      <c r="D2375" s="333"/>
      <c r="E2375" s="333"/>
      <c r="F2375" s="333"/>
    </row>
    <row r="2376" spans="4:6" x14ac:dyDescent="0.2">
      <c r="D2376" s="333"/>
      <c r="E2376" s="333"/>
      <c r="F2376" s="333"/>
    </row>
    <row r="2377" spans="4:6" x14ac:dyDescent="0.2">
      <c r="D2377" s="333"/>
      <c r="E2377" s="333"/>
      <c r="F2377" s="333"/>
    </row>
    <row r="2378" spans="4:6" x14ac:dyDescent="0.2">
      <c r="D2378" s="333"/>
      <c r="E2378" s="333"/>
      <c r="F2378" s="333"/>
    </row>
    <row r="2379" spans="4:6" x14ac:dyDescent="0.2">
      <c r="D2379" s="333"/>
      <c r="E2379" s="333"/>
      <c r="F2379" s="333"/>
    </row>
    <row r="2380" spans="4:6" x14ac:dyDescent="0.2">
      <c r="D2380" s="333"/>
      <c r="E2380" s="333"/>
      <c r="F2380" s="333"/>
    </row>
    <row r="2381" spans="4:6" x14ac:dyDescent="0.2">
      <c r="D2381" s="333"/>
      <c r="E2381" s="333"/>
      <c r="F2381" s="333"/>
    </row>
    <row r="2382" spans="4:6" x14ac:dyDescent="0.2">
      <c r="D2382" s="333"/>
      <c r="E2382" s="333"/>
      <c r="F2382" s="333"/>
    </row>
    <row r="2383" spans="4:6" x14ac:dyDescent="0.2">
      <c r="D2383" s="333"/>
      <c r="E2383" s="333"/>
      <c r="F2383" s="333"/>
    </row>
    <row r="2384" spans="4:6" x14ac:dyDescent="0.2">
      <c r="D2384" s="333"/>
      <c r="E2384" s="333"/>
      <c r="F2384" s="333"/>
    </row>
    <row r="2385" spans="4:6" x14ac:dyDescent="0.2">
      <c r="D2385" s="333"/>
      <c r="E2385" s="333"/>
      <c r="F2385" s="333"/>
    </row>
    <row r="2386" spans="4:6" x14ac:dyDescent="0.2">
      <c r="D2386" s="333"/>
      <c r="E2386" s="333"/>
      <c r="F2386" s="333"/>
    </row>
    <row r="2387" spans="4:6" x14ac:dyDescent="0.2">
      <c r="D2387" s="333"/>
      <c r="E2387" s="333"/>
      <c r="F2387" s="333"/>
    </row>
    <row r="2388" spans="4:6" x14ac:dyDescent="0.2">
      <c r="D2388" s="333"/>
      <c r="E2388" s="333"/>
      <c r="F2388" s="333"/>
    </row>
    <row r="2389" spans="4:6" x14ac:dyDescent="0.2">
      <c r="D2389" s="333"/>
      <c r="E2389" s="333"/>
      <c r="F2389" s="333"/>
    </row>
    <row r="2390" spans="4:6" x14ac:dyDescent="0.2">
      <c r="D2390" s="333"/>
      <c r="E2390" s="333"/>
      <c r="F2390" s="333"/>
    </row>
    <row r="2391" spans="4:6" x14ac:dyDescent="0.2">
      <c r="D2391" s="333"/>
      <c r="E2391" s="333"/>
      <c r="F2391" s="333"/>
    </row>
    <row r="2392" spans="4:6" x14ac:dyDescent="0.2">
      <c r="D2392" s="333"/>
      <c r="E2392" s="333"/>
      <c r="F2392" s="333"/>
    </row>
    <row r="2393" spans="4:6" x14ac:dyDescent="0.2">
      <c r="D2393" s="333"/>
      <c r="E2393" s="333"/>
      <c r="F2393" s="333"/>
    </row>
    <row r="2394" spans="4:6" x14ac:dyDescent="0.2">
      <c r="D2394" s="333"/>
      <c r="E2394" s="333"/>
      <c r="F2394" s="333"/>
    </row>
    <row r="2395" spans="4:6" x14ac:dyDescent="0.2">
      <c r="D2395" s="333"/>
      <c r="E2395" s="333"/>
      <c r="F2395" s="333"/>
    </row>
    <row r="2396" spans="4:6" x14ac:dyDescent="0.2">
      <c r="D2396" s="333"/>
      <c r="E2396" s="333"/>
      <c r="F2396" s="333"/>
    </row>
    <row r="2397" spans="4:6" x14ac:dyDescent="0.2">
      <c r="D2397" s="333"/>
      <c r="E2397" s="333"/>
      <c r="F2397" s="333"/>
    </row>
    <row r="2398" spans="4:6" x14ac:dyDescent="0.2">
      <c r="D2398" s="333"/>
      <c r="E2398" s="333"/>
      <c r="F2398" s="333"/>
    </row>
    <row r="2399" spans="4:6" x14ac:dyDescent="0.2">
      <c r="D2399" s="333"/>
      <c r="E2399" s="333"/>
      <c r="F2399" s="333"/>
    </row>
    <row r="2400" spans="4:6" x14ac:dyDescent="0.2">
      <c r="D2400" s="333"/>
      <c r="E2400" s="333"/>
      <c r="F2400" s="333"/>
    </row>
    <row r="2401" spans="4:6" x14ac:dyDescent="0.2">
      <c r="D2401" s="333"/>
      <c r="E2401" s="333"/>
      <c r="F2401" s="333"/>
    </row>
    <row r="2402" spans="4:6" x14ac:dyDescent="0.2">
      <c r="D2402" s="333"/>
      <c r="E2402" s="333"/>
      <c r="F2402" s="333"/>
    </row>
    <row r="2403" spans="4:6" x14ac:dyDescent="0.2">
      <c r="D2403" s="333"/>
      <c r="E2403" s="333"/>
      <c r="F2403" s="333"/>
    </row>
    <row r="2404" spans="4:6" x14ac:dyDescent="0.2">
      <c r="D2404" s="333"/>
      <c r="E2404" s="333"/>
      <c r="F2404" s="333"/>
    </row>
    <row r="2405" spans="4:6" x14ac:dyDescent="0.2">
      <c r="D2405" s="333"/>
      <c r="E2405" s="333"/>
      <c r="F2405" s="333"/>
    </row>
    <row r="2406" spans="4:6" x14ac:dyDescent="0.2">
      <c r="D2406" s="333"/>
      <c r="E2406" s="333"/>
      <c r="F2406" s="333"/>
    </row>
    <row r="2407" spans="4:6" x14ac:dyDescent="0.2">
      <c r="D2407" s="333"/>
      <c r="E2407" s="333"/>
      <c r="F2407" s="333"/>
    </row>
    <row r="2408" spans="4:6" x14ac:dyDescent="0.2">
      <c r="D2408" s="333"/>
      <c r="E2408" s="333"/>
      <c r="F2408" s="333"/>
    </row>
    <row r="2409" spans="4:6" x14ac:dyDescent="0.2">
      <c r="D2409" s="333"/>
      <c r="E2409" s="333"/>
      <c r="F2409" s="333"/>
    </row>
    <row r="2410" spans="4:6" x14ac:dyDescent="0.2">
      <c r="D2410" s="333"/>
      <c r="E2410" s="333"/>
      <c r="F2410" s="333"/>
    </row>
    <row r="2411" spans="4:6" x14ac:dyDescent="0.2">
      <c r="D2411" s="333"/>
      <c r="E2411" s="333"/>
      <c r="F2411" s="333"/>
    </row>
    <row r="2412" spans="4:6" x14ac:dyDescent="0.2">
      <c r="D2412" s="333"/>
      <c r="E2412" s="333"/>
      <c r="F2412" s="333"/>
    </row>
    <row r="2413" spans="4:6" x14ac:dyDescent="0.2">
      <c r="D2413" s="333"/>
      <c r="E2413" s="333"/>
      <c r="F2413" s="333"/>
    </row>
    <row r="2414" spans="4:6" x14ac:dyDescent="0.2">
      <c r="D2414" s="333"/>
      <c r="E2414" s="333"/>
      <c r="F2414" s="333"/>
    </row>
    <row r="2415" spans="4:6" x14ac:dyDescent="0.2">
      <c r="D2415" s="333"/>
      <c r="E2415" s="333"/>
      <c r="F2415" s="333"/>
    </row>
    <row r="2416" spans="4:6" x14ac:dyDescent="0.2">
      <c r="D2416" s="333"/>
      <c r="E2416" s="333"/>
      <c r="F2416" s="333"/>
    </row>
    <row r="2417" spans="4:6" x14ac:dyDescent="0.2">
      <c r="D2417" s="333"/>
      <c r="E2417" s="333"/>
      <c r="F2417" s="333"/>
    </row>
    <row r="2418" spans="4:6" x14ac:dyDescent="0.2">
      <c r="D2418" s="333"/>
      <c r="E2418" s="333"/>
      <c r="F2418" s="333"/>
    </row>
    <row r="2419" spans="4:6" x14ac:dyDescent="0.2">
      <c r="D2419" s="333"/>
      <c r="E2419" s="333"/>
      <c r="F2419" s="333"/>
    </row>
    <row r="2420" spans="4:6" x14ac:dyDescent="0.2">
      <c r="D2420" s="333"/>
      <c r="E2420" s="333"/>
      <c r="F2420" s="333"/>
    </row>
    <row r="2421" spans="4:6" x14ac:dyDescent="0.2">
      <c r="D2421" s="333"/>
      <c r="E2421" s="333"/>
      <c r="F2421" s="333"/>
    </row>
    <row r="2422" spans="4:6" x14ac:dyDescent="0.2">
      <c r="D2422" s="333"/>
      <c r="E2422" s="333"/>
      <c r="F2422" s="333"/>
    </row>
    <row r="2423" spans="4:6" x14ac:dyDescent="0.2">
      <c r="D2423" s="333"/>
      <c r="E2423" s="333"/>
      <c r="F2423" s="333"/>
    </row>
    <row r="2424" spans="4:6" x14ac:dyDescent="0.2">
      <c r="D2424" s="333"/>
      <c r="E2424" s="333"/>
      <c r="F2424" s="333"/>
    </row>
    <row r="2425" spans="4:6" x14ac:dyDescent="0.2">
      <c r="D2425" s="333"/>
      <c r="E2425" s="333"/>
      <c r="F2425" s="333"/>
    </row>
    <row r="2426" spans="4:6" x14ac:dyDescent="0.2">
      <c r="D2426" s="333"/>
      <c r="E2426" s="333"/>
      <c r="F2426" s="333"/>
    </row>
    <row r="2427" spans="4:6" x14ac:dyDescent="0.2">
      <c r="D2427" s="333"/>
      <c r="E2427" s="333"/>
      <c r="F2427" s="333"/>
    </row>
    <row r="2428" spans="4:6" x14ac:dyDescent="0.2">
      <c r="D2428" s="333"/>
      <c r="E2428" s="333"/>
      <c r="F2428" s="333"/>
    </row>
    <row r="2429" spans="4:6" x14ac:dyDescent="0.2">
      <c r="D2429" s="333"/>
      <c r="E2429" s="333"/>
      <c r="F2429" s="333"/>
    </row>
    <row r="2430" spans="4:6" x14ac:dyDescent="0.2">
      <c r="D2430" s="333"/>
      <c r="E2430" s="333"/>
      <c r="F2430" s="333"/>
    </row>
    <row r="2431" spans="4:6" x14ac:dyDescent="0.2">
      <c r="D2431" s="333"/>
      <c r="E2431" s="333"/>
      <c r="F2431" s="333"/>
    </row>
    <row r="2432" spans="4:6" x14ac:dyDescent="0.2">
      <c r="D2432" s="333"/>
      <c r="E2432" s="333"/>
      <c r="F2432" s="33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Krycí list</vt:lpstr>
      <vt:lpstr>Rekapitulácia</vt:lpstr>
      <vt:lpstr>Rozpočet most</vt:lpstr>
      <vt:lpstr>Rozpočet 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Karaba, František</dc:creator>
  <cp:lastModifiedBy>iveta.sramekova</cp:lastModifiedBy>
  <cp:revision>65</cp:revision>
  <cp:lastPrinted>2020-06-18T11:42:59Z</cp:lastPrinted>
  <dcterms:created xsi:type="dcterms:W3CDTF">2020-02-13T20:08:40Z</dcterms:created>
  <dcterms:modified xsi:type="dcterms:W3CDTF">2020-07-28T07:02:19Z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XVersion">
    <vt:lpwstr>19.2.3.0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